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4EB6C5B2-2027-4024-A3E8-5A9BF9F4B138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3" l="1"/>
  <c r="C359" i="24" l="1"/>
  <c r="C363" i="24" l="1"/>
  <c r="C364" i="24"/>
  <c r="C322" i="24"/>
  <c r="C343" i="24"/>
  <c r="C334" i="24" l="1"/>
  <c r="C315" i="24"/>
  <c r="C328" i="24" l="1"/>
  <c r="C338" i="24"/>
  <c r="C316" i="24"/>
  <c r="C268" i="24"/>
  <c r="C271" i="24"/>
  <c r="C290" i="24" l="1"/>
  <c r="C280" i="24"/>
  <c r="C239" i="24" l="1"/>
  <c r="C240" i="24"/>
  <c r="C250" i="24"/>
  <c r="C195" i="24" l="1"/>
  <c r="C192" i="24"/>
  <c r="C191" i="24"/>
  <c r="C187" i="24"/>
  <c r="C186" i="24"/>
  <c r="C18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F420" i="34"/>
  <c r="D420" i="34"/>
  <c r="D415" i="34"/>
  <c r="D416" i="34" s="1"/>
  <c r="E414" i="34" s="1"/>
  <c r="D381" i="34"/>
  <c r="D383" i="34" s="1"/>
  <c r="D366" i="34"/>
  <c r="D360" i="34"/>
  <c r="D340" i="34"/>
  <c r="D339" i="34"/>
  <c r="D341" i="34" s="1"/>
  <c r="D329" i="34"/>
  <c r="D324" i="34"/>
  <c r="D350" i="34" s="1"/>
  <c r="D306" i="34"/>
  <c r="D299" i="34"/>
  <c r="D293" i="34"/>
  <c r="D291" i="34"/>
  <c r="D281" i="34"/>
  <c r="D276" i="34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F91" i="34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M48" i="34" s="1"/>
  <c r="BM62" i="34" s="1"/>
  <c r="CE60" i="34"/>
  <c r="H612" i="34" s="1"/>
  <c r="B53" i="34"/>
  <c r="CE51" i="34"/>
  <c r="B49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2" s="1"/>
  <c r="CE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O73" i="31" s="1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D416" i="24" l="1"/>
  <c r="E414" i="24" s="1"/>
  <c r="G10" i="4"/>
  <c r="CE89" i="34"/>
  <c r="K612" i="34" s="1"/>
  <c r="BZ52" i="24"/>
  <c r="BZ67" i="24" s="1"/>
  <c r="M77" i="31" s="1"/>
  <c r="BR52" i="24"/>
  <c r="BR67" i="24" s="1"/>
  <c r="M69" i="31" s="1"/>
  <c r="BJ52" i="24"/>
  <c r="BJ67" i="24" s="1"/>
  <c r="F273" i="32" s="1"/>
  <c r="BB52" i="24"/>
  <c r="BB67" i="24" s="1"/>
  <c r="M53" i="31" s="1"/>
  <c r="AT52" i="24"/>
  <c r="AT67" i="24" s="1"/>
  <c r="M45" i="31" s="1"/>
  <c r="AL52" i="24"/>
  <c r="AL67" i="24" s="1"/>
  <c r="C177" i="32" s="1"/>
  <c r="AD52" i="24"/>
  <c r="AD67" i="24" s="1"/>
  <c r="M29" i="31" s="1"/>
  <c r="F52" i="24"/>
  <c r="F67" i="24" s="1"/>
  <c r="M5" i="31" s="1"/>
  <c r="BA52" i="24"/>
  <c r="BA67" i="24" s="1"/>
  <c r="M52" i="31" s="1"/>
  <c r="AC52" i="24"/>
  <c r="AC67" i="24" s="1"/>
  <c r="AC85" i="24" s="1"/>
  <c r="E52" i="24"/>
  <c r="E67" i="24" s="1"/>
  <c r="E17" i="32" s="1"/>
  <c r="BY52" i="24"/>
  <c r="BY67" i="24" s="1"/>
  <c r="M76" i="31" s="1"/>
  <c r="BQ52" i="24"/>
  <c r="BQ67" i="24" s="1"/>
  <c r="M68" i="31" s="1"/>
  <c r="AS52" i="24"/>
  <c r="AS67" i="24" s="1"/>
  <c r="M44" i="31" s="1"/>
  <c r="U52" i="24"/>
  <c r="U67" i="24" s="1"/>
  <c r="M20" i="31" s="1"/>
  <c r="BX52" i="24"/>
  <c r="BX67" i="24" s="1"/>
  <c r="M75" i="31" s="1"/>
  <c r="BP52" i="24"/>
  <c r="BP67" i="24" s="1"/>
  <c r="M67" i="31" s="1"/>
  <c r="BH52" i="24"/>
  <c r="BH67" i="24" s="1"/>
  <c r="D273" i="32" s="1"/>
  <c r="AZ52" i="24"/>
  <c r="AZ67" i="24" s="1"/>
  <c r="M51" i="31" s="1"/>
  <c r="AR52" i="24"/>
  <c r="AR67" i="24" s="1"/>
  <c r="I177" i="32" s="1"/>
  <c r="AJ52" i="24"/>
  <c r="AJ67" i="24" s="1"/>
  <c r="M35" i="31" s="1"/>
  <c r="AB52" i="24"/>
  <c r="AB67" i="24" s="1"/>
  <c r="M27" i="31" s="1"/>
  <c r="T52" i="24"/>
  <c r="T67" i="24" s="1"/>
  <c r="M19" i="31" s="1"/>
  <c r="L52" i="24"/>
  <c r="L67" i="24" s="1"/>
  <c r="E49" i="32" s="1"/>
  <c r="D52" i="24"/>
  <c r="D67" i="24" s="1"/>
  <c r="M3" i="31" s="1"/>
  <c r="BW52" i="24"/>
  <c r="BW67" i="24" s="1"/>
  <c r="M74" i="31" s="1"/>
  <c r="BO52" i="24"/>
  <c r="BO67" i="24" s="1"/>
  <c r="M66" i="31" s="1"/>
  <c r="BG52" i="24"/>
  <c r="BG67" i="24" s="1"/>
  <c r="M58" i="31" s="1"/>
  <c r="AY52" i="24"/>
  <c r="AY67" i="24" s="1"/>
  <c r="M50" i="31" s="1"/>
  <c r="AQ52" i="24"/>
  <c r="AQ67" i="24" s="1"/>
  <c r="H177" i="32" s="1"/>
  <c r="AI52" i="24"/>
  <c r="AI67" i="24" s="1"/>
  <c r="G145" i="32" s="1"/>
  <c r="AA52" i="24"/>
  <c r="AA67" i="24" s="1"/>
  <c r="M26" i="31" s="1"/>
  <c r="S52" i="24"/>
  <c r="S67" i="24" s="1"/>
  <c r="M18" i="31" s="1"/>
  <c r="K52" i="24"/>
  <c r="K67" i="24" s="1"/>
  <c r="M10" i="31" s="1"/>
  <c r="C52" i="24"/>
  <c r="C67" i="24" s="1"/>
  <c r="M2" i="31" s="1"/>
  <c r="Y52" i="24"/>
  <c r="Y67" i="24" s="1"/>
  <c r="M24" i="31" s="1"/>
  <c r="CD52" i="24"/>
  <c r="BV52" i="24"/>
  <c r="BV67" i="24" s="1"/>
  <c r="BV85" i="24" s="1"/>
  <c r="BN52" i="24"/>
  <c r="BN67" i="24" s="1"/>
  <c r="M65" i="31" s="1"/>
  <c r="BF52" i="24"/>
  <c r="BF67" i="24" s="1"/>
  <c r="I241" i="32" s="1"/>
  <c r="AX52" i="24"/>
  <c r="AX67" i="24" s="1"/>
  <c r="M49" i="31" s="1"/>
  <c r="AP52" i="24"/>
  <c r="AP67" i="24" s="1"/>
  <c r="G177" i="32" s="1"/>
  <c r="AH52" i="24"/>
  <c r="AH67" i="24" s="1"/>
  <c r="F145" i="32" s="1"/>
  <c r="Z52" i="24"/>
  <c r="Z67" i="24" s="1"/>
  <c r="M25" i="31" s="1"/>
  <c r="R52" i="24"/>
  <c r="R67" i="24" s="1"/>
  <c r="D81" i="32" s="1"/>
  <c r="J52" i="24"/>
  <c r="J67" i="24" s="1"/>
  <c r="M9" i="31" s="1"/>
  <c r="BE52" i="24"/>
  <c r="BE67" i="24" s="1"/>
  <c r="M56" i="31" s="1"/>
  <c r="AG52" i="24"/>
  <c r="AG67" i="24" s="1"/>
  <c r="M32" i="31" s="1"/>
  <c r="I52" i="24"/>
  <c r="I67" i="24" s="1"/>
  <c r="M8" i="31" s="1"/>
  <c r="CC52" i="24"/>
  <c r="CC67" i="24" s="1"/>
  <c r="M80" i="31" s="1"/>
  <c r="BU52" i="24"/>
  <c r="BU67" i="24" s="1"/>
  <c r="M72" i="31" s="1"/>
  <c r="BM52" i="24"/>
  <c r="BM67" i="24" s="1"/>
  <c r="M64" i="31" s="1"/>
  <c r="AW52" i="24"/>
  <c r="AW67" i="24" s="1"/>
  <c r="G209" i="32" s="1"/>
  <c r="AO52" i="24"/>
  <c r="AO67" i="24" s="1"/>
  <c r="M40" i="31" s="1"/>
  <c r="Q52" i="24"/>
  <c r="Q67" i="24" s="1"/>
  <c r="C81" i="32" s="1"/>
  <c r="CB52" i="24"/>
  <c r="CB67" i="24" s="1"/>
  <c r="M79" i="31" s="1"/>
  <c r="BT52" i="24"/>
  <c r="BT67" i="24" s="1"/>
  <c r="M71" i="31" s="1"/>
  <c r="BL52" i="24"/>
  <c r="BL67" i="24" s="1"/>
  <c r="M63" i="31" s="1"/>
  <c r="BD52" i="24"/>
  <c r="BD67" i="24" s="1"/>
  <c r="M55" i="31" s="1"/>
  <c r="AV52" i="24"/>
  <c r="AV67" i="24" s="1"/>
  <c r="M47" i="31" s="1"/>
  <c r="AN52" i="24"/>
  <c r="AN67" i="24" s="1"/>
  <c r="M39" i="31" s="1"/>
  <c r="AF52" i="24"/>
  <c r="AF67" i="24" s="1"/>
  <c r="D145" i="32" s="1"/>
  <c r="X52" i="24"/>
  <c r="X67" i="24" s="1"/>
  <c r="C113" i="32" s="1"/>
  <c r="P52" i="24"/>
  <c r="P67" i="24" s="1"/>
  <c r="M15" i="31" s="1"/>
  <c r="BS52" i="24"/>
  <c r="BS67" i="24" s="1"/>
  <c r="M70" i="31" s="1"/>
  <c r="BK52" i="24"/>
  <c r="BK67" i="24" s="1"/>
  <c r="BK85" i="24" s="1"/>
  <c r="BC52" i="24"/>
  <c r="BC67" i="24" s="1"/>
  <c r="M54" i="31" s="1"/>
  <c r="AU52" i="24"/>
  <c r="AU67" i="24" s="1"/>
  <c r="M46" i="31" s="1"/>
  <c r="AM52" i="24"/>
  <c r="AM67" i="24" s="1"/>
  <c r="M38" i="31" s="1"/>
  <c r="AE52" i="24"/>
  <c r="AE67" i="24" s="1"/>
  <c r="M30" i="31" s="1"/>
  <c r="W52" i="24"/>
  <c r="W67" i="24" s="1"/>
  <c r="M22" i="31" s="1"/>
  <c r="O52" i="24"/>
  <c r="O67" i="24" s="1"/>
  <c r="H49" i="32" s="1"/>
  <c r="G52" i="24"/>
  <c r="G67" i="24" s="1"/>
  <c r="M6" i="31" s="1"/>
  <c r="V52" i="24"/>
  <c r="V67" i="24" s="1"/>
  <c r="V85" i="24" s="1"/>
  <c r="N52" i="24"/>
  <c r="N67" i="24" s="1"/>
  <c r="G49" i="32" s="1"/>
  <c r="BI52" i="24"/>
  <c r="BI67" i="24" s="1"/>
  <c r="E273" i="32" s="1"/>
  <c r="AK52" i="24"/>
  <c r="AK67" i="24" s="1"/>
  <c r="M36" i="31" s="1"/>
  <c r="M52" i="24"/>
  <c r="M67" i="24" s="1"/>
  <c r="F49" i="32" s="1"/>
  <c r="H52" i="24"/>
  <c r="H67" i="24" s="1"/>
  <c r="M7" i="31" s="1"/>
  <c r="CA52" i="24"/>
  <c r="CA67" i="24" s="1"/>
  <c r="I337" i="32" s="1"/>
  <c r="CE69" i="34"/>
  <c r="CE69" i="24"/>
  <c r="I371" i="32" s="1"/>
  <c r="D48" i="34"/>
  <c r="D62" i="34" s="1"/>
  <c r="I48" i="34"/>
  <c r="I62" i="34" s="1"/>
  <c r="L48" i="34"/>
  <c r="L62" i="34" s="1"/>
  <c r="AB48" i="24"/>
  <c r="AB62" i="24" s="1"/>
  <c r="G108" i="32" s="1"/>
  <c r="H48" i="34"/>
  <c r="H62" i="34" s="1"/>
  <c r="AZ48" i="24"/>
  <c r="AZ62" i="24" s="1"/>
  <c r="H51" i="31" s="1"/>
  <c r="AG48" i="34"/>
  <c r="AG62" i="34" s="1"/>
  <c r="AW48" i="34"/>
  <c r="AW62" i="34" s="1"/>
  <c r="AZ48" i="34"/>
  <c r="AZ62" i="34" s="1"/>
  <c r="E48" i="24"/>
  <c r="E62" i="24" s="1"/>
  <c r="E12" i="32" s="1"/>
  <c r="M48" i="24"/>
  <c r="M62" i="24" s="1"/>
  <c r="H12" i="31" s="1"/>
  <c r="U48" i="24"/>
  <c r="U62" i="24" s="1"/>
  <c r="H20" i="31" s="1"/>
  <c r="AC48" i="24"/>
  <c r="AC62" i="24" s="1"/>
  <c r="AK48" i="24"/>
  <c r="AK62" i="24" s="1"/>
  <c r="H36" i="31" s="1"/>
  <c r="AS48" i="24"/>
  <c r="AS62" i="24" s="1"/>
  <c r="H44" i="31" s="1"/>
  <c r="BA48" i="24"/>
  <c r="BA62" i="24" s="1"/>
  <c r="BI48" i="24"/>
  <c r="BI62" i="24" s="1"/>
  <c r="E268" i="32" s="1"/>
  <c r="BS48" i="24"/>
  <c r="BS62" i="24" s="1"/>
  <c r="H300" i="32" s="1"/>
  <c r="CB48" i="24"/>
  <c r="CB62" i="24" s="1"/>
  <c r="H79" i="31" s="1"/>
  <c r="AV48" i="34"/>
  <c r="AV62" i="34" s="1"/>
  <c r="V48" i="24"/>
  <c r="V62" i="24" s="1"/>
  <c r="AL48" i="24"/>
  <c r="AL62" i="24" s="1"/>
  <c r="AT48" i="24"/>
  <c r="AT62" i="24" s="1"/>
  <c r="D204" i="32" s="1"/>
  <c r="BB48" i="24"/>
  <c r="BB62" i="24" s="1"/>
  <c r="E236" i="32" s="1"/>
  <c r="BK48" i="24"/>
  <c r="BK62" i="24" s="1"/>
  <c r="H62" i="31" s="1"/>
  <c r="BT48" i="24"/>
  <c r="BT62" i="24" s="1"/>
  <c r="H71" i="31" s="1"/>
  <c r="CC48" i="24"/>
  <c r="CC62" i="24" s="1"/>
  <c r="D364" i="32" s="1"/>
  <c r="AD48" i="24"/>
  <c r="AD62" i="24" s="1"/>
  <c r="H29" i="31" s="1"/>
  <c r="G48" i="24"/>
  <c r="G62" i="24" s="1"/>
  <c r="O48" i="24"/>
  <c r="O62" i="24" s="1"/>
  <c r="H14" i="31" s="1"/>
  <c r="W48" i="24"/>
  <c r="W62" i="24" s="1"/>
  <c r="H22" i="31" s="1"/>
  <c r="AE48" i="24"/>
  <c r="AE62" i="24" s="1"/>
  <c r="H30" i="31" s="1"/>
  <c r="AM48" i="24"/>
  <c r="AM62" i="24" s="1"/>
  <c r="H38" i="31" s="1"/>
  <c r="AU48" i="24"/>
  <c r="AU62" i="24" s="1"/>
  <c r="H46" i="31" s="1"/>
  <c r="BC48" i="24"/>
  <c r="BC62" i="24" s="1"/>
  <c r="BL48" i="24"/>
  <c r="BL62" i="24" s="1"/>
  <c r="H268" i="32" s="1"/>
  <c r="BU48" i="24"/>
  <c r="BU62" i="24" s="1"/>
  <c r="CD48" i="24"/>
  <c r="L48" i="24"/>
  <c r="L62" i="24" s="1"/>
  <c r="H11" i="31" s="1"/>
  <c r="BH48" i="24"/>
  <c r="BH62" i="24" s="1"/>
  <c r="H59" i="31" s="1"/>
  <c r="P48" i="24"/>
  <c r="P62" i="24" s="1"/>
  <c r="H15" i="31" s="1"/>
  <c r="AF48" i="24"/>
  <c r="AF62" i="24" s="1"/>
  <c r="AV48" i="24"/>
  <c r="AV62" i="24" s="1"/>
  <c r="F204" i="32" s="1"/>
  <c r="BD48" i="24"/>
  <c r="BD62" i="24" s="1"/>
  <c r="H55" i="31" s="1"/>
  <c r="BV48" i="24"/>
  <c r="BV62" i="24" s="1"/>
  <c r="BD48" i="34"/>
  <c r="BD62" i="34" s="1"/>
  <c r="T48" i="24"/>
  <c r="T62" i="24" s="1"/>
  <c r="H19" i="31" s="1"/>
  <c r="AR48" i="24"/>
  <c r="AR62" i="24" s="1"/>
  <c r="I172" i="32" s="1"/>
  <c r="BQ48" i="24"/>
  <c r="BQ62" i="24" s="1"/>
  <c r="H68" i="31" s="1"/>
  <c r="X48" i="24"/>
  <c r="X62" i="24" s="1"/>
  <c r="AN48" i="24"/>
  <c r="AN62" i="24" s="1"/>
  <c r="E172" i="32" s="1"/>
  <c r="BM48" i="24"/>
  <c r="BM62" i="24" s="1"/>
  <c r="H64" i="31" s="1"/>
  <c r="I48" i="24"/>
  <c r="I62" i="24" s="1"/>
  <c r="Q48" i="24"/>
  <c r="Q62" i="24" s="1"/>
  <c r="H16" i="31" s="1"/>
  <c r="Y48" i="24"/>
  <c r="Y62" i="24" s="1"/>
  <c r="AG48" i="24"/>
  <c r="AG62" i="24" s="1"/>
  <c r="H32" i="31" s="1"/>
  <c r="AO48" i="24"/>
  <c r="AO62" i="24" s="1"/>
  <c r="H40" i="31" s="1"/>
  <c r="AW48" i="24"/>
  <c r="AW62" i="24" s="1"/>
  <c r="G204" i="32" s="1"/>
  <c r="BE48" i="24"/>
  <c r="BE62" i="24" s="1"/>
  <c r="H236" i="32" s="1"/>
  <c r="BN48" i="24"/>
  <c r="BN62" i="24" s="1"/>
  <c r="H65" i="31" s="1"/>
  <c r="BW48" i="24"/>
  <c r="BW62" i="24" s="1"/>
  <c r="Y48" i="34"/>
  <c r="Y62" i="34" s="1"/>
  <c r="BU48" i="34"/>
  <c r="BU62" i="34" s="1"/>
  <c r="F48" i="24"/>
  <c r="F62" i="24" s="1"/>
  <c r="H5" i="31" s="1"/>
  <c r="H48" i="24"/>
  <c r="H62" i="24" s="1"/>
  <c r="H7" i="31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AP48" i="24"/>
  <c r="AP62" i="24" s="1"/>
  <c r="G172" i="32" s="1"/>
  <c r="AX48" i="24"/>
  <c r="AX62" i="24" s="1"/>
  <c r="H204" i="32" s="1"/>
  <c r="BF48" i="24"/>
  <c r="BF62" i="24" s="1"/>
  <c r="H57" i="31" s="1"/>
  <c r="BO48" i="24"/>
  <c r="BO62" i="24" s="1"/>
  <c r="H66" i="31" s="1"/>
  <c r="BX48" i="24"/>
  <c r="BX62" i="24" s="1"/>
  <c r="H75" i="31" s="1"/>
  <c r="AB48" i="34"/>
  <c r="AB62" i="34" s="1"/>
  <c r="BX48" i="34"/>
  <c r="BX62" i="34" s="1"/>
  <c r="D48" i="24"/>
  <c r="D62" i="24" s="1"/>
  <c r="AJ48" i="24"/>
  <c r="AJ62" i="24" s="1"/>
  <c r="H35" i="31" s="1"/>
  <c r="CA48" i="24"/>
  <c r="CA62" i="24" s="1"/>
  <c r="H78" i="31" s="1"/>
  <c r="N48" i="24"/>
  <c r="N62" i="24" s="1"/>
  <c r="H13" i="31" s="1"/>
  <c r="C48" i="24"/>
  <c r="C62" i="24" s="1"/>
  <c r="K48" i="24"/>
  <c r="K62" i="24" s="1"/>
  <c r="D44" i="32" s="1"/>
  <c r="S48" i="24"/>
  <c r="S62" i="24" s="1"/>
  <c r="H18" i="31" s="1"/>
  <c r="AA48" i="24"/>
  <c r="AA62" i="24" s="1"/>
  <c r="F108" i="32" s="1"/>
  <c r="AI48" i="24"/>
  <c r="AI62" i="24" s="1"/>
  <c r="AQ48" i="24"/>
  <c r="AQ62" i="24" s="1"/>
  <c r="H42" i="31" s="1"/>
  <c r="AY48" i="24"/>
  <c r="AY62" i="24" s="1"/>
  <c r="H50" i="31" s="1"/>
  <c r="BG48" i="24"/>
  <c r="BG62" i="24" s="1"/>
  <c r="H58" i="31" s="1"/>
  <c r="BP48" i="24"/>
  <c r="BP62" i="24" s="1"/>
  <c r="H67" i="31" s="1"/>
  <c r="BY48" i="24"/>
  <c r="BY62" i="24" s="1"/>
  <c r="H76" i="31" s="1"/>
  <c r="AF48" i="34"/>
  <c r="AF62" i="34" s="1"/>
  <c r="BP48" i="34"/>
  <c r="BP62" i="34" s="1"/>
  <c r="BT48" i="34"/>
  <c r="BT62" i="34" s="1"/>
  <c r="BJ48" i="24"/>
  <c r="BJ62" i="24" s="1"/>
  <c r="H61" i="31" s="1"/>
  <c r="BR48" i="24"/>
  <c r="BR62" i="24" s="1"/>
  <c r="H69" i="31" s="1"/>
  <c r="BZ48" i="24"/>
  <c r="BZ62" i="24" s="1"/>
  <c r="P48" i="34"/>
  <c r="P62" i="34" s="1"/>
  <c r="AJ48" i="34"/>
  <c r="AJ62" i="34" s="1"/>
  <c r="BE48" i="34"/>
  <c r="BE62" i="34" s="1"/>
  <c r="CB48" i="34"/>
  <c r="CB62" i="34" s="1"/>
  <c r="Q48" i="34"/>
  <c r="Q62" i="34" s="1"/>
  <c r="AN48" i="34"/>
  <c r="AN62" i="34" s="1"/>
  <c r="BH48" i="34"/>
  <c r="BH62" i="34" s="1"/>
  <c r="CC48" i="34"/>
  <c r="CC62" i="34" s="1"/>
  <c r="T48" i="34"/>
  <c r="T62" i="34" s="1"/>
  <c r="AO48" i="34"/>
  <c r="AO62" i="34" s="1"/>
  <c r="BL48" i="34"/>
  <c r="BL62" i="34" s="1"/>
  <c r="X48" i="34"/>
  <c r="X62" i="34" s="1"/>
  <c r="AR48" i="34"/>
  <c r="AR62" i="34" s="1"/>
  <c r="H73" i="31"/>
  <c r="D332" i="32"/>
  <c r="H27" i="31"/>
  <c r="H28" i="31"/>
  <c r="H108" i="32"/>
  <c r="H60" i="31"/>
  <c r="H21" i="31"/>
  <c r="H76" i="32"/>
  <c r="G268" i="32"/>
  <c r="H63" i="31"/>
  <c r="H33" i="31"/>
  <c r="F140" i="32"/>
  <c r="H3" i="31"/>
  <c r="D12" i="32"/>
  <c r="H6" i="31"/>
  <c r="G12" i="32"/>
  <c r="O3" i="31"/>
  <c r="D19" i="32"/>
  <c r="AE40" i="31"/>
  <c r="F186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O35" i="31"/>
  <c r="H147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G19" i="4"/>
  <c r="E19" i="4"/>
  <c r="E220" i="24"/>
  <c r="H8" i="31"/>
  <c r="I12" i="32"/>
  <c r="O11" i="31"/>
  <c r="E51" i="32"/>
  <c r="I384" i="32"/>
  <c r="L612" i="24"/>
  <c r="I366" i="32"/>
  <c r="F612" i="24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I381" i="32"/>
  <c r="G612" i="24"/>
  <c r="D339" i="32"/>
  <c r="O27" i="31"/>
  <c r="G115" i="32"/>
  <c r="O75" i="31"/>
  <c r="F339" i="32"/>
  <c r="AE24" i="31"/>
  <c r="D122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BK2" i="30"/>
  <c r="I362" i="32"/>
  <c r="H612" i="24"/>
  <c r="O43" i="31"/>
  <c r="I179" i="32"/>
  <c r="O67" i="31"/>
  <c r="E307" i="32"/>
  <c r="AE32" i="31"/>
  <c r="E154" i="32"/>
  <c r="O5" i="31"/>
  <c r="F19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H72" i="31"/>
  <c r="C332" i="32"/>
  <c r="O19" i="31"/>
  <c r="F83" i="32"/>
  <c r="O59" i="31"/>
  <c r="D275" i="32"/>
  <c r="AE16" i="31"/>
  <c r="C90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E371" i="32"/>
  <c r="C61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CF2" i="28"/>
  <c r="D5" i="7"/>
  <c r="D258" i="24"/>
  <c r="I612" i="24"/>
  <c r="O51" i="31"/>
  <c r="C243" i="32"/>
  <c r="AE8" i="31"/>
  <c r="I26" i="32"/>
  <c r="CE89" i="24"/>
  <c r="H34" i="31"/>
  <c r="G140" i="32"/>
  <c r="H74" i="31"/>
  <c r="E332" i="32"/>
  <c r="O13" i="31"/>
  <c r="G51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G28" i="4"/>
  <c r="E28" i="4"/>
  <c r="BQ2" i="30"/>
  <c r="D383" i="24"/>
  <c r="C137" i="8" s="1"/>
  <c r="D341" i="24"/>
  <c r="D367" i="34"/>
  <c r="D384" i="34" s="1"/>
  <c r="D417" i="34" s="1"/>
  <c r="D421" i="34" s="1"/>
  <c r="D424" i="34" s="1"/>
  <c r="E380" i="34"/>
  <c r="D308" i="24"/>
  <c r="C113" i="8"/>
  <c r="E233" i="24"/>
  <c r="F32" i="6" s="1"/>
  <c r="D367" i="24"/>
  <c r="DF2" i="30"/>
  <c r="C170" i="8"/>
  <c r="E220" i="34"/>
  <c r="CA48" i="34"/>
  <c r="CA62" i="34" s="1"/>
  <c r="BS48" i="34"/>
  <c r="BS62" i="34" s="1"/>
  <c r="BK48" i="34"/>
  <c r="BK62" i="34" s="1"/>
  <c r="BC48" i="34"/>
  <c r="BC62" i="34" s="1"/>
  <c r="BC85" i="34" s="1"/>
  <c r="AU48" i="34"/>
  <c r="AU62" i="34" s="1"/>
  <c r="AM48" i="34"/>
  <c r="AM62" i="34" s="1"/>
  <c r="AE48" i="34"/>
  <c r="AE62" i="34" s="1"/>
  <c r="W48" i="34"/>
  <c r="W62" i="34" s="1"/>
  <c r="O48" i="34"/>
  <c r="O62" i="34" s="1"/>
  <c r="G48" i="34"/>
  <c r="G62" i="34" s="1"/>
  <c r="BZ48" i="34"/>
  <c r="BZ62" i="34" s="1"/>
  <c r="BR48" i="34"/>
  <c r="BR62" i="34" s="1"/>
  <c r="BJ48" i="34"/>
  <c r="BJ62" i="34" s="1"/>
  <c r="BB48" i="34"/>
  <c r="BB62" i="34" s="1"/>
  <c r="AT48" i="34"/>
  <c r="AT62" i="34" s="1"/>
  <c r="AL48" i="34"/>
  <c r="AL62" i="34" s="1"/>
  <c r="AD48" i="34"/>
  <c r="AD62" i="34" s="1"/>
  <c r="V48" i="34"/>
  <c r="V62" i="34" s="1"/>
  <c r="N48" i="34"/>
  <c r="N62" i="34" s="1"/>
  <c r="F48" i="34"/>
  <c r="F62" i="34" s="1"/>
  <c r="BY48" i="34"/>
  <c r="BY62" i="34" s="1"/>
  <c r="BQ48" i="34"/>
  <c r="BQ62" i="34" s="1"/>
  <c r="BI48" i="34"/>
  <c r="BI62" i="34" s="1"/>
  <c r="BA48" i="34"/>
  <c r="BA62" i="34" s="1"/>
  <c r="AS48" i="34"/>
  <c r="AS62" i="34" s="1"/>
  <c r="AK48" i="34"/>
  <c r="AK62" i="34" s="1"/>
  <c r="AC48" i="34"/>
  <c r="AC62" i="34" s="1"/>
  <c r="U48" i="34"/>
  <c r="U62" i="34" s="1"/>
  <c r="M48" i="34"/>
  <c r="M62" i="34" s="1"/>
  <c r="E48" i="34"/>
  <c r="E62" i="34" s="1"/>
  <c r="BW48" i="34"/>
  <c r="BW62" i="34" s="1"/>
  <c r="BO48" i="34"/>
  <c r="BO62" i="34" s="1"/>
  <c r="BG48" i="34"/>
  <c r="BG62" i="34" s="1"/>
  <c r="AY48" i="34"/>
  <c r="AY62" i="34" s="1"/>
  <c r="AQ48" i="34"/>
  <c r="AQ62" i="34" s="1"/>
  <c r="AI48" i="34"/>
  <c r="AI62" i="34" s="1"/>
  <c r="AI85" i="34" s="1"/>
  <c r="AA48" i="34"/>
  <c r="AA62" i="34" s="1"/>
  <c r="S48" i="34"/>
  <c r="S62" i="34" s="1"/>
  <c r="K48" i="34"/>
  <c r="K62" i="34" s="1"/>
  <c r="C48" i="34"/>
  <c r="CD48" i="34"/>
  <c r="BV48" i="34"/>
  <c r="BV62" i="34" s="1"/>
  <c r="BN48" i="34"/>
  <c r="BN62" i="34" s="1"/>
  <c r="BF48" i="34"/>
  <c r="BF62" i="34" s="1"/>
  <c r="AX48" i="34"/>
  <c r="AX62" i="34" s="1"/>
  <c r="AP48" i="34"/>
  <c r="AP62" i="34" s="1"/>
  <c r="AH48" i="34"/>
  <c r="AH62" i="34" s="1"/>
  <c r="Z48" i="34"/>
  <c r="Z62" i="34" s="1"/>
  <c r="R48" i="34"/>
  <c r="R62" i="34" s="1"/>
  <c r="J48" i="34"/>
  <c r="J62" i="34" s="1"/>
  <c r="E233" i="34"/>
  <c r="G52" i="34"/>
  <c r="G67" i="34" s="1"/>
  <c r="O52" i="34"/>
  <c r="O67" i="34" s="1"/>
  <c r="AM52" i="34"/>
  <c r="AM67" i="34" s="1"/>
  <c r="AU52" i="34"/>
  <c r="AU67" i="34" s="1"/>
  <c r="BC52" i="34"/>
  <c r="BC67" i="34" s="1"/>
  <c r="BK52" i="34"/>
  <c r="BK67" i="34" s="1"/>
  <c r="BS52" i="34"/>
  <c r="BS67" i="34" s="1"/>
  <c r="CA52" i="34"/>
  <c r="CA67" i="34" s="1"/>
  <c r="CF90" i="34"/>
  <c r="AE52" i="34" s="1"/>
  <c r="AE67" i="34" s="1"/>
  <c r="P52" i="34"/>
  <c r="P67" i="34" s="1"/>
  <c r="X52" i="34"/>
  <c r="X67" i="34" s="1"/>
  <c r="AF52" i="34"/>
  <c r="AF67" i="34" s="1"/>
  <c r="AN52" i="34"/>
  <c r="AN67" i="34" s="1"/>
  <c r="AV52" i="34"/>
  <c r="AV67" i="34" s="1"/>
  <c r="AV85" i="34" s="1"/>
  <c r="BD52" i="34"/>
  <c r="BD67" i="34" s="1"/>
  <c r="BL52" i="34"/>
  <c r="BL67" i="34" s="1"/>
  <c r="BT52" i="34"/>
  <c r="BT67" i="34" s="1"/>
  <c r="BT85" i="34" s="1"/>
  <c r="CB52" i="34"/>
  <c r="CB67" i="34" s="1"/>
  <c r="J52" i="34"/>
  <c r="J67" i="34" s="1"/>
  <c r="R52" i="34"/>
  <c r="R67" i="34" s="1"/>
  <c r="Z52" i="34"/>
  <c r="Z67" i="34" s="1"/>
  <c r="AH52" i="34"/>
  <c r="AH67" i="34" s="1"/>
  <c r="AP52" i="34"/>
  <c r="AP67" i="34" s="1"/>
  <c r="AX52" i="34"/>
  <c r="AX67" i="34" s="1"/>
  <c r="BF52" i="34"/>
  <c r="BF67" i="34" s="1"/>
  <c r="BN52" i="34"/>
  <c r="BN67" i="34" s="1"/>
  <c r="BV52" i="34"/>
  <c r="BV67" i="34" s="1"/>
  <c r="CD52" i="34"/>
  <c r="D308" i="34"/>
  <c r="C52" i="34"/>
  <c r="K52" i="34"/>
  <c r="K67" i="34" s="1"/>
  <c r="S52" i="34"/>
  <c r="S67" i="34" s="1"/>
  <c r="AA52" i="34"/>
  <c r="AA67" i="34" s="1"/>
  <c r="AI52" i="34"/>
  <c r="AI67" i="34" s="1"/>
  <c r="AQ52" i="34"/>
  <c r="AQ67" i="34" s="1"/>
  <c r="AY52" i="34"/>
  <c r="AY67" i="34" s="1"/>
  <c r="BG52" i="34"/>
  <c r="BG67" i="34" s="1"/>
  <c r="BO52" i="34"/>
  <c r="BO67" i="34" s="1"/>
  <c r="BW52" i="34"/>
  <c r="BW67" i="34" s="1"/>
  <c r="CD85" i="34"/>
  <c r="B94" i="15" s="1"/>
  <c r="D52" i="34"/>
  <c r="D67" i="34" s="1"/>
  <c r="D85" i="34" s="1"/>
  <c r="L52" i="34"/>
  <c r="L67" i="34" s="1"/>
  <c r="T52" i="34"/>
  <c r="T67" i="34" s="1"/>
  <c r="AB52" i="34"/>
  <c r="AB67" i="34" s="1"/>
  <c r="AJ52" i="34"/>
  <c r="AJ67" i="34" s="1"/>
  <c r="AR52" i="34"/>
  <c r="AR67" i="34" s="1"/>
  <c r="AR85" i="34" s="1"/>
  <c r="AZ52" i="34"/>
  <c r="AZ67" i="34" s="1"/>
  <c r="AZ85" i="34" s="1"/>
  <c r="BH52" i="34"/>
  <c r="BH67" i="34" s="1"/>
  <c r="BP52" i="34"/>
  <c r="BP67" i="34" s="1"/>
  <c r="BX52" i="34"/>
  <c r="BX67" i="34" s="1"/>
  <c r="D26" i="33" l="1"/>
  <c r="C167" i="8"/>
  <c r="E241" i="32"/>
  <c r="M61" i="31"/>
  <c r="M4" i="31"/>
  <c r="H113" i="32"/>
  <c r="M34" i="31"/>
  <c r="M28" i="31"/>
  <c r="M59" i="31"/>
  <c r="M37" i="31"/>
  <c r="G305" i="32"/>
  <c r="M42" i="31"/>
  <c r="CE52" i="24"/>
  <c r="I113" i="32"/>
  <c r="AH85" i="24"/>
  <c r="F81" i="32"/>
  <c r="AI85" i="24"/>
  <c r="C47" i="15" s="1"/>
  <c r="G47" i="15" s="1"/>
  <c r="BU85" i="24"/>
  <c r="C85" i="15" s="1"/>
  <c r="G85" i="15" s="1"/>
  <c r="G81" i="32"/>
  <c r="C305" i="32"/>
  <c r="M33" i="31"/>
  <c r="H241" i="32"/>
  <c r="G241" i="32"/>
  <c r="G113" i="32"/>
  <c r="C49" i="32"/>
  <c r="AL85" i="24"/>
  <c r="C50" i="15" s="1"/>
  <c r="G50" i="15" s="1"/>
  <c r="M16" i="31"/>
  <c r="D337" i="32"/>
  <c r="H273" i="32"/>
  <c r="X85" i="24"/>
  <c r="C36" i="15" s="1"/>
  <c r="G36" i="15" s="1"/>
  <c r="M23" i="31"/>
  <c r="M43" i="31"/>
  <c r="D305" i="32"/>
  <c r="D49" i="32"/>
  <c r="M41" i="31"/>
  <c r="M31" i="31"/>
  <c r="M73" i="31"/>
  <c r="C145" i="32"/>
  <c r="M12" i="31"/>
  <c r="F177" i="32"/>
  <c r="H17" i="32"/>
  <c r="AF85" i="24"/>
  <c r="D149" i="32" s="1"/>
  <c r="C209" i="32"/>
  <c r="M62" i="31"/>
  <c r="F241" i="32"/>
  <c r="F209" i="32"/>
  <c r="I81" i="32"/>
  <c r="M13" i="31"/>
  <c r="M11" i="31"/>
  <c r="E145" i="32"/>
  <c r="C241" i="32"/>
  <c r="CE67" i="24"/>
  <c r="I369" i="32" s="1"/>
  <c r="C17" i="32"/>
  <c r="C337" i="32"/>
  <c r="BC85" i="24"/>
  <c r="F245" i="32" s="1"/>
  <c r="C273" i="32"/>
  <c r="M14" i="31"/>
  <c r="M57" i="31"/>
  <c r="C369" i="32"/>
  <c r="F17" i="32"/>
  <c r="F113" i="32"/>
  <c r="D369" i="32"/>
  <c r="M60" i="31"/>
  <c r="M78" i="31"/>
  <c r="BW85" i="24"/>
  <c r="C643" i="24" s="1"/>
  <c r="E209" i="32"/>
  <c r="G337" i="32"/>
  <c r="F337" i="32"/>
  <c r="E113" i="32"/>
  <c r="H81" i="32"/>
  <c r="E337" i="32"/>
  <c r="I273" i="32"/>
  <c r="D113" i="32"/>
  <c r="I49" i="32"/>
  <c r="M21" i="31"/>
  <c r="G273" i="32"/>
  <c r="Y85" i="24"/>
  <c r="D117" i="32" s="1"/>
  <c r="F305" i="32"/>
  <c r="D241" i="32"/>
  <c r="G85" i="24"/>
  <c r="C19" i="15" s="1"/>
  <c r="G19" i="15" s="1"/>
  <c r="I145" i="32"/>
  <c r="M48" i="31"/>
  <c r="I85" i="24"/>
  <c r="I21" i="32" s="1"/>
  <c r="H337" i="32"/>
  <c r="D209" i="32"/>
  <c r="I209" i="32"/>
  <c r="E81" i="32"/>
  <c r="I17" i="32"/>
  <c r="H209" i="32"/>
  <c r="M17" i="31"/>
  <c r="D85" i="24"/>
  <c r="D21" i="32" s="1"/>
  <c r="I305" i="32"/>
  <c r="E177" i="32"/>
  <c r="H305" i="32"/>
  <c r="D177" i="32"/>
  <c r="G17" i="32"/>
  <c r="E305" i="32"/>
  <c r="H145" i="32"/>
  <c r="D17" i="32"/>
  <c r="BZ85" i="24"/>
  <c r="H341" i="32" s="1"/>
  <c r="BA85" i="24"/>
  <c r="C630" i="24" s="1"/>
  <c r="G76" i="32"/>
  <c r="Z85" i="24"/>
  <c r="E117" i="32" s="1"/>
  <c r="G236" i="32"/>
  <c r="H25" i="31"/>
  <c r="BX85" i="34"/>
  <c r="C644" i="34" s="1"/>
  <c r="BN85" i="24"/>
  <c r="C309" i="32" s="1"/>
  <c r="BP85" i="34"/>
  <c r="C621" i="34" s="1"/>
  <c r="I268" i="32"/>
  <c r="I108" i="32"/>
  <c r="H26" i="31"/>
  <c r="AA85" i="24"/>
  <c r="F117" i="32" s="1"/>
  <c r="I300" i="32"/>
  <c r="C300" i="32"/>
  <c r="BL85" i="24"/>
  <c r="H277" i="32" s="1"/>
  <c r="AB85" i="24"/>
  <c r="G117" i="32" s="1"/>
  <c r="BM85" i="24"/>
  <c r="I277" i="32" s="1"/>
  <c r="U85" i="24"/>
  <c r="G85" i="32" s="1"/>
  <c r="BD85" i="24"/>
  <c r="C624" i="24" s="1"/>
  <c r="AD85" i="24"/>
  <c r="C695" i="24" s="1"/>
  <c r="H4" i="31"/>
  <c r="X85" i="34"/>
  <c r="B36" i="15" s="1"/>
  <c r="CB85" i="34"/>
  <c r="C622" i="34" s="1"/>
  <c r="D140" i="32"/>
  <c r="H70" i="31"/>
  <c r="J85" i="24"/>
  <c r="C675" i="24" s="1"/>
  <c r="C108" i="32"/>
  <c r="H17" i="31"/>
  <c r="K85" i="24"/>
  <c r="D53" i="32" s="1"/>
  <c r="C44" i="32"/>
  <c r="H48" i="31"/>
  <c r="AW85" i="24"/>
  <c r="C61" i="15" s="1"/>
  <c r="BS85" i="24"/>
  <c r="C83" i="15" s="1"/>
  <c r="G83" i="15" s="1"/>
  <c r="BT85" i="24"/>
  <c r="C640" i="24" s="1"/>
  <c r="BX85" i="24"/>
  <c r="C644" i="24" s="1"/>
  <c r="H31" i="31"/>
  <c r="H23" i="31"/>
  <c r="C172" i="32"/>
  <c r="T85" i="34"/>
  <c r="C685" i="34" s="1"/>
  <c r="H10" i="31"/>
  <c r="L85" i="34"/>
  <c r="C677" i="34" s="1"/>
  <c r="H80" i="31"/>
  <c r="AO85" i="24"/>
  <c r="F181" i="32" s="1"/>
  <c r="AM85" i="24"/>
  <c r="C51" i="15" s="1"/>
  <c r="G51" i="15" s="1"/>
  <c r="P85" i="24"/>
  <c r="C28" i="15" s="1"/>
  <c r="G28" i="15" s="1"/>
  <c r="T85" i="24"/>
  <c r="F85" i="32" s="1"/>
  <c r="H47" i="31"/>
  <c r="AJ85" i="34"/>
  <c r="C701" i="34" s="1"/>
  <c r="G332" i="32"/>
  <c r="F332" i="32"/>
  <c r="D108" i="32"/>
  <c r="AU85" i="24"/>
  <c r="C712" i="24" s="1"/>
  <c r="E204" i="32"/>
  <c r="E85" i="24"/>
  <c r="E21" i="32" s="1"/>
  <c r="AZ85" i="24"/>
  <c r="C245" i="32" s="1"/>
  <c r="BY85" i="24"/>
  <c r="C89" i="15" s="1"/>
  <c r="G89" i="15" s="1"/>
  <c r="H37" i="31"/>
  <c r="H172" i="32"/>
  <c r="C236" i="32"/>
  <c r="BD85" i="34"/>
  <c r="B68" i="15" s="1"/>
  <c r="AK85" i="24"/>
  <c r="I149" i="32" s="1"/>
  <c r="O85" i="24"/>
  <c r="H53" i="32" s="1"/>
  <c r="I140" i="32"/>
  <c r="AN85" i="34"/>
  <c r="B52" i="15" s="1"/>
  <c r="H44" i="32"/>
  <c r="H41" i="31"/>
  <c r="AY85" i="24"/>
  <c r="C63" i="15" s="1"/>
  <c r="G63" i="15" s="1"/>
  <c r="D236" i="32"/>
  <c r="H24" i="31"/>
  <c r="AP85" i="24"/>
  <c r="C707" i="24" s="1"/>
  <c r="H140" i="32"/>
  <c r="AQ85" i="24"/>
  <c r="C708" i="24" s="1"/>
  <c r="E44" i="32"/>
  <c r="H53" i="31"/>
  <c r="I204" i="32"/>
  <c r="H43" i="31"/>
  <c r="BH85" i="24"/>
  <c r="D277" i="32" s="1"/>
  <c r="P85" i="34"/>
  <c r="C681" i="34" s="1"/>
  <c r="Q85" i="24"/>
  <c r="C682" i="24" s="1"/>
  <c r="C76" i="32"/>
  <c r="AJ85" i="24"/>
  <c r="H149" i="32" s="1"/>
  <c r="BG85" i="24"/>
  <c r="C277" i="32" s="1"/>
  <c r="H332" i="32"/>
  <c r="BJ85" i="24"/>
  <c r="C74" i="15" s="1"/>
  <c r="G74" i="15" s="1"/>
  <c r="F268" i="32"/>
  <c r="BO85" i="24"/>
  <c r="D309" i="32" s="1"/>
  <c r="AE85" i="24"/>
  <c r="C696" i="24" s="1"/>
  <c r="H77" i="31"/>
  <c r="H52" i="31"/>
  <c r="D268" i="32"/>
  <c r="C140" i="32"/>
  <c r="BR85" i="24"/>
  <c r="C626" i="24" s="1"/>
  <c r="N85" i="24"/>
  <c r="C679" i="24" s="1"/>
  <c r="AG85" i="24"/>
  <c r="C45" i="15" s="1"/>
  <c r="G45" i="15" s="1"/>
  <c r="G44" i="32"/>
  <c r="BF85" i="24"/>
  <c r="I245" i="32" s="1"/>
  <c r="I236" i="32"/>
  <c r="F85" i="24"/>
  <c r="F21" i="32" s="1"/>
  <c r="E140" i="32"/>
  <c r="C268" i="32"/>
  <c r="BB85" i="24"/>
  <c r="C66" i="15" s="1"/>
  <c r="G66" i="15" s="1"/>
  <c r="F12" i="32"/>
  <c r="AR85" i="24"/>
  <c r="I181" i="32" s="1"/>
  <c r="L85" i="24"/>
  <c r="E53" i="32" s="1"/>
  <c r="H45" i="31"/>
  <c r="H49" i="31"/>
  <c r="S85" i="24"/>
  <c r="E85" i="32" s="1"/>
  <c r="CA85" i="24"/>
  <c r="I341" i="32" s="1"/>
  <c r="F236" i="32"/>
  <c r="W85" i="24"/>
  <c r="I85" i="32" s="1"/>
  <c r="AS85" i="24"/>
  <c r="C57" i="15" s="1"/>
  <c r="G57" i="15" s="1"/>
  <c r="I332" i="32"/>
  <c r="I76" i="32"/>
  <c r="C204" i="32"/>
  <c r="BH85" i="34"/>
  <c r="C636" i="34" s="1"/>
  <c r="E76" i="32"/>
  <c r="H39" i="31"/>
  <c r="G300" i="32"/>
  <c r="AT85" i="24"/>
  <c r="D213" i="32" s="1"/>
  <c r="AX85" i="24"/>
  <c r="H213" i="32" s="1"/>
  <c r="F76" i="32"/>
  <c r="H54" i="31"/>
  <c r="CB85" i="24"/>
  <c r="C622" i="24" s="1"/>
  <c r="C364" i="32"/>
  <c r="BL85" i="34"/>
  <c r="C637" i="34" s="1"/>
  <c r="H56" i="31"/>
  <c r="M85" i="24"/>
  <c r="F53" i="32" s="1"/>
  <c r="CC85" i="24"/>
  <c r="D373" i="32" s="1"/>
  <c r="F44" i="32"/>
  <c r="BE85" i="24"/>
  <c r="H245" i="32" s="1"/>
  <c r="AB85" i="34"/>
  <c r="C693" i="34" s="1"/>
  <c r="AF85" i="34"/>
  <c r="B44" i="15" s="1"/>
  <c r="AV85" i="24"/>
  <c r="C713" i="24" s="1"/>
  <c r="AN85" i="24"/>
  <c r="E181" i="32" s="1"/>
  <c r="BP85" i="24"/>
  <c r="C621" i="24" s="1"/>
  <c r="R85" i="24"/>
  <c r="C30" i="15" s="1"/>
  <c r="G30" i="15" s="1"/>
  <c r="C85" i="24"/>
  <c r="H2" i="31"/>
  <c r="C12" i="32"/>
  <c r="CE62" i="24"/>
  <c r="I364" i="32" s="1"/>
  <c r="D300" i="32"/>
  <c r="I44" i="32"/>
  <c r="D172" i="32"/>
  <c r="E300" i="32"/>
  <c r="F172" i="32"/>
  <c r="H85" i="24"/>
  <c r="H21" i="32" s="1"/>
  <c r="BQ85" i="24"/>
  <c r="F309" i="32" s="1"/>
  <c r="CE48" i="24"/>
  <c r="H12" i="32"/>
  <c r="F300" i="32"/>
  <c r="BI85" i="24"/>
  <c r="E277" i="32" s="1"/>
  <c r="BF85" i="34"/>
  <c r="B70" i="15" s="1"/>
  <c r="J85" i="34"/>
  <c r="C675" i="34" s="1"/>
  <c r="BN85" i="34"/>
  <c r="C619" i="34" s="1"/>
  <c r="AQ85" i="34"/>
  <c r="C708" i="34" s="1"/>
  <c r="C709" i="34"/>
  <c r="B56" i="15"/>
  <c r="B80" i="15"/>
  <c r="C67" i="34"/>
  <c r="C700" i="34"/>
  <c r="B47" i="15"/>
  <c r="H85" i="32"/>
  <c r="C34" i="15"/>
  <c r="G34" i="15" s="1"/>
  <c r="C687" i="24"/>
  <c r="C713" i="34"/>
  <c r="B60" i="15"/>
  <c r="G149" i="32"/>
  <c r="C700" i="24"/>
  <c r="F234" i="24"/>
  <c r="F16" i="6"/>
  <c r="C628" i="34"/>
  <c r="B64" i="15"/>
  <c r="BV85" i="34"/>
  <c r="AY85" i="34"/>
  <c r="G85" i="34"/>
  <c r="BS85" i="34"/>
  <c r="C87" i="8"/>
  <c r="D350" i="24"/>
  <c r="C669" i="34"/>
  <c r="B16" i="15"/>
  <c r="D352" i="34"/>
  <c r="F309" i="34"/>
  <c r="R85" i="34"/>
  <c r="BG85" i="34"/>
  <c r="O85" i="34"/>
  <c r="CA85" i="34"/>
  <c r="Z85" i="34"/>
  <c r="CE48" i="34"/>
  <c r="C62" i="34"/>
  <c r="BO85" i="34"/>
  <c r="F234" i="34"/>
  <c r="E373" i="32"/>
  <c r="C94" i="15"/>
  <c r="G94" i="15" s="1"/>
  <c r="BK85" i="34"/>
  <c r="I378" i="32"/>
  <c r="K612" i="24"/>
  <c r="B84" i="15"/>
  <c r="C640" i="34"/>
  <c r="H52" i="34"/>
  <c r="H67" i="34" s="1"/>
  <c r="H85" i="34" s="1"/>
  <c r="AH85" i="34"/>
  <c r="K85" i="34"/>
  <c r="BW85" i="34"/>
  <c r="BI85" i="34"/>
  <c r="AE85" i="34"/>
  <c r="E380" i="24"/>
  <c r="D12" i="33"/>
  <c r="G277" i="32"/>
  <c r="C75" i="15"/>
  <c r="G75" i="15" s="1"/>
  <c r="C635" i="24"/>
  <c r="C633" i="34"/>
  <c r="B67" i="15"/>
  <c r="H117" i="32"/>
  <c r="C41" i="15"/>
  <c r="G41" i="15" s="1"/>
  <c r="C694" i="24"/>
  <c r="BR52" i="34"/>
  <c r="BR67" i="34" s="1"/>
  <c r="AW52" i="34"/>
  <c r="AW67" i="34" s="1"/>
  <c r="AW85" i="34" s="1"/>
  <c r="AC52" i="34"/>
  <c r="AC67" i="34" s="1"/>
  <c r="AC85" i="34" s="1"/>
  <c r="F52" i="34"/>
  <c r="F67" i="34" s="1"/>
  <c r="F85" i="34" s="1"/>
  <c r="BQ52" i="34"/>
  <c r="BQ67" i="34" s="1"/>
  <c r="BQ85" i="34" s="1"/>
  <c r="AT52" i="34"/>
  <c r="AT67" i="34" s="1"/>
  <c r="AT85" i="34" s="1"/>
  <c r="Y52" i="34"/>
  <c r="Y67" i="34" s="1"/>
  <c r="Y85" i="34" s="1"/>
  <c r="E52" i="34"/>
  <c r="E67" i="34" s="1"/>
  <c r="E85" i="34" s="1"/>
  <c r="BM52" i="34"/>
  <c r="BM67" i="34" s="1"/>
  <c r="BM85" i="34" s="1"/>
  <c r="AS52" i="34"/>
  <c r="AS67" i="34" s="1"/>
  <c r="AS85" i="34" s="1"/>
  <c r="V52" i="34"/>
  <c r="V67" i="34" s="1"/>
  <c r="V85" i="34" s="1"/>
  <c r="BJ52" i="34"/>
  <c r="BJ67" i="34" s="1"/>
  <c r="AO52" i="34"/>
  <c r="AO67" i="34" s="1"/>
  <c r="AO85" i="34" s="1"/>
  <c r="U52" i="34"/>
  <c r="U67" i="34" s="1"/>
  <c r="U85" i="34" s="1"/>
  <c r="CC52" i="34"/>
  <c r="CC67" i="34" s="1"/>
  <c r="CC85" i="34" s="1"/>
  <c r="BI52" i="34"/>
  <c r="BI67" i="34" s="1"/>
  <c r="AL52" i="34"/>
  <c r="AL67" i="34" s="1"/>
  <c r="AL85" i="34" s="1"/>
  <c r="Q52" i="34"/>
  <c r="Q67" i="34" s="1"/>
  <c r="Q85" i="34" s="1"/>
  <c r="BZ52" i="34"/>
  <c r="BZ67" i="34" s="1"/>
  <c r="BZ85" i="34" s="1"/>
  <c r="BE52" i="34"/>
  <c r="BE67" i="34" s="1"/>
  <c r="BE85" i="34" s="1"/>
  <c r="AK52" i="34"/>
  <c r="AK67" i="34" s="1"/>
  <c r="AK85" i="34" s="1"/>
  <c r="N52" i="34"/>
  <c r="N67" i="34" s="1"/>
  <c r="N85" i="34" s="1"/>
  <c r="BU52" i="34"/>
  <c r="BU67" i="34" s="1"/>
  <c r="BU85" i="34" s="1"/>
  <c r="BB52" i="34"/>
  <c r="BB67" i="34" s="1"/>
  <c r="BA52" i="34"/>
  <c r="BA67" i="34" s="1"/>
  <c r="BA85" i="34" s="1"/>
  <c r="AG52" i="34"/>
  <c r="AG67" i="34" s="1"/>
  <c r="AG85" i="34" s="1"/>
  <c r="AD52" i="34"/>
  <c r="AD67" i="34" s="1"/>
  <c r="AD85" i="34" s="1"/>
  <c r="M52" i="34"/>
  <c r="M67" i="34" s="1"/>
  <c r="I52" i="34"/>
  <c r="I67" i="34" s="1"/>
  <c r="I85" i="34" s="1"/>
  <c r="BY52" i="34"/>
  <c r="BY67" i="34" s="1"/>
  <c r="BY85" i="34" s="1"/>
  <c r="W52" i="34"/>
  <c r="W67" i="34" s="1"/>
  <c r="W85" i="34" s="1"/>
  <c r="AP85" i="34"/>
  <c r="S85" i="34"/>
  <c r="BB85" i="34"/>
  <c r="AM85" i="34"/>
  <c r="C121" i="8"/>
  <c r="D384" i="24"/>
  <c r="BR85" i="34"/>
  <c r="AX85" i="34"/>
  <c r="AA85" i="34"/>
  <c r="M85" i="34"/>
  <c r="BJ85" i="34"/>
  <c r="AU85" i="34"/>
  <c r="C50" i="8"/>
  <c r="F309" i="24"/>
  <c r="D352" i="24"/>
  <c r="C103" i="8" s="1"/>
  <c r="C46" i="15"/>
  <c r="G46" i="15" s="1"/>
  <c r="F149" i="32"/>
  <c r="C699" i="24"/>
  <c r="D341" i="32"/>
  <c r="C86" i="15"/>
  <c r="G86" i="15" s="1"/>
  <c r="C642" i="24"/>
  <c r="CE85" i="24" l="1"/>
  <c r="I373" i="32" s="1"/>
  <c r="C341" i="32"/>
  <c r="C181" i="32"/>
  <c r="C87" i="15"/>
  <c r="G87" i="15" s="1"/>
  <c r="C641" i="24"/>
  <c r="E341" i="32"/>
  <c r="C703" i="24"/>
  <c r="C697" i="24"/>
  <c r="C689" i="24"/>
  <c r="C117" i="32"/>
  <c r="C44" i="15"/>
  <c r="G44" i="15" s="1"/>
  <c r="C631" i="24"/>
  <c r="C646" i="24"/>
  <c r="C65" i="15"/>
  <c r="G65" i="15" s="1"/>
  <c r="D245" i="32"/>
  <c r="C690" i="24"/>
  <c r="C37" i="15"/>
  <c r="G37" i="15" s="1"/>
  <c r="C633" i="24"/>
  <c r="C67" i="15"/>
  <c r="G67" i="15" s="1"/>
  <c r="C16" i="15"/>
  <c r="G16" i="15" s="1"/>
  <c r="G309" i="32"/>
  <c r="I117" i="32"/>
  <c r="G213" i="32"/>
  <c r="C672" i="24"/>
  <c r="C704" i="24"/>
  <c r="G21" i="32"/>
  <c r="D181" i="32"/>
  <c r="C90" i="15"/>
  <c r="G90" i="15" s="1"/>
  <c r="C59" i="15"/>
  <c r="G59" i="15" s="1"/>
  <c r="E213" i="32"/>
  <c r="C669" i="24"/>
  <c r="C674" i="24"/>
  <c r="C21" i="15"/>
  <c r="G21" i="15" s="1"/>
  <c r="C22" i="15"/>
  <c r="G22" i="15" s="1"/>
  <c r="C42" i="15"/>
  <c r="G42" i="15" s="1"/>
  <c r="I309" i="32"/>
  <c r="C82" i="15"/>
  <c r="G82" i="15" s="1"/>
  <c r="C33" i="15"/>
  <c r="G33" i="15" s="1"/>
  <c r="C624" i="34"/>
  <c r="C38" i="15"/>
  <c r="G38" i="15" s="1"/>
  <c r="C689" i="34"/>
  <c r="B88" i="15"/>
  <c r="C619" i="24"/>
  <c r="C78" i="15"/>
  <c r="G78" i="15" s="1"/>
  <c r="C637" i="24"/>
  <c r="C76" i="15"/>
  <c r="G76" i="15" s="1"/>
  <c r="C692" i="24"/>
  <c r="C691" i="24"/>
  <c r="C693" i="24"/>
  <c r="C40" i="15"/>
  <c r="G40" i="15" s="1"/>
  <c r="C39" i="15"/>
  <c r="G39" i="15" s="1"/>
  <c r="C638" i="24"/>
  <c r="C77" i="15"/>
  <c r="G77" i="15" s="1"/>
  <c r="C84" i="15"/>
  <c r="G84" i="15" s="1"/>
  <c r="C53" i="32"/>
  <c r="C686" i="24"/>
  <c r="I213" i="32"/>
  <c r="C88" i="15"/>
  <c r="G88" i="15" s="1"/>
  <c r="C68" i="15"/>
  <c r="G68" i="15" s="1"/>
  <c r="G245" i="32"/>
  <c r="C706" i="24"/>
  <c r="H309" i="32"/>
  <c r="B48" i="15"/>
  <c r="F48" i="15" s="1"/>
  <c r="C23" i="15"/>
  <c r="G23" i="15" s="1"/>
  <c r="B92" i="15"/>
  <c r="G341" i="32"/>
  <c r="C645" i="24"/>
  <c r="C705" i="34"/>
  <c r="C85" i="32"/>
  <c r="C628" i="24"/>
  <c r="C64" i="15"/>
  <c r="G64" i="15" s="1"/>
  <c r="C709" i="24"/>
  <c r="C639" i="24"/>
  <c r="C676" i="24"/>
  <c r="B24" i="15"/>
  <c r="F24" i="15" s="1"/>
  <c r="C53" i="15"/>
  <c r="G53" i="15" s="1"/>
  <c r="F341" i="32"/>
  <c r="C625" i="24"/>
  <c r="B55" i="15"/>
  <c r="H55" i="15" s="1"/>
  <c r="I55" i="15" s="1"/>
  <c r="I53" i="32"/>
  <c r="C54" i="15"/>
  <c r="G54" i="15" s="1"/>
  <c r="G181" i="32"/>
  <c r="C56" i="15"/>
  <c r="G56" i="15" s="1"/>
  <c r="C27" i="15"/>
  <c r="G27" i="15" s="1"/>
  <c r="C680" i="24"/>
  <c r="C681" i="24"/>
  <c r="C678" i="24"/>
  <c r="C670" i="24"/>
  <c r="B32" i="15"/>
  <c r="C627" i="24"/>
  <c r="C17" i="15"/>
  <c r="G17" i="15" s="1"/>
  <c r="C685" i="24"/>
  <c r="C79" i="15"/>
  <c r="G79" i="15" s="1"/>
  <c r="C32" i="15"/>
  <c r="G32" i="15" s="1"/>
  <c r="B28" i="15"/>
  <c r="H28" i="15" s="1"/>
  <c r="I28" i="15" s="1"/>
  <c r="C29" i="15"/>
  <c r="G29" i="15" s="1"/>
  <c r="C25" i="15"/>
  <c r="G25" i="15" s="1"/>
  <c r="C80" i="15"/>
  <c r="G80" i="15" s="1"/>
  <c r="C702" i="24"/>
  <c r="C49" i="15"/>
  <c r="G49" i="15" s="1"/>
  <c r="E245" i="32"/>
  <c r="E309" i="32"/>
  <c r="C711" i="24"/>
  <c r="C58" i="15"/>
  <c r="G58" i="15" s="1"/>
  <c r="F277" i="32"/>
  <c r="C43" i="15"/>
  <c r="G43" i="15" s="1"/>
  <c r="C149" i="32"/>
  <c r="C710" i="24"/>
  <c r="C91" i="15"/>
  <c r="G91" i="15" s="1"/>
  <c r="C213" i="32"/>
  <c r="C647" i="24"/>
  <c r="C617" i="24"/>
  <c r="C697" i="34"/>
  <c r="C73" i="15"/>
  <c r="G73" i="15" s="1"/>
  <c r="C634" i="24"/>
  <c r="C668" i="24"/>
  <c r="C55" i="15"/>
  <c r="G55" i="15" s="1"/>
  <c r="H181" i="32"/>
  <c r="C616" i="24"/>
  <c r="C70" i="15"/>
  <c r="G70" i="15" s="1"/>
  <c r="C701" i="24"/>
  <c r="C673" i="24"/>
  <c r="C48" i="15"/>
  <c r="G48" i="15" s="1"/>
  <c r="C629" i="34"/>
  <c r="C618" i="24"/>
  <c r="C683" i="24"/>
  <c r="C69" i="15"/>
  <c r="G69" i="15" s="1"/>
  <c r="C671" i="24"/>
  <c r="C18" i="15"/>
  <c r="G18" i="15" s="1"/>
  <c r="C71" i="15"/>
  <c r="G71" i="15" s="1"/>
  <c r="C677" i="24"/>
  <c r="B40" i="15"/>
  <c r="C684" i="24"/>
  <c r="C31" i="15"/>
  <c r="G31" i="15" s="1"/>
  <c r="C81" i="15"/>
  <c r="G81" i="15" s="1"/>
  <c r="B72" i="15"/>
  <c r="C92" i="15"/>
  <c r="G92" i="15" s="1"/>
  <c r="C373" i="32"/>
  <c r="C636" i="24"/>
  <c r="C72" i="15"/>
  <c r="G72" i="15" s="1"/>
  <c r="G53" i="32"/>
  <c r="C623" i="24"/>
  <c r="C24" i="15"/>
  <c r="G24" i="15" s="1"/>
  <c r="C93" i="15"/>
  <c r="G93" i="15" s="1"/>
  <c r="C629" i="24"/>
  <c r="C62" i="15"/>
  <c r="D85" i="32"/>
  <c r="C60" i="15"/>
  <c r="B76" i="15"/>
  <c r="C26" i="15"/>
  <c r="G26" i="15" s="1"/>
  <c r="F213" i="32"/>
  <c r="C632" i="24"/>
  <c r="C620" i="24"/>
  <c r="C698" i="24"/>
  <c r="E149" i="32"/>
  <c r="C35" i="15"/>
  <c r="G35" i="15" s="1"/>
  <c r="C614" i="24"/>
  <c r="C20" i="15"/>
  <c r="G20" i="15" s="1"/>
  <c r="C688" i="24"/>
  <c r="C705" i="24"/>
  <c r="B78" i="15"/>
  <c r="C52" i="15"/>
  <c r="G52" i="15" s="1"/>
  <c r="C15" i="15"/>
  <c r="G15" i="15" s="1"/>
  <c r="C21" i="32"/>
  <c r="B22" i="15"/>
  <c r="H22" i="15" s="1"/>
  <c r="I22" i="15" s="1"/>
  <c r="C703" i="34"/>
  <c r="B50" i="15"/>
  <c r="C688" i="34"/>
  <c r="B35" i="15"/>
  <c r="C702" i="34"/>
  <c r="B49" i="15"/>
  <c r="C623" i="34"/>
  <c r="B81" i="15"/>
  <c r="C679" i="34"/>
  <c r="B26" i="15"/>
  <c r="C671" i="34"/>
  <c r="B18" i="15"/>
  <c r="C630" i="34"/>
  <c r="B65" i="15"/>
  <c r="C686" i="34"/>
  <c r="B33" i="15"/>
  <c r="C695" i="34"/>
  <c r="B42" i="15"/>
  <c r="C646" i="34"/>
  <c r="B90" i="15"/>
  <c r="C711" i="34"/>
  <c r="B58" i="15"/>
  <c r="C710" i="34"/>
  <c r="B57" i="15"/>
  <c r="H16" i="15"/>
  <c r="I16" i="15" s="1"/>
  <c r="F16" i="15"/>
  <c r="C687" i="34"/>
  <c r="B34" i="15"/>
  <c r="H52" i="15"/>
  <c r="I52" i="15" s="1"/>
  <c r="F52" i="15"/>
  <c r="C645" i="34"/>
  <c r="B89" i="15"/>
  <c r="C632" i="34"/>
  <c r="B66" i="15"/>
  <c r="C614" i="34"/>
  <c r="B69" i="15"/>
  <c r="C643" i="34"/>
  <c r="B87" i="15"/>
  <c r="C635" i="34"/>
  <c r="B75" i="15"/>
  <c r="C85" i="34"/>
  <c r="CE62" i="34"/>
  <c r="C647" i="34"/>
  <c r="B91" i="15"/>
  <c r="CE67" i="34"/>
  <c r="C617" i="34"/>
  <c r="B74" i="15"/>
  <c r="C706" i="34"/>
  <c r="B53" i="15"/>
  <c r="C627" i="34"/>
  <c r="B79" i="15"/>
  <c r="CE52" i="34"/>
  <c r="C678" i="34"/>
  <c r="B25" i="15"/>
  <c r="C626" i="34"/>
  <c r="B82" i="15"/>
  <c r="C676" i="34"/>
  <c r="B23" i="15"/>
  <c r="C680" i="34"/>
  <c r="B27" i="15"/>
  <c r="C625" i="34"/>
  <c r="B63" i="15"/>
  <c r="C694" i="34"/>
  <c r="B41" i="15"/>
  <c r="C692" i="34"/>
  <c r="B39" i="15"/>
  <c r="C670" i="34"/>
  <c r="B17" i="15"/>
  <c r="C698" i="34"/>
  <c r="B45" i="15"/>
  <c r="C682" i="34"/>
  <c r="B29" i="15"/>
  <c r="C631" i="34"/>
  <c r="B61" i="15"/>
  <c r="C699" i="34"/>
  <c r="B46" i="15"/>
  <c r="C691" i="34"/>
  <c r="B38" i="15"/>
  <c r="C642" i="34"/>
  <c r="B86" i="15"/>
  <c r="C704" i="34"/>
  <c r="B51" i="15"/>
  <c r="C616" i="34"/>
  <c r="B62" i="15"/>
  <c r="C684" i="34"/>
  <c r="B31" i="15"/>
  <c r="C638" i="34"/>
  <c r="B77" i="15"/>
  <c r="C673" i="34"/>
  <c r="B20" i="15"/>
  <c r="H36" i="15"/>
  <c r="I36" i="15" s="1"/>
  <c r="F36" i="15"/>
  <c r="F56" i="15"/>
  <c r="C707" i="34"/>
  <c r="B54" i="15"/>
  <c r="C618" i="34"/>
  <c r="B71" i="15"/>
  <c r="C674" i="34"/>
  <c r="B21" i="15"/>
  <c r="C634" i="34"/>
  <c r="B73" i="15"/>
  <c r="C138" i="8"/>
  <c r="D417" i="24"/>
  <c r="C641" i="34"/>
  <c r="B85" i="15"/>
  <c r="C620" i="34"/>
  <c r="B93" i="15"/>
  <c r="C690" i="34"/>
  <c r="B37" i="15"/>
  <c r="C696" i="34"/>
  <c r="B43" i="15"/>
  <c r="C683" i="34"/>
  <c r="B30" i="15"/>
  <c r="C639" i="34"/>
  <c r="B83" i="15"/>
  <c r="F64" i="15"/>
  <c r="H47" i="15"/>
  <c r="I47" i="15" s="1"/>
  <c r="F47" i="15"/>
  <c r="H44" i="15"/>
  <c r="I44" i="15" s="1"/>
  <c r="F44" i="15"/>
  <c r="C712" i="34"/>
  <c r="B59" i="15"/>
  <c r="C672" i="34"/>
  <c r="B19" i="15"/>
  <c r="C716" i="24" l="1"/>
  <c r="C648" i="24"/>
  <c r="M716" i="24" s="1"/>
  <c r="H24" i="15"/>
  <c r="I24" i="15" s="1"/>
  <c r="F55" i="15"/>
  <c r="H64" i="15"/>
  <c r="I64" i="15" s="1"/>
  <c r="F28" i="15"/>
  <c r="H56" i="15"/>
  <c r="I56" i="15" s="1"/>
  <c r="F22" i="15"/>
  <c r="H48" i="15"/>
  <c r="I48" i="15" s="1"/>
  <c r="D615" i="24"/>
  <c r="D708" i="24" s="1"/>
  <c r="C715" i="24"/>
  <c r="H17" i="15"/>
  <c r="I17" i="15" s="1"/>
  <c r="F17" i="15"/>
  <c r="H33" i="15"/>
  <c r="I33" i="15" s="1"/>
  <c r="F33" i="15"/>
  <c r="H30" i="15"/>
  <c r="I30" i="15" s="1"/>
  <c r="F30" i="15"/>
  <c r="F63" i="15"/>
  <c r="H63" i="15" s="1"/>
  <c r="I63" i="15" s="1"/>
  <c r="H25" i="15"/>
  <c r="I25" i="15" s="1"/>
  <c r="F25" i="15"/>
  <c r="H57" i="15"/>
  <c r="I57" i="15" s="1"/>
  <c r="F57" i="15"/>
  <c r="H51" i="15"/>
  <c r="I51" i="15" s="1"/>
  <c r="F51" i="15"/>
  <c r="H58" i="15"/>
  <c r="I58" i="15" s="1"/>
  <c r="F58" i="15"/>
  <c r="H65" i="15"/>
  <c r="I65" i="15" s="1"/>
  <c r="F65" i="15"/>
  <c r="H49" i="15"/>
  <c r="I49" i="15" s="1"/>
  <c r="F49" i="15"/>
  <c r="H39" i="15"/>
  <c r="I39" i="15" s="1"/>
  <c r="F39" i="15"/>
  <c r="H27" i="15"/>
  <c r="I27" i="15" s="1"/>
  <c r="F27" i="15"/>
  <c r="F69" i="15"/>
  <c r="H69" i="15" s="1"/>
  <c r="I69" i="15" s="1"/>
  <c r="C168" i="8"/>
  <c r="D421" i="24"/>
  <c r="H29" i="15"/>
  <c r="I29" i="15" s="1"/>
  <c r="F29" i="15"/>
  <c r="D615" i="34"/>
  <c r="C648" i="34"/>
  <c r="M716" i="34" s="1"/>
  <c r="H34" i="15"/>
  <c r="I34" i="15" s="1"/>
  <c r="F34" i="15"/>
  <c r="H18" i="15"/>
  <c r="I18" i="15" s="1"/>
  <c r="F18" i="15"/>
  <c r="H35" i="15"/>
  <c r="I35" i="15" s="1"/>
  <c r="F35" i="15"/>
  <c r="H21" i="15"/>
  <c r="I21" i="15" s="1"/>
  <c r="F21" i="15"/>
  <c r="H37" i="15"/>
  <c r="I37" i="15" s="1"/>
  <c r="F37" i="15"/>
  <c r="H54" i="15"/>
  <c r="I54" i="15" s="1"/>
  <c r="F54" i="15"/>
  <c r="H41" i="15"/>
  <c r="I41" i="15" s="1"/>
  <c r="F41" i="15"/>
  <c r="H23" i="15"/>
  <c r="I23" i="15" s="1"/>
  <c r="F23" i="15"/>
  <c r="H46" i="15"/>
  <c r="I46" i="15" s="1"/>
  <c r="F46" i="15"/>
  <c r="F59" i="15"/>
  <c r="H59" i="15"/>
  <c r="I59" i="15" s="1"/>
  <c r="H38" i="15"/>
  <c r="I38" i="15" s="1"/>
  <c r="F38" i="15"/>
  <c r="H45" i="15"/>
  <c r="I45" i="15" s="1"/>
  <c r="F45" i="15"/>
  <c r="H53" i="15"/>
  <c r="I53" i="15" s="1"/>
  <c r="F53" i="15"/>
  <c r="C668" i="34"/>
  <c r="C715" i="34" s="1"/>
  <c r="CE85" i="34"/>
  <c r="C716" i="34" s="1"/>
  <c r="B15" i="15"/>
  <c r="H42" i="15"/>
  <c r="I42" i="15" s="1"/>
  <c r="F42" i="15"/>
  <c r="H26" i="15"/>
  <c r="I26" i="15" s="1"/>
  <c r="F26" i="15"/>
  <c r="H50" i="15"/>
  <c r="I50" i="15" s="1"/>
  <c r="F50" i="15"/>
  <c r="H43" i="15"/>
  <c r="I43" i="15" s="1"/>
  <c r="F43" i="15"/>
  <c r="H19" i="15"/>
  <c r="I19" i="15" s="1"/>
  <c r="F19" i="15"/>
  <c r="H20" i="15"/>
  <c r="I20" i="15" s="1"/>
  <c r="F20" i="15"/>
  <c r="D629" i="24" l="1"/>
  <c r="D671" i="24"/>
  <c r="D647" i="24"/>
  <c r="D682" i="24"/>
  <c r="D627" i="24"/>
  <c r="D617" i="24"/>
  <c r="D642" i="24"/>
  <c r="D706" i="24"/>
  <c r="D634" i="24"/>
  <c r="D622" i="24"/>
  <c r="D638" i="24"/>
  <c r="D684" i="24"/>
  <c r="D683" i="24"/>
  <c r="D703" i="24"/>
  <c r="D672" i="24"/>
  <c r="D694" i="24"/>
  <c r="D693" i="24"/>
  <c r="D630" i="24"/>
  <c r="D689" i="24"/>
  <c r="D712" i="24"/>
  <c r="D716" i="24"/>
  <c r="D632" i="24"/>
  <c r="D640" i="24"/>
  <c r="D699" i="24"/>
  <c r="D678" i="24"/>
  <c r="D713" i="24"/>
  <c r="D700" i="24"/>
  <c r="D623" i="24"/>
  <c r="D677" i="24"/>
  <c r="D711" i="24"/>
  <c r="D616" i="24"/>
  <c r="D633" i="24"/>
  <c r="D641" i="24"/>
  <c r="D705" i="24"/>
  <c r="D686" i="24"/>
  <c r="D618" i="24"/>
  <c r="D625" i="24"/>
  <c r="D674" i="24"/>
  <c r="D685" i="24"/>
  <c r="D680" i="24"/>
  <c r="D626" i="24"/>
  <c r="D635" i="24"/>
  <c r="D643" i="24"/>
  <c r="D707" i="24"/>
  <c r="D702" i="24"/>
  <c r="D628" i="24"/>
  <c r="D679" i="24"/>
  <c r="D690" i="24"/>
  <c r="D701" i="24"/>
  <c r="D620" i="24"/>
  <c r="D696" i="24"/>
  <c r="D636" i="24"/>
  <c r="D644" i="24"/>
  <c r="D645" i="24"/>
  <c r="D673" i="24"/>
  <c r="D668" i="24"/>
  <c r="D687" i="24"/>
  <c r="D698" i="24"/>
  <c r="D704" i="24"/>
  <c r="D621" i="24"/>
  <c r="D624" i="24"/>
  <c r="D637" i="24"/>
  <c r="D675" i="24"/>
  <c r="D646" i="24"/>
  <c r="D681" i="24"/>
  <c r="D676" i="24"/>
  <c r="D695" i="24"/>
  <c r="D710" i="24"/>
  <c r="D709" i="24"/>
  <c r="D688" i="24"/>
  <c r="D631" i="24"/>
  <c r="D639" i="24"/>
  <c r="D691" i="24"/>
  <c r="D670" i="24"/>
  <c r="D697" i="24"/>
  <c r="D692" i="24"/>
  <c r="D619" i="24"/>
  <c r="E623" i="24" s="1"/>
  <c r="D669" i="24"/>
  <c r="C172" i="8"/>
  <c r="D424" i="24"/>
  <c r="C177" i="8" s="1"/>
  <c r="D716" i="34"/>
  <c r="D707" i="34"/>
  <c r="D699" i="34"/>
  <c r="D712" i="34"/>
  <c r="D709" i="34"/>
  <c r="D701" i="34"/>
  <c r="D710" i="34"/>
  <c r="D702" i="34"/>
  <c r="D693" i="34"/>
  <c r="D685" i="34"/>
  <c r="D677" i="34"/>
  <c r="D669" i="34"/>
  <c r="D627" i="34"/>
  <c r="D703" i="34"/>
  <c r="D690" i="34"/>
  <c r="D682" i="34"/>
  <c r="D674" i="34"/>
  <c r="D623" i="34"/>
  <c r="D619" i="34"/>
  <c r="D704" i="34"/>
  <c r="D695" i="34"/>
  <c r="D687" i="34"/>
  <c r="D679" i="34"/>
  <c r="D671" i="34"/>
  <c r="D625" i="34"/>
  <c r="D692" i="34"/>
  <c r="D684" i="34"/>
  <c r="D676" i="34"/>
  <c r="D668" i="34"/>
  <c r="D628" i="34"/>
  <c r="D622" i="34"/>
  <c r="D618" i="34"/>
  <c r="D713" i="34"/>
  <c r="D706" i="34"/>
  <c r="D705" i="34"/>
  <c r="D689" i="34"/>
  <c r="D681" i="34"/>
  <c r="D673" i="34"/>
  <c r="D698" i="34"/>
  <c r="D694" i="34"/>
  <c r="D686" i="34"/>
  <c r="D678" i="34"/>
  <c r="D670" i="34"/>
  <c r="D647" i="34"/>
  <c r="D646" i="34"/>
  <c r="D645" i="34"/>
  <c r="D629" i="34"/>
  <c r="D626" i="34"/>
  <c r="D621" i="34"/>
  <c r="D617" i="34"/>
  <c r="D711" i="34"/>
  <c r="D700" i="34"/>
  <c r="D697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96" i="34"/>
  <c r="D672" i="34"/>
  <c r="D688" i="34"/>
  <c r="D708" i="34"/>
  <c r="D680" i="34"/>
  <c r="D620" i="34"/>
  <c r="D616" i="34"/>
  <c r="H15" i="15"/>
  <c r="I15" i="15" s="1"/>
  <c r="F15" i="15"/>
  <c r="E612" i="24" l="1"/>
  <c r="E709" i="24" s="1"/>
  <c r="D715" i="24"/>
  <c r="E612" i="34"/>
  <c r="D715" i="34"/>
  <c r="E623" i="34"/>
  <c r="E716" i="24"/>
  <c r="E669" i="24" l="1"/>
  <c r="E707" i="24"/>
  <c r="E704" i="24"/>
  <c r="E646" i="24"/>
  <c r="E681" i="24"/>
  <c r="E693" i="24"/>
  <c r="E637" i="24"/>
  <c r="E703" i="24"/>
  <c r="E624" i="24"/>
  <c r="F624" i="24" s="1"/>
  <c r="F710" i="24" s="1"/>
  <c r="E633" i="24"/>
  <c r="E639" i="24"/>
  <c r="E696" i="24"/>
  <c r="E638" i="24"/>
  <c r="E672" i="24"/>
  <c r="E642" i="24"/>
  <c r="E685" i="24"/>
  <c r="E631" i="24"/>
  <c r="E688" i="24"/>
  <c r="E691" i="24"/>
  <c r="E706" i="24"/>
  <c r="E712" i="24"/>
  <c r="E698" i="24"/>
  <c r="E628" i="24"/>
  <c r="E705" i="24"/>
  <c r="E641" i="24"/>
  <c r="E645" i="24"/>
  <c r="E684" i="24"/>
  <c r="E713" i="24"/>
  <c r="E692" i="24"/>
  <c r="E643" i="24"/>
  <c r="E678" i="24"/>
  <c r="E625" i="24"/>
  <c r="E634" i="24"/>
  <c r="E675" i="24"/>
  <c r="E686" i="24"/>
  <c r="E671" i="24"/>
  <c r="E630" i="24"/>
  <c r="E701" i="24"/>
  <c r="E635" i="24"/>
  <c r="E683" i="24"/>
  <c r="E673" i="24"/>
  <c r="E695" i="24"/>
  <c r="E647" i="24"/>
  <c r="E689" i="24"/>
  <c r="E700" i="24"/>
  <c r="E674" i="24"/>
  <c r="E708" i="24"/>
  <c r="E677" i="24"/>
  <c r="E632" i="24"/>
  <c r="E640" i="24"/>
  <c r="E699" i="24"/>
  <c r="E670" i="24"/>
  <c r="E697" i="24"/>
  <c r="E711" i="24"/>
  <c r="E682" i="24"/>
  <c r="E690" i="24"/>
  <c r="E626" i="24"/>
  <c r="E694" i="24"/>
  <c r="E668" i="24"/>
  <c r="E679" i="24"/>
  <c r="E710" i="24"/>
  <c r="E627" i="24"/>
  <c r="E680" i="24"/>
  <c r="E636" i="24"/>
  <c r="E644" i="24"/>
  <c r="E629" i="24"/>
  <c r="E702" i="24"/>
  <c r="E676" i="24"/>
  <c r="E687" i="24"/>
  <c r="F669" i="24"/>
  <c r="F677" i="24"/>
  <c r="F674" i="24"/>
  <c r="F679" i="24"/>
  <c r="F676" i="24"/>
  <c r="F673" i="24"/>
  <c r="F646" i="24"/>
  <c r="F691" i="24"/>
  <c r="E712" i="34"/>
  <c r="E704" i="34"/>
  <c r="E709" i="34"/>
  <c r="E706" i="34"/>
  <c r="E716" i="34"/>
  <c r="E707" i="34"/>
  <c r="E699" i="34"/>
  <c r="E703" i="34"/>
  <c r="E702" i="34"/>
  <c r="E690" i="34"/>
  <c r="E682" i="34"/>
  <c r="E674" i="34"/>
  <c r="E695" i="34"/>
  <c r="E687" i="34"/>
  <c r="E679" i="34"/>
  <c r="E671" i="34"/>
  <c r="E625" i="34"/>
  <c r="E692" i="34"/>
  <c r="E684" i="34"/>
  <c r="E676" i="34"/>
  <c r="E668" i="34"/>
  <c r="E628" i="34"/>
  <c r="E713" i="34"/>
  <c r="E705" i="34"/>
  <c r="E689" i="34"/>
  <c r="E681" i="34"/>
  <c r="E673" i="34"/>
  <c r="E710" i="34"/>
  <c r="E698" i="34"/>
  <c r="E694" i="34"/>
  <c r="E686" i="34"/>
  <c r="E678" i="34"/>
  <c r="E670" i="34"/>
  <c r="E647" i="34"/>
  <c r="E646" i="34"/>
  <c r="E645" i="34"/>
  <c r="E629" i="34"/>
  <c r="E626" i="34"/>
  <c r="E711" i="34"/>
  <c r="E700" i="34"/>
  <c r="E697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708" i="34"/>
  <c r="E701" i="34"/>
  <c r="E696" i="34"/>
  <c r="E688" i="34"/>
  <c r="E680" i="34"/>
  <c r="E672" i="34"/>
  <c r="E677" i="34"/>
  <c r="E627" i="34"/>
  <c r="E693" i="34"/>
  <c r="E669" i="34"/>
  <c r="E685" i="34"/>
  <c r="F683" i="24" l="1"/>
  <c r="F702" i="24"/>
  <c r="F671" i="24"/>
  <c r="F640" i="24"/>
  <c r="F697" i="24"/>
  <c r="E715" i="24"/>
  <c r="F704" i="24"/>
  <c r="F636" i="24"/>
  <c r="F707" i="24"/>
  <c r="F700" i="24"/>
  <c r="F690" i="24"/>
  <c r="F705" i="24"/>
  <c r="F642" i="24"/>
  <c r="F668" i="24"/>
  <c r="F625" i="24"/>
  <c r="G625" i="24" s="1"/>
  <c r="F639" i="24"/>
  <c r="F709" i="24"/>
  <c r="F716" i="24"/>
  <c r="F643" i="24"/>
  <c r="F706" i="24"/>
  <c r="F645" i="24"/>
  <c r="F703" i="24"/>
  <c r="F701" i="24"/>
  <c r="F635" i="24"/>
  <c r="F641" i="24"/>
  <c r="F713" i="24"/>
  <c r="F689" i="24"/>
  <c r="F692" i="24"/>
  <c r="F695" i="24"/>
  <c r="F682" i="24"/>
  <c r="F693" i="24"/>
  <c r="F696" i="24"/>
  <c r="F634" i="24"/>
  <c r="F633" i="24"/>
  <c r="F670" i="24"/>
  <c r="F647" i="24"/>
  <c r="F681" i="24"/>
  <c r="F684" i="24"/>
  <c r="F687" i="24"/>
  <c r="F698" i="24"/>
  <c r="F685" i="24"/>
  <c r="F688" i="24"/>
  <c r="F680" i="24"/>
  <c r="F631" i="24"/>
  <c r="F638" i="24"/>
  <c r="F675" i="24"/>
  <c r="F629" i="24"/>
  <c r="F694" i="24"/>
  <c r="F628" i="24"/>
  <c r="F712" i="24"/>
  <c r="F632" i="24"/>
  <c r="F627" i="24"/>
  <c r="F708" i="24"/>
  <c r="F630" i="24"/>
  <c r="F637" i="24"/>
  <c r="F644" i="24"/>
  <c r="F626" i="24"/>
  <c r="F686" i="24"/>
  <c r="F678" i="24"/>
  <c r="F672" i="24"/>
  <c r="F711" i="24"/>
  <c r="F699" i="24"/>
  <c r="E715" i="34"/>
  <c r="F624" i="34"/>
  <c r="G713" i="24" l="1"/>
  <c r="G676" i="24"/>
  <c r="G630" i="24"/>
  <c r="G640" i="24"/>
  <c r="G634" i="24"/>
  <c r="G646" i="24"/>
  <c r="G712" i="24"/>
  <c r="G691" i="24"/>
  <c r="G639" i="24"/>
  <c r="G626" i="24"/>
  <c r="G645" i="24"/>
  <c r="G670" i="24"/>
  <c r="G708" i="24"/>
  <c r="G690" i="24"/>
  <c r="G641" i="24"/>
  <c r="G674" i="24"/>
  <c r="G672" i="24"/>
  <c r="G704" i="24"/>
  <c r="G696" i="24"/>
  <c r="G692" i="24"/>
  <c r="G710" i="24"/>
  <c r="G687" i="24"/>
  <c r="G647" i="24"/>
  <c r="G689" i="24"/>
  <c r="G701" i="24"/>
  <c r="G627" i="24"/>
  <c r="G675" i="24"/>
  <c r="G693" i="24"/>
  <c r="G705" i="24"/>
  <c r="G628" i="24"/>
  <c r="G680" i="24"/>
  <c r="G671" i="24"/>
  <c r="G679" i="24"/>
  <c r="G709" i="24"/>
  <c r="G700" i="24"/>
  <c r="G683" i="24"/>
  <c r="G638" i="24"/>
  <c r="G706" i="24"/>
  <c r="G686" i="24"/>
  <c r="G716" i="24"/>
  <c r="G698" i="24"/>
  <c r="G677" i="24"/>
  <c r="G694" i="24"/>
  <c r="G629" i="24"/>
  <c r="G688" i="24"/>
  <c r="G682" i="24"/>
  <c r="G685" i="24"/>
  <c r="G711" i="24"/>
  <c r="G702" i="24"/>
  <c r="G642" i="24"/>
  <c r="G644" i="24"/>
  <c r="G636" i="24"/>
  <c r="G632" i="24"/>
  <c r="G703" i="24"/>
  <c r="G684" i="24"/>
  <c r="G673" i="24"/>
  <c r="G707" i="24"/>
  <c r="G699" i="24"/>
  <c r="G631" i="24"/>
  <c r="G635" i="24"/>
  <c r="G669" i="24"/>
  <c r="G681" i="24"/>
  <c r="G695" i="24"/>
  <c r="G633" i="24"/>
  <c r="G668" i="24"/>
  <c r="G678" i="24"/>
  <c r="G697" i="24"/>
  <c r="G643" i="24"/>
  <c r="G637" i="24"/>
  <c r="F715" i="24"/>
  <c r="F709" i="34"/>
  <c r="F701" i="34"/>
  <c r="F711" i="34"/>
  <c r="F703" i="34"/>
  <c r="F712" i="34"/>
  <c r="F704" i="34"/>
  <c r="F695" i="34"/>
  <c r="F687" i="34"/>
  <c r="F679" i="34"/>
  <c r="F671" i="34"/>
  <c r="F625" i="34"/>
  <c r="F716" i="34"/>
  <c r="F692" i="34"/>
  <c r="F684" i="34"/>
  <c r="F676" i="34"/>
  <c r="F668" i="34"/>
  <c r="F628" i="34"/>
  <c r="F713" i="34"/>
  <c r="F705" i="34"/>
  <c r="F689" i="34"/>
  <c r="F681" i="34"/>
  <c r="F673" i="34"/>
  <c r="F710" i="34"/>
  <c r="F706" i="34"/>
  <c r="F698" i="34"/>
  <c r="F694" i="34"/>
  <c r="F686" i="34"/>
  <c r="F678" i="34"/>
  <c r="F670" i="34"/>
  <c r="F647" i="34"/>
  <c r="F646" i="34"/>
  <c r="F645" i="34"/>
  <c r="F629" i="34"/>
  <c r="F626" i="34"/>
  <c r="F700" i="34"/>
  <c r="F699" i="34"/>
  <c r="F697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08" i="34"/>
  <c r="F707" i="34"/>
  <c r="F696" i="34"/>
  <c r="F688" i="34"/>
  <c r="F680" i="34"/>
  <c r="F672" i="34"/>
  <c r="F693" i="34"/>
  <c r="F685" i="34"/>
  <c r="F677" i="34"/>
  <c r="F669" i="34"/>
  <c r="F627" i="34"/>
  <c r="F690" i="34"/>
  <c r="F702" i="34"/>
  <c r="F682" i="34"/>
  <c r="F674" i="34"/>
  <c r="H628" i="24" l="1"/>
  <c r="H707" i="24" s="1"/>
  <c r="G715" i="24"/>
  <c r="H712" i="24"/>
  <c r="H642" i="24"/>
  <c r="H694" i="24"/>
  <c r="H689" i="24"/>
  <c r="H675" i="24"/>
  <c r="H697" i="24"/>
  <c r="H646" i="24"/>
  <c r="H644" i="24"/>
  <c r="H671" i="24"/>
  <c r="H669" i="24"/>
  <c r="H638" i="24"/>
  <c r="H716" i="24"/>
  <c r="H703" i="24"/>
  <c r="H686" i="24"/>
  <c r="H645" i="24"/>
  <c r="H643" i="24"/>
  <c r="H672" i="24"/>
  <c r="H713" i="24"/>
  <c r="H687" i="24"/>
  <c r="H635" i="24"/>
  <c r="H705" i="24"/>
  <c r="H632" i="24"/>
  <c r="H629" i="24"/>
  <c r="H680" i="24"/>
  <c r="H711" i="24"/>
  <c r="H709" i="24"/>
  <c r="H679" i="24"/>
  <c r="H668" i="24"/>
  <c r="H693" i="24"/>
  <c r="H639" i="24"/>
  <c r="H634" i="24"/>
  <c r="H641" i="24"/>
  <c r="H636" i="24"/>
  <c r="H706" i="24"/>
  <c r="H674" i="24"/>
  <c r="H678" i="24"/>
  <c r="H699" i="24"/>
  <c r="H704" i="24"/>
  <c r="H633" i="24"/>
  <c r="H676" i="24"/>
  <c r="H701" i="24"/>
  <c r="H681" i="24"/>
  <c r="H684" i="24"/>
  <c r="H647" i="24"/>
  <c r="H682" i="24"/>
  <c r="H696" i="24"/>
  <c r="H630" i="24"/>
  <c r="H685" i="24"/>
  <c r="H637" i="24"/>
  <c r="H708" i="24"/>
  <c r="H673" i="24"/>
  <c r="H692" i="24"/>
  <c r="H677" i="24"/>
  <c r="H695" i="24"/>
  <c r="H688" i="24"/>
  <c r="H698" i="24"/>
  <c r="H670" i="24"/>
  <c r="H691" i="24"/>
  <c r="H640" i="24"/>
  <c r="H702" i="24"/>
  <c r="H700" i="24"/>
  <c r="H631" i="24"/>
  <c r="I629" i="24"/>
  <c r="F715" i="34"/>
  <c r="G625" i="34"/>
  <c r="H683" i="24" l="1"/>
  <c r="H710" i="24"/>
  <c r="H690" i="24"/>
  <c r="H715" i="24"/>
  <c r="I678" i="24"/>
  <c r="I704" i="24"/>
  <c r="I709" i="24"/>
  <c r="I698" i="24"/>
  <c r="I630" i="24"/>
  <c r="I694" i="24"/>
  <c r="I700" i="24"/>
  <c r="I687" i="24"/>
  <c r="I713" i="24"/>
  <c r="I692" i="24"/>
  <c r="I639" i="24"/>
  <c r="I696" i="24"/>
  <c r="I632" i="24"/>
  <c r="I640" i="24"/>
  <c r="I684" i="24"/>
  <c r="I682" i="24"/>
  <c r="I708" i="24"/>
  <c r="I669" i="24"/>
  <c r="I674" i="24"/>
  <c r="I689" i="24"/>
  <c r="I671" i="24"/>
  <c r="I647" i="24"/>
  <c r="I670" i="24"/>
  <c r="I690" i="24"/>
  <c r="I685" i="24"/>
  <c r="I672" i="24"/>
  <c r="I642" i="24"/>
  <c r="I693" i="24"/>
  <c r="I716" i="24"/>
  <c r="I703" i="24"/>
  <c r="I636" i="24"/>
  <c r="I681" i="24"/>
  <c r="I707" i="24"/>
  <c r="I705" i="24"/>
  <c r="I633" i="24"/>
  <c r="I680" i="24"/>
  <c r="I701" i="24"/>
  <c r="I643" i="24"/>
  <c r="I634" i="24"/>
  <c r="I702" i="24"/>
  <c r="I695" i="24"/>
  <c r="I635" i="24"/>
  <c r="I637" i="24"/>
  <c r="I641" i="24"/>
  <c r="I673" i="24"/>
  <c r="I645" i="24"/>
  <c r="I638" i="24"/>
  <c r="I644" i="24"/>
  <c r="I688" i="24"/>
  <c r="I711" i="24"/>
  <c r="I677" i="24"/>
  <c r="I683" i="24"/>
  <c r="I675" i="24"/>
  <c r="I706" i="24"/>
  <c r="I676" i="24"/>
  <c r="I668" i="24"/>
  <c r="I646" i="24"/>
  <c r="I710" i="24"/>
  <c r="I691" i="24"/>
  <c r="I679" i="24"/>
  <c r="I631" i="24"/>
  <c r="I699" i="24"/>
  <c r="I686" i="24"/>
  <c r="I712" i="24"/>
  <c r="I697" i="24"/>
  <c r="G706" i="34"/>
  <c r="G698" i="34"/>
  <c r="G711" i="34"/>
  <c r="G708" i="34"/>
  <c r="G700" i="34"/>
  <c r="G709" i="34"/>
  <c r="G701" i="34"/>
  <c r="G716" i="34"/>
  <c r="G712" i="34"/>
  <c r="G692" i="34"/>
  <c r="G684" i="34"/>
  <c r="G676" i="34"/>
  <c r="G668" i="34"/>
  <c r="G628" i="34"/>
  <c r="G713" i="34"/>
  <c r="G705" i="34"/>
  <c r="G704" i="34"/>
  <c r="G689" i="34"/>
  <c r="G681" i="34"/>
  <c r="G673" i="34"/>
  <c r="G710" i="34"/>
  <c r="G694" i="34"/>
  <c r="G686" i="34"/>
  <c r="G678" i="34"/>
  <c r="G670" i="34"/>
  <c r="G647" i="34"/>
  <c r="G646" i="34"/>
  <c r="G645" i="34"/>
  <c r="G629" i="34"/>
  <c r="G626" i="34"/>
  <c r="G699" i="34"/>
  <c r="G697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7" i="34"/>
  <c r="G696" i="34"/>
  <c r="G688" i="34"/>
  <c r="G680" i="34"/>
  <c r="G672" i="34"/>
  <c r="G693" i="34"/>
  <c r="G685" i="34"/>
  <c r="G677" i="34"/>
  <c r="G669" i="34"/>
  <c r="G627" i="34"/>
  <c r="G702" i="34"/>
  <c r="G690" i="34"/>
  <c r="G682" i="34"/>
  <c r="G674" i="34"/>
  <c r="G703" i="34"/>
  <c r="G695" i="34"/>
  <c r="G671" i="34"/>
  <c r="G687" i="34"/>
  <c r="G679" i="34"/>
  <c r="I715" i="24" l="1"/>
  <c r="J630" i="24"/>
  <c r="H628" i="34"/>
  <c r="G715" i="34"/>
  <c r="J712" i="24" l="1"/>
  <c r="J668" i="24"/>
  <c r="J695" i="24"/>
  <c r="J677" i="24"/>
  <c r="J646" i="24"/>
  <c r="J686" i="24"/>
  <c r="J647" i="24"/>
  <c r="J670" i="24"/>
  <c r="J702" i="24"/>
  <c r="J716" i="24"/>
  <c r="J710" i="24"/>
  <c r="J632" i="24"/>
  <c r="J642" i="24"/>
  <c r="J676" i="24"/>
  <c r="J673" i="24"/>
  <c r="J681" i="24"/>
  <c r="J689" i="24"/>
  <c r="J711" i="24"/>
  <c r="J696" i="24"/>
  <c r="J679" i="24"/>
  <c r="J709" i="24"/>
  <c r="J703" i="24"/>
  <c r="J692" i="24"/>
  <c r="J700" i="24"/>
  <c r="J671" i="24"/>
  <c r="J687" i="24"/>
  <c r="J697" i="24"/>
  <c r="J706" i="24"/>
  <c r="J707" i="24"/>
  <c r="J704" i="24"/>
  <c r="J694" i="24"/>
  <c r="J669" i="24"/>
  <c r="J682" i="24"/>
  <c r="J690" i="24"/>
  <c r="J698" i="24"/>
  <c r="J708" i="24"/>
  <c r="J644" i="24"/>
  <c r="J645" i="24"/>
  <c r="J684" i="24"/>
  <c r="J674" i="24"/>
  <c r="J688" i="24"/>
  <c r="J685" i="24"/>
  <c r="J693" i="24"/>
  <c r="J701" i="24"/>
  <c r="J672" i="24"/>
  <c r="J691" i="24"/>
  <c r="J640" i="24"/>
  <c r="J680" i="24"/>
  <c r="J634" i="24"/>
  <c r="J635" i="24"/>
  <c r="J705" i="24"/>
  <c r="J713" i="24"/>
  <c r="J631" i="24"/>
  <c r="J633" i="24"/>
  <c r="J683" i="24"/>
  <c r="J678" i="24"/>
  <c r="J699" i="24"/>
  <c r="J636" i="24"/>
  <c r="J643" i="24"/>
  <c r="J637" i="24"/>
  <c r="J638" i="24"/>
  <c r="J639" i="24"/>
  <c r="J641" i="24"/>
  <c r="J675" i="24"/>
  <c r="H711" i="34"/>
  <c r="H703" i="34"/>
  <c r="H708" i="34"/>
  <c r="H713" i="34"/>
  <c r="H705" i="34"/>
  <c r="H706" i="34"/>
  <c r="H698" i="34"/>
  <c r="H709" i="34"/>
  <c r="H704" i="34"/>
  <c r="H689" i="34"/>
  <c r="H681" i="34"/>
  <c r="H673" i="34"/>
  <c r="H710" i="34"/>
  <c r="H694" i="34"/>
  <c r="H686" i="34"/>
  <c r="H678" i="34"/>
  <c r="H670" i="34"/>
  <c r="H647" i="34"/>
  <c r="H646" i="34"/>
  <c r="H645" i="34"/>
  <c r="H629" i="34"/>
  <c r="H699" i="34"/>
  <c r="H697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7" i="34"/>
  <c r="H700" i="34"/>
  <c r="H696" i="34"/>
  <c r="H688" i="34"/>
  <c r="H680" i="34"/>
  <c r="H672" i="34"/>
  <c r="H693" i="34"/>
  <c r="H685" i="34"/>
  <c r="H677" i="34"/>
  <c r="H669" i="34"/>
  <c r="H702" i="34"/>
  <c r="H701" i="34"/>
  <c r="H690" i="34"/>
  <c r="H682" i="34"/>
  <c r="H674" i="34"/>
  <c r="H695" i="34"/>
  <c r="H687" i="34"/>
  <c r="H679" i="34"/>
  <c r="H671" i="34"/>
  <c r="H716" i="34"/>
  <c r="H684" i="34"/>
  <c r="H712" i="34"/>
  <c r="H676" i="34"/>
  <c r="H692" i="34"/>
  <c r="H668" i="34"/>
  <c r="J715" i="24" l="1"/>
  <c r="L647" i="24"/>
  <c r="K644" i="24"/>
  <c r="H715" i="34"/>
  <c r="I629" i="34"/>
  <c r="L712" i="24" l="1"/>
  <c r="L692" i="24"/>
  <c r="L708" i="24"/>
  <c r="L691" i="24"/>
  <c r="L703" i="24"/>
  <c r="L701" i="24"/>
  <c r="L707" i="24"/>
  <c r="L705" i="24"/>
  <c r="L675" i="24"/>
  <c r="L681" i="24"/>
  <c r="L682" i="24"/>
  <c r="L688" i="24"/>
  <c r="L716" i="24"/>
  <c r="L698" i="24"/>
  <c r="L702" i="24"/>
  <c r="L700" i="24"/>
  <c r="L693" i="24"/>
  <c r="L686" i="24"/>
  <c r="L690" i="24"/>
  <c r="L672" i="24"/>
  <c r="L684" i="24"/>
  <c r="L674" i="24"/>
  <c r="L713" i="24"/>
  <c r="L668" i="24"/>
  <c r="L706" i="24"/>
  <c r="L671" i="24"/>
  <c r="L694" i="24"/>
  <c r="L695" i="24"/>
  <c r="L685" i="24"/>
  <c r="L670" i="24"/>
  <c r="L679" i="24"/>
  <c r="L689" i="24"/>
  <c r="L673" i="24"/>
  <c r="L677" i="24"/>
  <c r="L676" i="24"/>
  <c r="L669" i="24"/>
  <c r="L696" i="24"/>
  <c r="L697" i="24"/>
  <c r="L704" i="24"/>
  <c r="L678" i="24"/>
  <c r="L710" i="24"/>
  <c r="L683" i="24"/>
  <c r="L687" i="24"/>
  <c r="L711" i="24"/>
  <c r="L699" i="24"/>
  <c r="L709" i="24"/>
  <c r="L680" i="24"/>
  <c r="K707" i="24"/>
  <c r="K690" i="24"/>
  <c r="K684" i="24"/>
  <c r="K697" i="24"/>
  <c r="K668" i="24"/>
  <c r="K674" i="24"/>
  <c r="K675" i="24"/>
  <c r="K672" i="24"/>
  <c r="K696" i="24"/>
  <c r="K699" i="24"/>
  <c r="K679" i="24"/>
  <c r="K695" i="24"/>
  <c r="K701" i="24"/>
  <c r="K673" i="24"/>
  <c r="K680" i="24"/>
  <c r="K700" i="24"/>
  <c r="K689" i="24"/>
  <c r="K669" i="24"/>
  <c r="K685" i="24"/>
  <c r="K711" i="24"/>
  <c r="K692" i="24"/>
  <c r="K709" i="24"/>
  <c r="K671" i="24"/>
  <c r="K713" i="24"/>
  <c r="K703" i="24"/>
  <c r="K688" i="24"/>
  <c r="K682" i="24"/>
  <c r="K704" i="24"/>
  <c r="K712" i="24"/>
  <c r="K708" i="24"/>
  <c r="K710" i="24"/>
  <c r="K670" i="24"/>
  <c r="K687" i="24"/>
  <c r="K706" i="24"/>
  <c r="K693" i="24"/>
  <c r="K678" i="24"/>
  <c r="K691" i="24"/>
  <c r="K698" i="24"/>
  <c r="K705" i="24"/>
  <c r="K716" i="24"/>
  <c r="K677" i="24"/>
  <c r="K702" i="24"/>
  <c r="K694" i="24"/>
  <c r="K686" i="24"/>
  <c r="K681" i="24"/>
  <c r="K683" i="24"/>
  <c r="K676" i="24"/>
  <c r="I708" i="34"/>
  <c r="I700" i="34"/>
  <c r="I713" i="34"/>
  <c r="I710" i="34"/>
  <c r="I702" i="34"/>
  <c r="I716" i="34"/>
  <c r="I711" i="34"/>
  <c r="I703" i="34"/>
  <c r="I705" i="34"/>
  <c r="I694" i="34"/>
  <c r="I686" i="34"/>
  <c r="I678" i="34"/>
  <c r="I670" i="34"/>
  <c r="I647" i="34"/>
  <c r="I646" i="34"/>
  <c r="I645" i="34"/>
  <c r="I699" i="34"/>
  <c r="I697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7" i="34"/>
  <c r="I706" i="34"/>
  <c r="I698" i="34"/>
  <c r="I696" i="34"/>
  <c r="I688" i="34"/>
  <c r="I680" i="34"/>
  <c r="I672" i="34"/>
  <c r="I693" i="34"/>
  <c r="I685" i="34"/>
  <c r="I677" i="34"/>
  <c r="I669" i="34"/>
  <c r="I701" i="34"/>
  <c r="I690" i="34"/>
  <c r="I682" i="34"/>
  <c r="I674" i="34"/>
  <c r="I695" i="34"/>
  <c r="I687" i="34"/>
  <c r="I679" i="34"/>
  <c r="I671" i="34"/>
  <c r="I712" i="34"/>
  <c r="I692" i="34"/>
  <c r="I684" i="34"/>
  <c r="I676" i="34"/>
  <c r="I668" i="34"/>
  <c r="I704" i="34"/>
  <c r="I689" i="34"/>
  <c r="I709" i="34"/>
  <c r="I681" i="34"/>
  <c r="I673" i="34"/>
  <c r="M678" i="24" l="1"/>
  <c r="F55" i="32" s="1"/>
  <c r="M697" i="24"/>
  <c r="D151" i="32" s="1"/>
  <c r="M711" i="24"/>
  <c r="D215" i="32" s="1"/>
  <c r="M709" i="24"/>
  <c r="I183" i="32" s="1"/>
  <c r="M669" i="24"/>
  <c r="D23" i="32" s="1"/>
  <c r="M700" i="24"/>
  <c r="G151" i="32" s="1"/>
  <c r="M674" i="24"/>
  <c r="I23" i="32" s="1"/>
  <c r="M695" i="24"/>
  <c r="I119" i="32" s="1"/>
  <c r="M704" i="24"/>
  <c r="D183" i="32" s="1"/>
  <c r="M705" i="24"/>
  <c r="E183" i="32" s="1"/>
  <c r="M680" i="24"/>
  <c r="H55" i="32" s="1"/>
  <c r="M679" i="24"/>
  <c r="G55" i="32" s="1"/>
  <c r="M702" i="24"/>
  <c r="I151" i="32" s="1"/>
  <c r="M688" i="24"/>
  <c r="I87" i="32" s="1"/>
  <c r="M707" i="24"/>
  <c r="G183" i="32" s="1"/>
  <c r="M698" i="24"/>
  <c r="E151" i="32" s="1"/>
  <c r="M701" i="24"/>
  <c r="H151" i="32" s="1"/>
  <c r="M670" i="24"/>
  <c r="E23" i="32" s="1"/>
  <c r="M699" i="24"/>
  <c r="F151" i="32" s="1"/>
  <c r="M696" i="24"/>
  <c r="C151" i="32" s="1"/>
  <c r="M685" i="24"/>
  <c r="F87" i="32" s="1"/>
  <c r="M684" i="24"/>
  <c r="E87" i="32" s="1"/>
  <c r="M703" i="24"/>
  <c r="C183" i="32" s="1"/>
  <c r="M689" i="24"/>
  <c r="C119" i="32" s="1"/>
  <c r="M687" i="24"/>
  <c r="H87" i="32" s="1"/>
  <c r="M676" i="24"/>
  <c r="D55" i="32" s="1"/>
  <c r="M694" i="24"/>
  <c r="H119" i="32" s="1"/>
  <c r="M690" i="24"/>
  <c r="D119" i="32" s="1"/>
  <c r="M682" i="24"/>
  <c r="C87" i="32" s="1"/>
  <c r="M708" i="24"/>
  <c r="H183" i="32" s="1"/>
  <c r="K715" i="24"/>
  <c r="M672" i="24"/>
  <c r="G23" i="32" s="1"/>
  <c r="M683" i="24"/>
  <c r="D87" i="32" s="1"/>
  <c r="M677" i="24"/>
  <c r="E55" i="32" s="1"/>
  <c r="M671" i="24"/>
  <c r="F23" i="32" s="1"/>
  <c r="M686" i="24"/>
  <c r="G87" i="32" s="1"/>
  <c r="M681" i="24"/>
  <c r="I55" i="32" s="1"/>
  <c r="M692" i="24"/>
  <c r="F119" i="32" s="1"/>
  <c r="M713" i="24"/>
  <c r="F215" i="32" s="1"/>
  <c r="M691" i="24"/>
  <c r="E119" i="32" s="1"/>
  <c r="M710" i="24"/>
  <c r="C215" i="32" s="1"/>
  <c r="M673" i="24"/>
  <c r="H23" i="32" s="1"/>
  <c r="M706" i="24"/>
  <c r="F183" i="32" s="1"/>
  <c r="M693" i="24"/>
  <c r="G119" i="32" s="1"/>
  <c r="M675" i="24"/>
  <c r="C55" i="32" s="1"/>
  <c r="M712" i="24"/>
  <c r="E215" i="32" s="1"/>
  <c r="L715" i="24"/>
  <c r="M668" i="24"/>
  <c r="I715" i="34"/>
  <c r="J630" i="34"/>
  <c r="C23" i="32" l="1"/>
  <c r="M715" i="24"/>
  <c r="J713" i="34"/>
  <c r="J705" i="34"/>
  <c r="J697" i="34"/>
  <c r="J710" i="34"/>
  <c r="J716" i="34"/>
  <c r="J707" i="34"/>
  <c r="J699" i="34"/>
  <c r="J708" i="34"/>
  <c r="J700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06" i="34"/>
  <c r="J698" i="34"/>
  <c r="J696" i="34"/>
  <c r="J688" i="34"/>
  <c r="J680" i="34"/>
  <c r="J672" i="34"/>
  <c r="J693" i="34"/>
  <c r="J685" i="34"/>
  <c r="J677" i="34"/>
  <c r="J669" i="34"/>
  <c r="J701" i="34"/>
  <c r="J690" i="34"/>
  <c r="J682" i="34"/>
  <c r="J674" i="34"/>
  <c r="J711" i="34"/>
  <c r="J702" i="34"/>
  <c r="J695" i="34"/>
  <c r="J687" i="34"/>
  <c r="J679" i="34"/>
  <c r="J671" i="34"/>
  <c r="J712" i="34"/>
  <c r="J692" i="34"/>
  <c r="J684" i="34"/>
  <c r="J676" i="34"/>
  <c r="J668" i="34"/>
  <c r="J709" i="34"/>
  <c r="J704" i="34"/>
  <c r="J703" i="34"/>
  <c r="J689" i="34"/>
  <c r="J681" i="34"/>
  <c r="J673" i="34"/>
  <c r="J678" i="34"/>
  <c r="J646" i="34"/>
  <c r="J645" i="34"/>
  <c r="J694" i="34"/>
  <c r="J670" i="34"/>
  <c r="J686" i="34"/>
  <c r="J647" i="34"/>
  <c r="L647" i="34" l="1"/>
  <c r="L707" i="34" s="1"/>
  <c r="K644" i="34"/>
  <c r="J715" i="34"/>
  <c r="L682" i="34" l="1"/>
  <c r="L702" i="34"/>
  <c r="L696" i="34"/>
  <c r="L683" i="34"/>
  <c r="L681" i="34"/>
  <c r="L671" i="34"/>
  <c r="L700" i="34"/>
  <c r="L710" i="34"/>
  <c r="L673" i="34"/>
  <c r="L679" i="34"/>
  <c r="L701" i="34"/>
  <c r="L706" i="34"/>
  <c r="L670" i="34"/>
  <c r="L703" i="34"/>
  <c r="L687" i="34"/>
  <c r="L677" i="34"/>
  <c r="L709" i="34"/>
  <c r="L672" i="34"/>
  <c r="L692" i="34"/>
  <c r="L675" i="34"/>
  <c r="L691" i="34"/>
  <c r="L678" i="34"/>
  <c r="L668" i="34"/>
  <c r="L695" i="34"/>
  <c r="L685" i="34"/>
  <c r="L712" i="34"/>
  <c r="L704" i="34"/>
  <c r="L713" i="34"/>
  <c r="L708" i="34"/>
  <c r="L705" i="34"/>
  <c r="L686" i="34"/>
  <c r="L676" i="34"/>
  <c r="L711" i="34"/>
  <c r="L693" i="34"/>
  <c r="L699" i="34"/>
  <c r="L690" i="34"/>
  <c r="L689" i="34"/>
  <c r="L669" i="34"/>
  <c r="L680" i="34"/>
  <c r="L698" i="34"/>
  <c r="L688" i="34"/>
  <c r="L694" i="34"/>
  <c r="L684" i="34"/>
  <c r="L674" i="34"/>
  <c r="L697" i="34"/>
  <c r="L716" i="34"/>
  <c r="K710" i="34"/>
  <c r="K702" i="34"/>
  <c r="K716" i="34"/>
  <c r="K712" i="34"/>
  <c r="M712" i="34" s="1"/>
  <c r="K704" i="34"/>
  <c r="M704" i="34" s="1"/>
  <c r="K713" i="34"/>
  <c r="M713" i="34" s="1"/>
  <c r="K705" i="34"/>
  <c r="K697" i="34"/>
  <c r="K706" i="34"/>
  <c r="K699" i="34"/>
  <c r="K698" i="34"/>
  <c r="K696" i="34"/>
  <c r="K688" i="34"/>
  <c r="K680" i="34"/>
  <c r="K672" i="34"/>
  <c r="K707" i="34"/>
  <c r="M707" i="34" s="1"/>
  <c r="K693" i="34"/>
  <c r="K685" i="34"/>
  <c r="K677" i="34"/>
  <c r="K669" i="34"/>
  <c r="K701" i="34"/>
  <c r="M701" i="34" s="1"/>
  <c r="K700" i="34"/>
  <c r="K690" i="34"/>
  <c r="K682" i="34"/>
  <c r="K674" i="34"/>
  <c r="K711" i="34"/>
  <c r="K695" i="34"/>
  <c r="K687" i="34"/>
  <c r="K679" i="34"/>
  <c r="K671" i="34"/>
  <c r="K708" i="34"/>
  <c r="K692" i="34"/>
  <c r="M692" i="34" s="1"/>
  <c r="K684" i="34"/>
  <c r="K676" i="34"/>
  <c r="K668" i="34"/>
  <c r="K709" i="34"/>
  <c r="K703" i="34"/>
  <c r="K689" i="34"/>
  <c r="K681" i="34"/>
  <c r="M681" i="34" s="1"/>
  <c r="K673" i="34"/>
  <c r="K694" i="34"/>
  <c r="K686" i="34"/>
  <c r="K678" i="34"/>
  <c r="K670" i="34"/>
  <c r="K683" i="34"/>
  <c r="K675" i="34"/>
  <c r="M675" i="34" s="1"/>
  <c r="K691" i="34"/>
  <c r="M691" i="34" s="1"/>
  <c r="M684" i="34" l="1"/>
  <c r="M708" i="34"/>
  <c r="M702" i="34"/>
  <c r="M694" i="34"/>
  <c r="M679" i="34"/>
  <c r="M683" i="34"/>
  <c r="M693" i="34"/>
  <c r="M711" i="34"/>
  <c r="M685" i="34"/>
  <c r="M689" i="34"/>
  <c r="M670" i="34"/>
  <c r="M674" i="34"/>
  <c r="M690" i="34"/>
  <c r="M699" i="34"/>
  <c r="M696" i="34"/>
  <c r="M706" i="34"/>
  <c r="M686" i="34"/>
  <c r="M672" i="34"/>
  <c r="M697" i="34"/>
  <c r="M705" i="34"/>
  <c r="M676" i="34"/>
  <c r="M700" i="34"/>
  <c r="M687" i="34"/>
  <c r="M680" i="34"/>
  <c r="M668" i="34"/>
  <c r="M710" i="34"/>
  <c r="L715" i="34"/>
  <c r="M673" i="34"/>
  <c r="M682" i="34"/>
  <c r="M671" i="34"/>
  <c r="M688" i="34"/>
  <c r="M709" i="34"/>
  <c r="M669" i="34"/>
  <c r="M703" i="34"/>
  <c r="M678" i="34"/>
  <c r="M695" i="34"/>
  <c r="M677" i="34"/>
  <c r="M698" i="34"/>
  <c r="K715" i="34"/>
  <c r="M715" i="34" l="1"/>
</calcChain>
</file>

<file path=xl/sharedStrings.xml><?xml version="1.0" encoding="utf-8"?>
<sst xmlns="http://schemas.openxmlformats.org/spreadsheetml/2006/main" count="4860" uniqueCount="1408">
  <si>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</si>
  <si>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</si>
  <si>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</si>
  <si>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</si>
  <si>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</si>
  <si>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</si>
  <si>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</si>
  <si>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</si>
  <si>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</si>
  <si>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</si>
  <si>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</si>
  <si>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</si>
  <si>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</si>
  <si>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</si>
  <si>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</si>
  <si>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</si>
  <si>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</si>
  <si>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</si>
  <si>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</si>
  <si>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</si>
  <si>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</si>
  <si>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</si>
  <si>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</si>
  <si>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</si>
  <si>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</si>
  <si>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</si>
  <si>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</si>
  <si>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</si>
  <si>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</si>
  <si>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</si>
  <si>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</si>
  <si>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</si>
  <si>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</si>
  <si>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</si>
  <si>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</si>
  <si>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</si>
  <si>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</si>
  <si>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</si>
  <si>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</si>
  <si>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</si>
  <si>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</si>
  <si>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</si>
  <si>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</si>
  <si>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</si>
  <si>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</si>
  <si>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</si>
  <si>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</si>
  <si>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</si>
  <si>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</si>
  <si>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</si>
  <si>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</si>
  <si>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</si>
  <si>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</si>
  <si>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</si>
  <si>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</si>
  <si>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</si>
  <si>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</si>
  <si>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</si>
  <si>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</si>
  <si>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</si>
  <si>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</si>
  <si>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</si>
  <si>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</si>
  <si>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</si>
  <si>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</si>
  <si>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</si>
  <si>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</si>
  <si>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</si>
  <si>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</si>
  <si>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</si>
  <si>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</si>
  <si>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</si>
  <si>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</si>
  <si>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</si>
  <si>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</si>
  <si>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</si>
  <si>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</si>
  <si>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</si>
  <si>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</si>
  <si>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</si>
  <si>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</si>
  <si>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</si>
  <si>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</si>
  <si>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</si>
  <si>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</si>
  <si>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</si>
  <si>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</si>
  <si>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</si>
  <si>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</si>
  <si>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</si>
  <si>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</si>
  <si>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</si>
  <si>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</si>
  <si>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</si>
  <si>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</si>
  <si>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</si>
  <si>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</si>
  <si>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</si>
  <si>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</si>
  <si>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</si>
  <si>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</si>
  <si>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</si>
  <si>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</si>
  <si>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</si>
  <si>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</si>
  <si>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</si>
  <si>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</si>
  <si>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</si>
  <si>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</si>
  <si>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</si>
  <si>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</si>
  <si>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</si>
  <si>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</si>
  <si>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</si>
  <si>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</si>
  <si>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</si>
  <si>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</si>
  <si>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</si>
  <si>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</si>
  <si>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</si>
  <si>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</si>
  <si>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</si>
  <si>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</si>
  <si>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</si>
  <si>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</si>
  <si>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</si>
  <si>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</si>
  <si>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</si>
  <si>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</si>
  <si>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</si>
  <si>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</si>
  <si>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</si>
  <si>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</si>
  <si>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</si>
  <si>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</si>
  <si>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</si>
  <si>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</si>
  <si>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</si>
  <si>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</si>
  <si>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</si>
  <si>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</si>
  <si>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</si>
  <si>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</si>
  <si>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</si>
  <si>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</si>
  <si>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</si>
  <si>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</si>
  <si>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</si>
  <si>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</si>
  <si>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</si>
  <si>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</si>
  <si>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</si>
  <si>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</si>
  <si>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</si>
  <si>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</si>
  <si>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</si>
  <si>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</si>
  <si>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</si>
  <si>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</si>
  <si>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</si>
  <si>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</si>
  <si>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</si>
  <si>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</si>
  <si>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</si>
  <si>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</si>
  <si>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</si>
  <si>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</si>
  <si>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</si>
  <si>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</si>
  <si>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</si>
  <si>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</si>
  <si>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</si>
  <si>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</si>
  <si>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</si>
  <si>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</si>
  <si>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</si>
  <si>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</si>
  <si>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</si>
  <si>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</si>
  <si>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</si>
  <si>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</si>
  <si>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</si>
  <si>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</si>
  <si>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</si>
  <si>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</si>
  <si>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</si>
  <si>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</si>
  <si>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</si>
  <si>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</si>
  <si>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</si>
  <si>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</si>
  <si>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</si>
  <si>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</si>
  <si>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</si>
  <si>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</si>
  <si>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</si>
  <si>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</si>
  <si>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</si>
  <si>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</si>
  <si>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</si>
  <si>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</si>
  <si>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</si>
  <si>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</si>
  <si>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</si>
  <si>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</si>
  <si>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</si>
  <si>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</si>
  <si>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</si>
  <si>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</si>
  <si>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</si>
  <si>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</si>
  <si>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</si>
  <si>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</si>
  <si>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</si>
  <si>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</si>
  <si>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</si>
  <si>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</si>
  <si>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</si>
  <si>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</si>
  <si>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</si>
  <si>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</si>
  <si>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</si>
  <si>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</si>
  <si>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</si>
  <si>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</si>
  <si>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</si>
  <si>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</si>
  <si>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</si>
  <si>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</si>
  <si>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</si>
  <si>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</si>
  <si>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</si>
  <si>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</si>
  <si>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</si>
  <si>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</si>
  <si>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</si>
  <si>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</si>
  <si>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</si>
  <si>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</si>
  <si>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</si>
  <si>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</si>
  <si>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</si>
  <si>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</si>
  <si>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</si>
  <si>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</si>
  <si>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</si>
  <si>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</si>
  <si>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</si>
  <si>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</si>
  <si>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</si>
  <si>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</si>
  <si>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</si>
  <si>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</si>
  <si>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</si>
  <si>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</si>
  <si>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</si>
  <si>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</si>
  <si>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</si>
  <si>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</si>
  <si>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</si>
  <si>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</si>
  <si>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</si>
  <si>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</si>
  <si>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</si>
  <si>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</si>
  <si>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</si>
  <si>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</si>
  <si>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</si>
  <si>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</si>
  <si>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</si>
  <si>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</si>
  <si>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</si>
  <si>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</si>
  <si>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</si>
  <si>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</si>
  <si>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</si>
  <si>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</si>
  <si>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</si>
  <si>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</si>
  <si>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</si>
  <si>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</si>
  <si>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</si>
  <si>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</si>
  <si>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</si>
  <si>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</si>
  <si>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</si>
  <si>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</si>
  <si>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</si>
  <si>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</si>
  <si>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</si>
  <si>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</si>
  <si>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</si>
  <si>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</si>
  <si>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</si>
  <si>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</si>
  <si>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</si>
  <si>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</si>
  <si>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</si>
  <si>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</si>
  <si>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</si>
  <si>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058</t>
  </si>
  <si>
    <t>Hospital Name</t>
  </si>
  <si>
    <t xml:space="preserve">YAKIMA VALLEY MEMORIAL </t>
  </si>
  <si>
    <t>Mailing Address</t>
  </si>
  <si>
    <t>2811 TIETON DRIVE</t>
  </si>
  <si>
    <t>City</t>
  </si>
  <si>
    <t>YAKIMA</t>
  </si>
  <si>
    <t>State</t>
  </si>
  <si>
    <t>WASHINGTON</t>
  </si>
  <si>
    <t>Zip</t>
  </si>
  <si>
    <t>County</t>
  </si>
  <si>
    <t>Chief Executive Officer</t>
  </si>
  <si>
    <t>TAMMY BUYOK</t>
  </si>
  <si>
    <t>Chief Financial Officer</t>
  </si>
  <si>
    <t>JASON MITCHELL</t>
  </si>
  <si>
    <t>Chair of Governing Board</t>
  </si>
  <si>
    <t>DAVE HARGREAVES</t>
  </si>
  <si>
    <t>Telephone Number</t>
  </si>
  <si>
    <t>(509) 575-8000</t>
  </si>
  <si>
    <t>Facsimile Number</t>
  </si>
  <si>
    <t>(509) 575-8863</t>
  </si>
  <si>
    <t>Name of Submitter</t>
  </si>
  <si>
    <t>ANNE BEAUVAIS</t>
  </si>
  <si>
    <t>Email of Submitter</t>
  </si>
  <si>
    <t>ANNE.BEAUVAIS@MULTICARE.ORG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</si>
  <si>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</si>
  <si>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</si>
  <si>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</si>
  <si>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</si>
  <si>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</si>
  <si>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</si>
  <si>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</si>
  <si>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</si>
  <si>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</si>
  <si>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</si>
  <si>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</si>
  <si>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</si>
  <si>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</si>
  <si>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</si>
  <si>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</si>
  <si>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</si>
  <si>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</si>
  <si>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</si>
  <si>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</si>
  <si>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</si>
  <si>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</si>
  <si>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</si>
  <si>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</si>
  <si>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</si>
  <si>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</si>
  <si>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</si>
  <si>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</si>
  <si>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</si>
  <si>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</si>
  <si>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</si>
  <si>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</si>
  <si>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</si>
  <si>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</si>
  <si>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</si>
  <si>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</si>
  <si>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</si>
  <si>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</si>
  <si>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</si>
  <si>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</si>
  <si>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</si>
  <si>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</si>
  <si>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</si>
  <si>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</si>
  <si>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</si>
  <si>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</si>
  <si>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</si>
  <si>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</si>
  <si>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</si>
  <si>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</si>
  <si>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</si>
  <si>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</si>
  <si>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</si>
  <si>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</si>
  <si>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</si>
  <si>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</si>
  <si>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</si>
  <si>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</si>
  <si>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</si>
  <si>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</si>
  <si>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</si>
  <si>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</si>
  <si>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</si>
  <si>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</si>
  <si>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</si>
  <si>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</si>
  <si>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</si>
  <si>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</si>
  <si>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</si>
  <si>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</si>
  <si>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</si>
  <si>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</si>
  <si>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</si>
  <si>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</si>
  <si>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</si>
  <si>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</si>
  <si>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</si>
  <si>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</si>
  <si>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</si>
  <si>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</si>
  <si>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</si>
  <si>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</si>
  <si>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</si>
  <si>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</si>
  <si>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</si>
  <si>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</si>
  <si>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</si>
  <si>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</si>
  <si>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</si>
  <si>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</si>
  <si>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</si>
  <si>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</si>
  <si>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</si>
  <si>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</si>
  <si>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</si>
  <si>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</si>
  <si>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</si>
  <si>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</si>
  <si>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</si>
  <si>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</si>
  <si>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</si>
  <si>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</si>
  <si>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</si>
  <si>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</si>
  <si>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</si>
  <si>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</si>
  <si>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</si>
  <si>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</si>
  <si>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</si>
  <si>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</si>
  <si>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</si>
  <si>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</si>
  <si>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</si>
  <si>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</si>
  <si>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</si>
  <si>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</si>
  <si>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</si>
  <si>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</si>
  <si>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</si>
  <si>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</si>
  <si>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</si>
  <si>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</si>
  <si>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</si>
  <si>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</si>
  <si>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</si>
  <si>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</si>
  <si>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</si>
  <si>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</si>
  <si>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</si>
  <si>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</si>
  <si>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</si>
  <si>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</si>
  <si>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</si>
  <si>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</si>
  <si>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</si>
  <si>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</si>
  <si>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</si>
  <si>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</si>
  <si>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</si>
  <si>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</si>
  <si>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</si>
  <si>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</si>
  <si>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</si>
  <si>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</si>
  <si>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</si>
  <si>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</si>
  <si>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</si>
  <si>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</si>
  <si>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</si>
  <si>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</si>
  <si>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</si>
  <si>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</si>
  <si>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</si>
  <si>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</si>
  <si>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</si>
  <si>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</si>
  <si>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</si>
  <si>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</si>
  <si>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</si>
  <si>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</si>
  <si>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</si>
  <si>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</si>
  <si>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</si>
  <si>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</si>
  <si>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</si>
  <si>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</si>
  <si>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</si>
  <si>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</si>
  <si>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</si>
  <si>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</si>
  <si>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</si>
  <si>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</si>
  <si>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</si>
  <si>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</si>
  <si>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</si>
  <si>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</si>
  <si>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</si>
  <si>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</si>
  <si>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</si>
  <si>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</si>
  <si>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</si>
  <si>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</si>
  <si>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</si>
  <si>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</si>
  <si>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</si>
  <si>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</si>
  <si>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</si>
  <si>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</si>
  <si>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</si>
  <si>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</si>
  <si>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</si>
  <si>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</si>
  <si>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</si>
  <si>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</si>
  <si>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</si>
  <si>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</si>
  <si>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</si>
  <si>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</si>
  <si>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</si>
  <si>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</si>
  <si>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</si>
  <si>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</si>
  <si>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</si>
  <si>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</si>
  <si>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</si>
  <si>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</si>
  <si>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</si>
  <si>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</si>
  <si>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</si>
  <si>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</si>
  <si>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</si>
  <si>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</si>
  <si>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</si>
  <si>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</si>
  <si>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</si>
  <si>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</si>
  <si>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</si>
  <si>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</si>
  <si>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</si>
  <si>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</si>
  <si>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</si>
  <si>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</si>
  <si>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</si>
  <si>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</si>
  <si>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</si>
  <si>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</si>
  <si>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</si>
  <si>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</si>
  <si>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</si>
  <si>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</si>
  <si>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</si>
  <si>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</si>
  <si>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</si>
  <si>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</si>
  <si>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</si>
  <si>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</si>
  <si>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</si>
  <si>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</si>
  <si>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</si>
  <si>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</si>
  <si>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</si>
  <si>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</si>
  <si>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</si>
  <si>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</si>
  <si>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</si>
  <si>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</si>
  <si>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</si>
  <si>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</si>
  <si>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</si>
  <si>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</si>
  <si>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</si>
  <si>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</si>
  <si>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</si>
  <si>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</si>
  <si>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</si>
  <si>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</si>
  <si>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</si>
  <si>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</si>
  <si>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</si>
  <si>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</si>
  <si>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</si>
  <si>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</si>
  <si>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</si>
  <si>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</si>
  <si>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</si>
  <si>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</si>
  <si>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</si>
  <si>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</si>
  <si>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</si>
  <si>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</si>
  <si>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</si>
  <si>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</si>
  <si>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</si>
  <si>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</si>
  <si>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</si>
  <si>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</si>
  <si>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</si>
  <si>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</si>
  <si>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</si>
  <si>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</si>
  <si>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</si>
  <si>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</si>
  <si>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</si>
  <si>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</si>
  <si>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</si>
  <si>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</si>
  <si>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</si>
  <si>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</si>
  <si>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</si>
  <si>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</si>
  <si>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</si>
  <si>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</si>
  <si>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</si>
  <si>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</si>
  <si>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</si>
  <si>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</si>
  <si>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</si>
  <si>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</si>
  <si>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</si>
  <si>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</si>
  <si>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</si>
  <si>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</si>
  <si>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</si>
  <si>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</si>
  <si>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</si>
  <si>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</si>
  <si>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</si>
  <si>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</si>
  <si>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</si>
  <si>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</si>
  <si>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</si>
  <si>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</si>
  <si>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</si>
  <si>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</si>
  <si>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</si>
  <si>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</si>
  <si>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</si>
  <si>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</si>
  <si>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</si>
  <si>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</si>
  <si>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</si>
  <si>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</si>
  <si>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</si>
  <si>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</si>
  <si>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</si>
  <si>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</si>
  <si>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</si>
  <si>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</si>
  <si>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</si>
  <si>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</si>
  <si>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</si>
  <si>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</si>
  <si>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</si>
  <si>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</si>
  <si>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</si>
  <si>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</si>
  <si>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</si>
  <si>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</si>
  <si>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</si>
  <si>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</si>
  <si>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</si>
  <si>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</si>
  <si>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</si>
  <si>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</si>
  <si>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</si>
  <si>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</si>
  <si>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</si>
  <si>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</si>
  <si>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</si>
  <si>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</si>
  <si>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</si>
  <si>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</si>
  <si>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</si>
  <si>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</si>
  <si>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</si>
  <si>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</si>
  <si>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</si>
  <si>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</si>
  <si>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</si>
  <si>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</si>
  <si>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</si>
  <si>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</si>
  <si>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</si>
  <si>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</si>
  <si>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</si>
  <si>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</si>
  <si>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</si>
  <si>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</si>
  <si>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</si>
  <si>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</si>
  <si>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</si>
  <si>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</si>
  <si>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</si>
  <si>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</si>
  <si>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</si>
  <si>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</si>
  <si>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</si>
  <si>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</si>
  <si>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</si>
  <si>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</si>
  <si>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</si>
  <si>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</si>
  <si>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</si>
  <si>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</si>
  <si>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</si>
  <si>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</si>
  <si>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</si>
  <si>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</si>
  <si>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</si>
  <si>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</si>
  <si>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</si>
  <si>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</si>
  <si>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</si>
  <si>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</si>
  <si>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</si>
  <si>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</si>
  <si>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</si>
  <si>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</si>
  <si>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</si>
  <si>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</si>
  <si>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</si>
  <si>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</si>
  <si>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</si>
  <si>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</si>
  <si>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</si>
  <si>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</si>
  <si>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</si>
  <si>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</si>
  <si>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</si>
  <si>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</si>
  <si>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</si>
  <si>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</si>
  <si>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</si>
  <si>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</si>
  <si>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</si>
  <si>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</si>
  <si>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</si>
  <si>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</si>
  <si>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</si>
  <si>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</si>
  <si>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</si>
  <si>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</si>
  <si>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</si>
  <si>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</si>
  <si>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</si>
  <si>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</si>
  <si>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</si>
  <si>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</si>
  <si>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</si>
  <si>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</si>
  <si>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</si>
  <si>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</si>
  <si>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</si>
  <si>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</si>
  <si>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</si>
  <si>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</si>
  <si>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</si>
  <si>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</si>
  <si>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</si>
  <si>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</si>
  <si>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</si>
  <si>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</si>
  <si>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</si>
  <si>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</si>
  <si>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</si>
  <si>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</si>
  <si>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</si>
  <si>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</si>
  <si>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</si>
  <si>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</si>
  <si>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</si>
  <si>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</si>
  <si>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</si>
  <si>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</si>
  <si>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</si>
  <si>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</si>
  <si>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</si>
  <si>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</si>
  <si>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</si>
  <si>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</si>
  <si>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</si>
  <si>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</si>
  <si>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</si>
  <si>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</si>
  <si>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</si>
  <si>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</si>
  <si>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</si>
  <si>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</si>
  <si>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</si>
  <si>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</si>
  <si>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</si>
  <si>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</si>
  <si>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</si>
  <si>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</si>
  <si>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</si>
  <si>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</si>
  <si>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</si>
  <si>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</si>
  <si>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</si>
  <si>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</si>
  <si>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</si>
  <si>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</si>
  <si>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</si>
  <si>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</si>
  <si>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</si>
  <si>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</si>
  <si>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</si>
  <si>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</si>
  <si>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</si>
  <si>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</si>
  <si>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</si>
  <si>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</si>
  <si>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</si>
  <si>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</si>
  <si>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</si>
  <si>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</si>
  <si>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</si>
  <si>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</si>
  <si>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</si>
  <si>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</si>
  <si>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</si>
  <si>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</si>
  <si>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</si>
  <si>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</si>
  <si>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</si>
  <si>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</si>
  <si>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</si>
  <si>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</si>
  <si>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</si>
  <si>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</si>
  <si>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</si>
  <si>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</si>
  <si>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</si>
  <si>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</si>
  <si>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</si>
  <si>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</si>
  <si>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</si>
  <si>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</si>
  <si>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</si>
  <si>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</si>
  <si>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</si>
  <si>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</si>
  <si>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</si>
  <si>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</si>
  <si>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</si>
  <si>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</si>
  <si>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</si>
  <si>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</si>
  <si>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</si>
  <si>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</si>
  <si>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</si>
  <si>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</si>
  <si>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</si>
  <si>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</si>
  <si>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</si>
  <si>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</si>
  <si>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</si>
  <si>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</si>
  <si>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</si>
  <si>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</si>
  <si>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</si>
  <si>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</si>
  <si>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</si>
  <si>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</si>
  <si>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</si>
  <si>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</si>
  <si>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</si>
  <si>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</si>
  <si>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</si>
  <si>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</si>
  <si>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</si>
  <si>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</si>
  <si>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</si>
  <si>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</si>
  <si>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</si>
  <si>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</si>
  <si>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</si>
  <si>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</si>
  <si>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</si>
  <si>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</si>
  <si>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</si>
  <si>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</si>
  <si>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</si>
  <si>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</si>
  <si>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</si>
  <si>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</si>
  <si>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</si>
  <si>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</si>
  <si>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</si>
  <si>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</si>
  <si>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</si>
  <si>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</si>
  <si>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</si>
  <si>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</si>
  <si>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</si>
  <si>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</si>
  <si>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</si>
  <si>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</si>
  <si>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</si>
  <si>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</si>
  <si>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</si>
  <si>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</si>
  <si>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</si>
  <si>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</si>
  <si>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</si>
  <si>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</si>
  <si>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</si>
  <si>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</si>
  <si>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</si>
  <si>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</si>
  <si>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</si>
  <si>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</si>
  <si>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</si>
  <si>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</si>
  <si>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</si>
  <si>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</si>
  <si>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</si>
  <si>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</si>
  <si>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</si>
  <si>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</si>
  <si>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</si>
  <si>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</si>
  <si>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</si>
  <si>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</si>
  <si>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</si>
  <si>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</si>
  <si>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</si>
  <si>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</si>
  <si>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</si>
  <si>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</si>
  <si>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</si>
  <si>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</si>
  <si>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</si>
  <si>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</si>
  <si>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</si>
  <si>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</si>
  <si>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</si>
  <si>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</si>
  <si>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</si>
  <si>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</si>
  <si>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</si>
  <si>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</si>
  <si>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</si>
  <si>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</si>
  <si>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</si>
  <si>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</si>
  <si>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</si>
  <si>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</si>
  <si>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</si>
  <si>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</si>
  <si>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</si>
  <si>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</si>
  <si>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</si>
  <si>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</si>
  <si>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</si>
  <si>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</si>
  <si>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</si>
  <si>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</si>
  <si>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</si>
  <si>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</si>
  <si>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</si>
  <si>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</si>
  <si>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</si>
  <si>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</si>
  <si>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</si>
  <si>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</si>
  <si>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</si>
  <si>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</si>
  <si>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</si>
  <si>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</si>
  <si>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</si>
  <si>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</si>
  <si>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</si>
  <si>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</si>
  <si>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</si>
  <si>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</si>
  <si>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</si>
  <si>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</si>
  <si>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</si>
  <si>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</si>
  <si>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</si>
  <si>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</si>
  <si>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</si>
  <si>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</si>
  <si>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</si>
  <si>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</si>
  <si>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</si>
  <si>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</si>
  <si>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</si>
  <si>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</si>
  <si>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</si>
  <si>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</si>
  <si>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</si>
  <si>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</si>
  <si>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</si>
  <si>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</si>
  <si>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</si>
  <si>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</si>
  <si>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</si>
  <si>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</si>
  <si>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</si>
  <si>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</si>
  <si>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</si>
  <si>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</si>
  <si>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</si>
  <si>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</si>
  <si>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</si>
  <si>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</si>
  <si>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</si>
  <si>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</si>
  <si>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</si>
  <si>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</si>
  <si>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</si>
  <si>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</si>
  <si>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</si>
  <si>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</si>
  <si>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</si>
  <si>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</si>
  <si>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</si>
  <si>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</si>
  <si>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</si>
  <si>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</si>
  <si>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</si>
  <si>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</si>
  <si>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</si>
  <si>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</si>
  <si>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</si>
  <si>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</si>
  <si>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</si>
  <si>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</si>
  <si>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</si>
  <si>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</si>
  <si>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</si>
  <si>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</si>
  <si>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</si>
  <si>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</si>
  <si>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</si>
  <si>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</si>
  <si>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</si>
  <si>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</si>
  <si>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</si>
  <si>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</si>
  <si>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</si>
  <si>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</si>
  <si>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</si>
  <si>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</si>
  <si>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</si>
  <si>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</si>
  <si>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</si>
  <si>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</si>
  <si>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</si>
  <si>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</si>
  <si>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</si>
  <si>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</si>
  <si>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</si>
  <si>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</si>
  <si>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</si>
  <si>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</si>
  <si>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</si>
  <si>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</si>
  <si>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</si>
  <si>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</si>
  <si>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</si>
  <si>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</si>
  <si>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</si>
  <si>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</si>
  <si>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</si>
  <si>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</si>
  <si>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</si>
  <si>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</si>
  <si>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</si>
  <si>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</si>
  <si>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</si>
  <si>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</si>
  <si>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</si>
  <si>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</si>
  <si>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</si>
  <si>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</si>
  <si>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</si>
  <si>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</si>
  <si>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</si>
  <si>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</si>
  <si>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</si>
  <si>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</si>
  <si>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</si>
  <si>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</si>
  <si>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</si>
  <si>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</si>
  <si>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</si>
  <si>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</si>
  <si>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</si>
  <si>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</si>
  <si>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</si>
  <si>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</si>
  <si>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</si>
  <si>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</si>
  <si>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</si>
  <si>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</si>
  <si>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</si>
  <si>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</si>
  <si>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</si>
  <si>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</si>
  <si>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</si>
  <si>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</si>
  <si>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</si>
  <si>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</si>
  <si>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</si>
  <si>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</si>
  <si>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</si>
  <si>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</si>
  <si>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</si>
  <si>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</si>
  <si>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</si>
  <si>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</si>
  <si>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</si>
  <si>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</si>
  <si>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</si>
  <si>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</si>
  <si>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</si>
  <si>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</si>
  <si>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</si>
  <si>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</si>
  <si>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</si>
  <si>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</si>
  <si>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</si>
  <si>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</si>
  <si>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</si>
  <si>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</si>
  <si>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</si>
  <si>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</si>
  <si>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</si>
  <si>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</si>
  <si>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</si>
  <si>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</si>
  <si>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</si>
  <si>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</si>
  <si>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</si>
  <si>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</si>
  <si>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</si>
  <si>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</si>
  <si>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</si>
  <si>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</si>
  <si>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</si>
  <si>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</si>
  <si>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</si>
  <si>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</si>
  <si>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</si>
  <si>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</si>
  <si>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</si>
  <si>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</si>
  <si>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</si>
  <si>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</si>
  <si>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</si>
  <si>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</si>
  <si>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</si>
  <si>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</si>
  <si>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</si>
  <si>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</si>
  <si>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</si>
  <si>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</si>
  <si>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</si>
  <si>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</si>
  <si>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</si>
  <si>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</si>
  <si>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</si>
  <si>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</si>
  <si>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</si>
  <si>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</si>
  <si>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</si>
  <si>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</si>
  <si>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</si>
  <si>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</si>
  <si>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</si>
  <si>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</si>
  <si>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</si>
  <si>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</si>
  <si>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</si>
  <si>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</si>
  <si>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</si>
  <si>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</si>
  <si>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</si>
  <si>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</si>
  <si>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</si>
  <si>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</si>
  <si>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</si>
  <si>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</si>
  <si>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</si>
  <si>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</si>
  <si>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</si>
  <si>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</si>
  <si>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</si>
  <si>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</si>
  <si>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</si>
  <si>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</si>
  <si>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</si>
  <si>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</si>
  <si>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</si>
  <si>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</si>
  <si>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</si>
  <si>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</si>
  <si>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</si>
  <si>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</si>
  <si>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</si>
  <si>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</si>
  <si>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</si>
  <si>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</si>
  <si>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</si>
  <si>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</si>
  <si>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</si>
  <si>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</si>
  <si>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</si>
  <si>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</si>
  <si>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</si>
  <si>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</si>
  <si>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</si>
  <si>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</si>
  <si>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</si>
  <si>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</si>
  <si>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</si>
  <si>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</si>
  <si>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</si>
  <si>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</si>
  <si>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</si>
  <si>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</si>
  <si>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</si>
  <si>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</si>
  <si>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</si>
  <si>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</si>
  <si>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</si>
  <si>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</si>
  <si>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</si>
  <si>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</si>
  <si>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</si>
  <si>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</si>
  <si>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</si>
  <si>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</si>
  <si>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</si>
  <si>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</si>
  <si>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</si>
  <si>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</si>
  <si>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</si>
  <si>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</si>
  <si>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</si>
  <si>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</si>
  <si>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</si>
  <si>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</si>
  <si>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</si>
  <si>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</si>
  <si>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</si>
  <si>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</si>
  <si>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</si>
  <si>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</si>
  <si>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</si>
  <si>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</si>
  <si>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</si>
  <si>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</si>
  <si>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</si>
  <si>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</si>
  <si>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</si>
  <si>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</si>
  <si>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</si>
  <si>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</si>
  <si>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</si>
  <si>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</si>
  <si>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</si>
  <si>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</si>
  <si>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</si>
  <si>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</si>
  <si>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</si>
  <si>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</si>
  <si>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</si>
  <si>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</si>
  <si>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</si>
  <si>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</si>
  <si>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</si>
  <si>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</si>
  <si>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</si>
  <si>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</si>
  <si>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</si>
  <si>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</si>
  <si>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</si>
  <si>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</si>
  <si>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</si>
  <si>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</si>
  <si>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</si>
  <si>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</si>
  <si>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</si>
  <si>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</si>
  <si>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</si>
  <si>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</si>
  <si>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</si>
  <si>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</si>
  <si>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</si>
  <si>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</si>
  <si>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</si>
  <si>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</si>
  <si>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</si>
  <si>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</si>
  <si>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</si>
  <si>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</si>
  <si>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</si>
  <si>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</si>
  <si>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</si>
  <si>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</si>
  <si>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</si>
  <si>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</si>
  <si>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</si>
  <si>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</si>
  <si>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</si>
  <si>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</si>
  <si>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</si>
  <si>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</si>
  <si>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</si>
  <si>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</si>
  <si>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</si>
  <si>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</si>
  <si>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</si>
  <si>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</si>
  <si>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</si>
  <si>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</si>
  <si>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</si>
  <si>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</si>
  <si>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</si>
  <si>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</si>
  <si>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</si>
  <si>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</si>
  <si>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</si>
  <si>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</si>
  <si>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</si>
  <si>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</si>
  <si>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</si>
  <si>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</si>
  <si>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</si>
  <si>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</si>
  <si>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</si>
  <si>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</si>
  <si>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</si>
  <si>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</si>
  <si>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</si>
  <si>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</si>
  <si>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</si>
  <si>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</si>
  <si>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</si>
  <si>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</si>
  <si>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</si>
  <si>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</si>
  <si>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</si>
  <si>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</si>
  <si>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</si>
  <si>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</si>
  <si>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</si>
  <si>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</si>
  <si>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</si>
  <si>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</si>
  <si>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</si>
  <si>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</si>
  <si>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</si>
  <si>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</si>
  <si>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VACANT</t>
  </si>
  <si>
    <t>Interest Income</t>
  </si>
  <si>
    <t>Interest Income - Operatinhg</t>
  </si>
  <si>
    <t>Medical Records Fee</t>
  </si>
  <si>
    <t>Gain (Loss) - Disposal of Assets</t>
  </si>
  <si>
    <t>Miscellaneous Operating Revenue</t>
  </si>
  <si>
    <t>Network Management Fee</t>
  </si>
  <si>
    <t>Equipment Supplies</t>
  </si>
  <si>
    <t>Minor Equipment</t>
  </si>
  <si>
    <t>Telecommunications</t>
  </si>
  <si>
    <t>Infectious Waste</t>
  </si>
  <si>
    <t>Janitorial</t>
  </si>
  <si>
    <t>Building Services</t>
  </si>
  <si>
    <t>Miscellaneous Expenses</t>
  </si>
  <si>
    <t>Advertising/Promotions</t>
  </si>
  <si>
    <t>Product Line Marketing</t>
  </si>
  <si>
    <t>CME</t>
  </si>
  <si>
    <t>Airfare</t>
  </si>
  <si>
    <t>Lodging</t>
  </si>
  <si>
    <t>Car Rental</t>
  </si>
  <si>
    <t>Local Transportation</t>
  </si>
  <si>
    <t>Vehicle Expense</t>
  </si>
  <si>
    <t>Patient Transportation</t>
  </si>
  <si>
    <t>Travel - Other</t>
  </si>
  <si>
    <t>Meals/Entertainment</t>
  </si>
  <si>
    <t>Community Contributions</t>
  </si>
  <si>
    <t>Gift Annuity Expense</t>
  </si>
  <si>
    <t>Grant Expense</t>
  </si>
  <si>
    <t>Grant Expense - PPE</t>
  </si>
  <si>
    <t>Bank Service Fees</t>
  </si>
  <si>
    <t>Late Fees</t>
  </si>
  <si>
    <t>Dues</t>
  </si>
  <si>
    <t>Postage/Shipping</t>
  </si>
  <si>
    <t>Printing/Reproduction</t>
  </si>
  <si>
    <t>Books/Subscriptions</t>
  </si>
  <si>
    <t>Provider CME</t>
  </si>
  <si>
    <t>Vehicle Maintenance</t>
  </si>
  <si>
    <t>Special Events</t>
  </si>
  <si>
    <t>Bad Debt Expense</t>
  </si>
  <si>
    <t>Lost Patient Articles</t>
  </si>
  <si>
    <t>Unitrust Moen Expense</t>
  </si>
  <si>
    <t>Cash Over/Short</t>
  </si>
  <si>
    <t>Miscellaneous - Other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</si>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</sst>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0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9" fontId="5" fillId="0" borderId="0" xfId="4"/>
    <xf numFmtId="37" fontId="30" fillId="0" borderId="0" xfId="0" applyFont="1" applyAlignment="1">
      <alignment vertical="center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13" fillId="12" borderId="14" xfId="0" quotePrefix="1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0" fontId="38" fillId="0" borderId="0" xfId="2" applyFont="1" applyAlignment="1">
      <alignment horizontal="left" vertical="top" wrapText="1"/>
      <protection locked="0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29" fillId="0" borderId="0" xfId="0" applyFont="1"/>
    <xf numFmtId="37" fontId="39" fillId="0" borderId="0" xfId="0" applyFont="1"/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547D4-FB25-474C-B715-DFC234DF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ANNE.BEAUVAIS@multicar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ANNE.BEAUVAI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AA3-2C4F-4DA7-B406-5F0F15FE8FC7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E2" sqref="E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9" t="s">
        <v>1407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58" t="s">
        <v>1406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93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51" t="s">
        <v>28</v>
      </c>
      <c r="B36" s="352"/>
      <c r="C36" s="353"/>
      <c r="D36" s="352"/>
      <c r="E36" s="352"/>
      <c r="F36" s="352"/>
      <c r="G36" s="352"/>
    </row>
    <row r="37" spans="1:83" x14ac:dyDescent="0.35">
      <c r="A37" s="354" t="s">
        <v>29</v>
      </c>
      <c r="B37" s="355"/>
      <c r="C37" s="353"/>
      <c r="D37" s="352"/>
      <c r="E37" s="352"/>
      <c r="F37" s="352"/>
      <c r="G37" s="352"/>
    </row>
    <row r="38" spans="1:83" x14ac:dyDescent="0.35">
      <c r="A38" s="356" t="s">
        <v>30</v>
      </c>
      <c r="B38" s="355"/>
      <c r="C38" s="353"/>
      <c r="D38" s="352"/>
      <c r="E38" s="352"/>
      <c r="F38" s="352"/>
      <c r="G38" s="352"/>
    </row>
    <row r="39" spans="1:83" x14ac:dyDescent="0.35">
      <c r="A39" s="357" t="s">
        <v>31</v>
      </c>
      <c r="B39" s="352"/>
      <c r="C39" s="353"/>
      <c r="D39" s="352"/>
      <c r="E39" s="352"/>
      <c r="F39" s="352"/>
      <c r="G39" s="352"/>
    </row>
    <row r="40" spans="1:83" x14ac:dyDescent="0.35">
      <c r="A40" s="356" t="s">
        <v>32</v>
      </c>
      <c r="B40" s="352"/>
      <c r="C40" s="353"/>
      <c r="D40" s="352"/>
      <c r="E40" s="352"/>
      <c r="F40" s="352"/>
      <c r="G40" s="352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20">
        <v>0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  <c r="AH47" s="321">
        <v>0</v>
      </c>
      <c r="AI47" s="321">
        <v>0</v>
      </c>
      <c r="AJ47" s="321">
        <v>0</v>
      </c>
      <c r="AK47" s="321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0</v>
      </c>
      <c r="AU47" s="321">
        <v>0</v>
      </c>
      <c r="AV47" s="321">
        <v>0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</v>
      </c>
      <c r="BH47" s="321">
        <v>0</v>
      </c>
      <c r="BI47" s="321">
        <v>0</v>
      </c>
      <c r="BJ47" s="321">
        <v>0</v>
      </c>
      <c r="BK47" s="321">
        <v>0</v>
      </c>
      <c r="BL47" s="321">
        <v>0</v>
      </c>
      <c r="BM47" s="321">
        <v>0</v>
      </c>
      <c r="BN47" s="321">
        <v>0</v>
      </c>
      <c r="BO47" s="321">
        <v>0</v>
      </c>
      <c r="BP47" s="321">
        <v>0</v>
      </c>
      <c r="BQ47" s="321">
        <v>0</v>
      </c>
      <c r="BR47" s="321">
        <v>0</v>
      </c>
      <c r="BS47" s="321">
        <v>0</v>
      </c>
      <c r="BT47" s="321">
        <v>0</v>
      </c>
      <c r="BU47" s="321">
        <v>0</v>
      </c>
      <c r="BV47" s="321">
        <v>0</v>
      </c>
      <c r="BW47" s="321">
        <v>0</v>
      </c>
      <c r="BX47" s="321">
        <v>0</v>
      </c>
      <c r="BY47" s="321">
        <v>0</v>
      </c>
      <c r="BZ47" s="321">
        <v>0</v>
      </c>
      <c r="CA47" s="321">
        <v>0</v>
      </c>
      <c r="CB47" s="321">
        <v>0</v>
      </c>
      <c r="CC47" s="321">
        <v>0</v>
      </c>
      <c r="CD47" s="16"/>
      <c r="CE47" s="28">
        <f>SUM(C47:CC47)</f>
        <v>0</v>
      </c>
    </row>
    <row r="48" spans="1:83" x14ac:dyDescent="0.35">
      <c r="A48" s="28" t="s">
        <v>232</v>
      </c>
      <c r="B48" s="320">
        <v>53384198.240000002</v>
      </c>
      <c r="C48" s="28">
        <f t="shared" ref="C48:AH48" si="0">IF($B$48,(ROUND((($B$48/$CE$61)*C61),0)))</f>
        <v>1222630</v>
      </c>
      <c r="D48" s="28">
        <f t="shared" si="0"/>
        <v>0</v>
      </c>
      <c r="E48" s="28">
        <f t="shared" si="0"/>
        <v>4678863</v>
      </c>
      <c r="F48" s="28">
        <f t="shared" si="0"/>
        <v>987707</v>
      </c>
      <c r="G48" s="28">
        <f t="shared" si="0"/>
        <v>0</v>
      </c>
      <c r="H48" s="28">
        <f t="shared" si="0"/>
        <v>913237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1116802</v>
      </c>
      <c r="P48" s="28">
        <f t="shared" si="0"/>
        <v>2042359</v>
      </c>
      <c r="Q48" s="28">
        <f t="shared" si="0"/>
        <v>714849</v>
      </c>
      <c r="R48" s="28">
        <f t="shared" si="0"/>
        <v>47499</v>
      </c>
      <c r="S48" s="28">
        <f t="shared" si="0"/>
        <v>259015</v>
      </c>
      <c r="T48" s="28">
        <f t="shared" si="0"/>
        <v>256355</v>
      </c>
      <c r="U48" s="28">
        <f t="shared" si="0"/>
        <v>1113162</v>
      </c>
      <c r="V48" s="28">
        <f t="shared" si="0"/>
        <v>22803</v>
      </c>
      <c r="W48" s="28">
        <f t="shared" si="0"/>
        <v>263895</v>
      </c>
      <c r="X48" s="28">
        <f t="shared" si="0"/>
        <v>343565</v>
      </c>
      <c r="Y48" s="28">
        <f t="shared" si="0"/>
        <v>1450753</v>
      </c>
      <c r="Z48" s="28">
        <f t="shared" si="0"/>
        <v>293833</v>
      </c>
      <c r="AA48" s="28">
        <f t="shared" si="0"/>
        <v>116250</v>
      </c>
      <c r="AB48" s="28">
        <f t="shared" si="0"/>
        <v>1300699</v>
      </c>
      <c r="AC48" s="28">
        <f t="shared" si="0"/>
        <v>417211</v>
      </c>
      <c r="AD48" s="28">
        <f t="shared" si="0"/>
        <v>0</v>
      </c>
      <c r="AE48" s="28">
        <f t="shared" si="0"/>
        <v>591585</v>
      </c>
      <c r="AF48" s="28">
        <f t="shared" si="0"/>
        <v>0</v>
      </c>
      <c r="AG48" s="28">
        <f t="shared" si="0"/>
        <v>2148939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1597391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15024227</v>
      </c>
      <c r="AQ48" s="28">
        <f t="shared" si="1"/>
        <v>0</v>
      </c>
      <c r="AR48" s="28">
        <f t="shared" si="1"/>
        <v>1748844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4836991</v>
      </c>
      <c r="AW48" s="28">
        <f t="shared" si="1"/>
        <v>0</v>
      </c>
      <c r="AX48" s="28">
        <f t="shared" si="1"/>
        <v>0</v>
      </c>
      <c r="AY48" s="28">
        <f t="shared" si="1"/>
        <v>393707</v>
      </c>
      <c r="AZ48" s="28">
        <f t="shared" si="1"/>
        <v>230004</v>
      </c>
      <c r="BA48" s="28">
        <f t="shared" si="1"/>
        <v>23498</v>
      </c>
      <c r="BB48" s="28">
        <f t="shared" si="1"/>
        <v>0</v>
      </c>
      <c r="BC48" s="28">
        <f t="shared" si="1"/>
        <v>0</v>
      </c>
      <c r="BD48" s="28">
        <f t="shared" si="1"/>
        <v>244215</v>
      </c>
      <c r="BE48" s="28">
        <f t="shared" si="1"/>
        <v>303889</v>
      </c>
      <c r="BF48" s="28">
        <f t="shared" si="1"/>
        <v>565445</v>
      </c>
      <c r="BG48" s="28">
        <f t="shared" si="1"/>
        <v>29867</v>
      </c>
      <c r="BH48" s="28">
        <f t="shared" si="1"/>
        <v>436711</v>
      </c>
      <c r="BI48" s="28">
        <f t="shared" si="1"/>
        <v>2655</v>
      </c>
      <c r="BJ48" s="28">
        <f t="shared" si="1"/>
        <v>162773</v>
      </c>
      <c r="BK48" s="28">
        <f t="shared" si="1"/>
        <v>738527</v>
      </c>
      <c r="BL48" s="28">
        <f t="shared" si="1"/>
        <v>600240</v>
      </c>
      <c r="BM48" s="28">
        <f t="shared" si="1"/>
        <v>215600</v>
      </c>
      <c r="BN48" s="28">
        <f t="shared" si="1"/>
        <v>809103</v>
      </c>
      <c r="BO48" s="28">
        <f t="shared" ref="BO48:CD48" si="2">IF($B$48,(ROUND((($B$48/$CE$61)*BO61),0)))</f>
        <v>76806</v>
      </c>
      <c r="BP48" s="28">
        <f t="shared" si="2"/>
        <v>39621</v>
      </c>
      <c r="BQ48" s="28">
        <f t="shared" si="2"/>
        <v>0</v>
      </c>
      <c r="BR48" s="28">
        <f t="shared" si="2"/>
        <v>531191</v>
      </c>
      <c r="BS48" s="28">
        <f t="shared" si="2"/>
        <v>16753</v>
      </c>
      <c r="BT48" s="28">
        <f t="shared" si="2"/>
        <v>34924</v>
      </c>
      <c r="BU48" s="28">
        <f t="shared" si="2"/>
        <v>0</v>
      </c>
      <c r="BV48" s="28">
        <f t="shared" si="2"/>
        <v>736709</v>
      </c>
      <c r="BW48" s="28">
        <f t="shared" si="2"/>
        <v>56763</v>
      </c>
      <c r="BX48" s="28">
        <f t="shared" si="2"/>
        <v>1266768</v>
      </c>
      <c r="BY48" s="28">
        <f t="shared" si="2"/>
        <v>248829</v>
      </c>
      <c r="BZ48" s="28">
        <f t="shared" si="2"/>
        <v>240334</v>
      </c>
      <c r="CA48" s="28">
        <f t="shared" si="2"/>
        <v>56190</v>
      </c>
      <c r="CB48" s="28">
        <f t="shared" si="2"/>
        <v>0</v>
      </c>
      <c r="CC48" s="28">
        <f t="shared" si="2"/>
        <v>1813613</v>
      </c>
      <c r="CD48" s="28">
        <f t="shared" si="2"/>
        <v>0</v>
      </c>
      <c r="CE48" s="28">
        <f>SUM(C48:CD48)</f>
        <v>53384199</v>
      </c>
    </row>
    <row r="49" spans="1:83" x14ac:dyDescent="0.35">
      <c r="A49" s="16" t="s">
        <v>233</v>
      </c>
      <c r="B49" s="28">
        <f>B47+B48</f>
        <v>53384198.240000002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21">
        <v>0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  <c r="S51" s="321">
        <v>0</v>
      </c>
      <c r="T51" s="321">
        <v>0</v>
      </c>
      <c r="U51" s="321">
        <v>0</v>
      </c>
      <c r="V51" s="321">
        <v>0</v>
      </c>
      <c r="W51" s="321">
        <v>0</v>
      </c>
      <c r="X51" s="321">
        <v>0</v>
      </c>
      <c r="Y51" s="321">
        <v>0</v>
      </c>
      <c r="Z51" s="321">
        <v>0</v>
      </c>
      <c r="AA51" s="321">
        <v>0</v>
      </c>
      <c r="AB51" s="321">
        <v>0</v>
      </c>
      <c r="AC51" s="321">
        <v>0</v>
      </c>
      <c r="AD51" s="321">
        <v>0</v>
      </c>
      <c r="AE51" s="321">
        <v>0</v>
      </c>
      <c r="AF51" s="321">
        <v>0</v>
      </c>
      <c r="AG51" s="321">
        <v>0</v>
      </c>
      <c r="AH51" s="321">
        <v>0</v>
      </c>
      <c r="AI51" s="321">
        <v>0</v>
      </c>
      <c r="AJ51" s="321">
        <v>0</v>
      </c>
      <c r="AK51" s="321">
        <v>0</v>
      </c>
      <c r="AL51" s="321">
        <v>0</v>
      </c>
      <c r="AM51" s="321">
        <v>0</v>
      </c>
      <c r="AN51" s="321">
        <v>0</v>
      </c>
      <c r="AO51" s="321">
        <v>0</v>
      </c>
      <c r="AP51" s="321">
        <v>0</v>
      </c>
      <c r="AQ51" s="321">
        <v>0</v>
      </c>
      <c r="AR51" s="321">
        <v>0</v>
      </c>
      <c r="AS51" s="321">
        <v>0</v>
      </c>
      <c r="AT51" s="321">
        <v>0</v>
      </c>
      <c r="AU51" s="321">
        <v>0</v>
      </c>
      <c r="AV51" s="321">
        <v>0</v>
      </c>
      <c r="AW51" s="321">
        <v>0</v>
      </c>
      <c r="AX51" s="321">
        <v>0</v>
      </c>
      <c r="AY51" s="321">
        <v>0</v>
      </c>
      <c r="AZ51" s="321">
        <v>0</v>
      </c>
      <c r="BA51" s="321">
        <v>0</v>
      </c>
      <c r="BB51" s="321">
        <v>0</v>
      </c>
      <c r="BC51" s="321">
        <v>0</v>
      </c>
      <c r="BD51" s="321">
        <v>0</v>
      </c>
      <c r="BE51" s="321">
        <v>0</v>
      </c>
      <c r="BF51" s="321">
        <v>0</v>
      </c>
      <c r="BG51" s="321">
        <v>0</v>
      </c>
      <c r="BH51" s="321">
        <v>0</v>
      </c>
      <c r="BI51" s="321">
        <v>0</v>
      </c>
      <c r="BJ51" s="321">
        <v>0</v>
      </c>
      <c r="BK51" s="321">
        <v>0</v>
      </c>
      <c r="BL51" s="321">
        <v>0</v>
      </c>
      <c r="BM51" s="321">
        <v>0</v>
      </c>
      <c r="BN51" s="321">
        <v>0</v>
      </c>
      <c r="BO51" s="321">
        <v>0</v>
      </c>
      <c r="BP51" s="321">
        <v>0</v>
      </c>
      <c r="BQ51" s="321">
        <v>0</v>
      </c>
      <c r="BR51" s="321">
        <v>0</v>
      </c>
      <c r="BS51" s="321">
        <v>0</v>
      </c>
      <c r="BT51" s="321">
        <v>0</v>
      </c>
      <c r="BU51" s="321">
        <v>0</v>
      </c>
      <c r="BV51" s="321">
        <v>0</v>
      </c>
      <c r="BW51" s="321">
        <v>0</v>
      </c>
      <c r="BX51" s="321">
        <v>0</v>
      </c>
      <c r="BY51" s="321">
        <v>0</v>
      </c>
      <c r="BZ51" s="321">
        <v>0</v>
      </c>
      <c r="CA51" s="321">
        <v>0</v>
      </c>
      <c r="CB51" s="321">
        <v>0</v>
      </c>
      <c r="CC51" s="321">
        <v>0</v>
      </c>
      <c r="CD51" s="16"/>
      <c r="CE51" s="28">
        <f>SUM(C51:CD51)</f>
        <v>0</v>
      </c>
    </row>
    <row r="52" spans="1:83" x14ac:dyDescent="0.35">
      <c r="A52" s="35" t="s">
        <v>235</v>
      </c>
      <c r="B52" s="322">
        <v>21976671.309999999</v>
      </c>
      <c r="C52" s="28">
        <f t="shared" ref="C52:AH52" si="3">IF($B$52,ROUND(($B$52/($CE$90+$CF$90)*C90),0))</f>
        <v>235284</v>
      </c>
      <c r="D52" s="28">
        <f t="shared" si="3"/>
        <v>0</v>
      </c>
      <c r="E52" s="28">
        <f t="shared" si="3"/>
        <v>1318542</v>
      </c>
      <c r="F52" s="28">
        <f t="shared" si="3"/>
        <v>388508</v>
      </c>
      <c r="G52" s="28">
        <f t="shared" si="3"/>
        <v>0</v>
      </c>
      <c r="H52" s="28">
        <f t="shared" si="3"/>
        <v>276284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219560</v>
      </c>
      <c r="P52" s="28">
        <f t="shared" si="3"/>
        <v>883896</v>
      </c>
      <c r="Q52" s="28">
        <f t="shared" si="3"/>
        <v>64824</v>
      </c>
      <c r="R52" s="28">
        <f t="shared" si="3"/>
        <v>12969</v>
      </c>
      <c r="S52" s="28">
        <f t="shared" si="3"/>
        <v>711488</v>
      </c>
      <c r="T52" s="28">
        <f t="shared" si="3"/>
        <v>6049</v>
      </c>
      <c r="U52" s="28">
        <f t="shared" si="3"/>
        <v>244897</v>
      </c>
      <c r="V52" s="28">
        <f t="shared" si="3"/>
        <v>4682</v>
      </c>
      <c r="W52" s="28">
        <f t="shared" si="3"/>
        <v>47152</v>
      </c>
      <c r="X52" s="28">
        <f t="shared" si="3"/>
        <v>49535</v>
      </c>
      <c r="Y52" s="28">
        <f t="shared" si="3"/>
        <v>837925</v>
      </c>
      <c r="Z52" s="28">
        <f t="shared" si="3"/>
        <v>263004</v>
      </c>
      <c r="AA52" s="28">
        <f t="shared" si="3"/>
        <v>47401</v>
      </c>
      <c r="AB52" s="28">
        <f t="shared" si="3"/>
        <v>213449</v>
      </c>
      <c r="AC52" s="28">
        <f t="shared" si="3"/>
        <v>63726</v>
      </c>
      <c r="AD52" s="28">
        <f t="shared" si="3"/>
        <v>5531</v>
      </c>
      <c r="AE52" s="28">
        <f t="shared" si="3"/>
        <v>228531</v>
      </c>
      <c r="AF52" s="28">
        <f t="shared" si="3"/>
        <v>0</v>
      </c>
      <c r="AG52" s="28">
        <f t="shared" si="3"/>
        <v>427684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351818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3583028</v>
      </c>
      <c r="AQ52" s="28">
        <f t="shared" si="4"/>
        <v>0</v>
      </c>
      <c r="AR52" s="28">
        <f t="shared" si="4"/>
        <v>541235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225568</v>
      </c>
      <c r="AW52" s="28">
        <f t="shared" si="4"/>
        <v>0</v>
      </c>
      <c r="AX52" s="28">
        <f t="shared" si="4"/>
        <v>0</v>
      </c>
      <c r="AY52" s="28">
        <f t="shared" si="4"/>
        <v>137375</v>
      </c>
      <c r="AZ52" s="28">
        <f t="shared" si="4"/>
        <v>113343</v>
      </c>
      <c r="BA52" s="28">
        <f t="shared" si="4"/>
        <v>54403</v>
      </c>
      <c r="BB52" s="28">
        <f t="shared" si="4"/>
        <v>0</v>
      </c>
      <c r="BC52" s="28">
        <f t="shared" si="4"/>
        <v>0</v>
      </c>
      <c r="BD52" s="28">
        <f t="shared" si="4"/>
        <v>138018</v>
      </c>
      <c r="BE52" s="28">
        <f t="shared" si="4"/>
        <v>8840228</v>
      </c>
      <c r="BF52" s="28">
        <f t="shared" si="4"/>
        <v>29398</v>
      </c>
      <c r="BG52" s="28">
        <f t="shared" si="4"/>
        <v>4061</v>
      </c>
      <c r="BH52" s="28">
        <f t="shared" si="4"/>
        <v>131181</v>
      </c>
      <c r="BI52" s="28">
        <f t="shared" si="4"/>
        <v>19702</v>
      </c>
      <c r="BJ52" s="28">
        <f t="shared" si="4"/>
        <v>68553</v>
      </c>
      <c r="BK52" s="28">
        <f t="shared" si="4"/>
        <v>175453</v>
      </c>
      <c r="BL52" s="28">
        <f t="shared" si="4"/>
        <v>81646</v>
      </c>
      <c r="BM52" s="28">
        <f t="shared" si="4"/>
        <v>46593</v>
      </c>
      <c r="BN52" s="28">
        <f t="shared" si="4"/>
        <v>36524</v>
      </c>
      <c r="BO52" s="28">
        <f t="shared" ref="BO52:CD52" si="5">IF($B$52,ROUND(($B$52/($CE$90+$CF$90)*BO90),0))</f>
        <v>52083</v>
      </c>
      <c r="BP52" s="28">
        <f t="shared" si="5"/>
        <v>76695</v>
      </c>
      <c r="BQ52" s="28">
        <f t="shared" si="5"/>
        <v>0</v>
      </c>
      <c r="BR52" s="28">
        <f t="shared" si="5"/>
        <v>73546</v>
      </c>
      <c r="BS52" s="28">
        <f t="shared" si="5"/>
        <v>10483</v>
      </c>
      <c r="BT52" s="28">
        <f t="shared" si="5"/>
        <v>6194</v>
      </c>
      <c r="BU52" s="28">
        <f t="shared" si="5"/>
        <v>0</v>
      </c>
      <c r="BV52" s="28">
        <f t="shared" si="5"/>
        <v>76695</v>
      </c>
      <c r="BW52" s="28">
        <f t="shared" si="5"/>
        <v>35986</v>
      </c>
      <c r="BX52" s="28">
        <f t="shared" si="5"/>
        <v>88131</v>
      </c>
      <c r="BY52" s="28">
        <f t="shared" si="5"/>
        <v>6215</v>
      </c>
      <c r="BZ52" s="28">
        <f t="shared" si="5"/>
        <v>8763</v>
      </c>
      <c r="CA52" s="28">
        <f t="shared" si="5"/>
        <v>32795</v>
      </c>
      <c r="CB52" s="28">
        <f t="shared" si="5"/>
        <v>0</v>
      </c>
      <c r="CC52" s="28">
        <f t="shared" si="5"/>
        <v>380035</v>
      </c>
      <c r="CD52" s="28">
        <f t="shared" si="5"/>
        <v>0</v>
      </c>
      <c r="CE52" s="28">
        <f>SUM(C52:CD52)</f>
        <v>21976669</v>
      </c>
    </row>
    <row r="53" spans="1:83" x14ac:dyDescent="0.35">
      <c r="A53" s="16" t="s">
        <v>233</v>
      </c>
      <c r="B53" s="28">
        <f>B51+B52</f>
        <v>21976671.309999999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21">
        <v>0</v>
      </c>
      <c r="D59" s="321">
        <v>0</v>
      </c>
      <c r="E59" s="321">
        <v>0</v>
      </c>
      <c r="F59" s="321">
        <v>0</v>
      </c>
      <c r="G59" s="321">
        <v>0</v>
      </c>
      <c r="H59" s="321">
        <v>0</v>
      </c>
      <c r="I59" s="321">
        <v>0</v>
      </c>
      <c r="J59" s="321">
        <v>0</v>
      </c>
      <c r="K59" s="321">
        <v>0</v>
      </c>
      <c r="L59" s="321">
        <v>0</v>
      </c>
      <c r="M59" s="321">
        <v>0</v>
      </c>
      <c r="N59" s="321">
        <v>0</v>
      </c>
      <c r="O59" s="321">
        <v>0</v>
      </c>
      <c r="P59" s="323">
        <v>0</v>
      </c>
      <c r="Q59" s="323">
        <v>0</v>
      </c>
      <c r="R59" s="323">
        <v>0</v>
      </c>
      <c r="S59" s="279">
        <v>0</v>
      </c>
      <c r="T59" s="279">
        <v>0</v>
      </c>
      <c r="U59" s="324">
        <v>0</v>
      </c>
      <c r="V59" s="323">
        <v>0</v>
      </c>
      <c r="W59" s="323">
        <v>0</v>
      </c>
      <c r="X59" s="323">
        <v>0</v>
      </c>
      <c r="Y59" s="323">
        <v>0</v>
      </c>
      <c r="Z59" s="323">
        <v>0</v>
      </c>
      <c r="AA59" s="323">
        <v>0</v>
      </c>
      <c r="AB59" s="279">
        <v>0</v>
      </c>
      <c r="AC59" s="323">
        <v>0</v>
      </c>
      <c r="AD59" s="323">
        <v>0</v>
      </c>
      <c r="AE59" s="323">
        <v>0</v>
      </c>
      <c r="AF59" s="323">
        <v>0</v>
      </c>
      <c r="AG59" s="323">
        <v>0</v>
      </c>
      <c r="AH59" s="323">
        <v>0</v>
      </c>
      <c r="AI59" s="323">
        <v>0</v>
      </c>
      <c r="AJ59" s="323">
        <v>0</v>
      </c>
      <c r="AK59" s="323">
        <v>0</v>
      </c>
      <c r="AL59" s="323">
        <v>0</v>
      </c>
      <c r="AM59" s="323">
        <v>0</v>
      </c>
      <c r="AN59" s="323">
        <v>0</v>
      </c>
      <c r="AO59" s="323">
        <v>0</v>
      </c>
      <c r="AP59" s="323">
        <v>0</v>
      </c>
      <c r="AQ59" s="323">
        <v>0</v>
      </c>
      <c r="AR59" s="323">
        <v>0</v>
      </c>
      <c r="AS59" s="323">
        <v>0</v>
      </c>
      <c r="AT59" s="323">
        <v>0</v>
      </c>
      <c r="AU59" s="323">
        <v>0</v>
      </c>
      <c r="AV59" s="279">
        <v>0</v>
      </c>
      <c r="AW59" s="279">
        <v>0</v>
      </c>
      <c r="AX59" s="279">
        <v>0</v>
      </c>
      <c r="AY59" s="323">
        <v>184130</v>
      </c>
      <c r="AZ59" s="323">
        <v>214032</v>
      </c>
      <c r="BA59" s="279">
        <v>0</v>
      </c>
      <c r="BB59" s="279">
        <v>0</v>
      </c>
      <c r="BC59" s="279">
        <v>0</v>
      </c>
      <c r="BD59" s="279">
        <v>0</v>
      </c>
      <c r="BE59" s="323">
        <v>1060797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35">
      <c r="A60" s="218" t="s">
        <v>262</v>
      </c>
      <c r="B60" s="219"/>
      <c r="C60" s="325">
        <v>47.48</v>
      </c>
      <c r="D60" s="325">
        <v>0</v>
      </c>
      <c r="E60" s="325">
        <v>242.95</v>
      </c>
      <c r="F60" s="325">
        <v>42.38</v>
      </c>
      <c r="G60" s="325">
        <v>0</v>
      </c>
      <c r="H60" s="325">
        <v>36.799999999999997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325">
        <v>0</v>
      </c>
      <c r="O60" s="325">
        <v>48.87</v>
      </c>
      <c r="P60" s="326">
        <v>105.59</v>
      </c>
      <c r="Q60" s="326">
        <v>30.89</v>
      </c>
      <c r="R60" s="326">
        <v>2.42</v>
      </c>
      <c r="S60" s="327">
        <v>21.76</v>
      </c>
      <c r="T60" s="327">
        <v>9.4</v>
      </c>
      <c r="U60" s="328">
        <v>73.599999999999994</v>
      </c>
      <c r="V60" s="326">
        <v>2.2200000000000002</v>
      </c>
      <c r="W60" s="326">
        <v>11.01</v>
      </c>
      <c r="X60" s="326">
        <v>15.89</v>
      </c>
      <c r="Y60" s="326">
        <v>73.739999999999995</v>
      </c>
      <c r="Z60" s="326">
        <v>11.84</v>
      </c>
      <c r="AA60" s="326">
        <v>5.24</v>
      </c>
      <c r="AB60" s="327">
        <v>62.23</v>
      </c>
      <c r="AC60" s="326">
        <v>18</v>
      </c>
      <c r="AD60" s="326">
        <v>0</v>
      </c>
      <c r="AE60" s="326">
        <v>25.96</v>
      </c>
      <c r="AF60" s="326">
        <v>0</v>
      </c>
      <c r="AG60" s="326">
        <v>104.36</v>
      </c>
      <c r="AH60" s="326">
        <v>0</v>
      </c>
      <c r="AI60" s="326">
        <v>0</v>
      </c>
      <c r="AJ60" s="326">
        <v>66.16</v>
      </c>
      <c r="AK60" s="326">
        <v>0</v>
      </c>
      <c r="AL60" s="326">
        <v>0</v>
      </c>
      <c r="AM60" s="326">
        <v>0</v>
      </c>
      <c r="AN60" s="326">
        <v>0</v>
      </c>
      <c r="AO60" s="326">
        <v>0</v>
      </c>
      <c r="AP60" s="326">
        <v>390.48</v>
      </c>
      <c r="AQ60" s="326">
        <v>0</v>
      </c>
      <c r="AR60" s="326">
        <v>78.63</v>
      </c>
      <c r="AS60" s="326">
        <v>0</v>
      </c>
      <c r="AT60" s="326">
        <v>0</v>
      </c>
      <c r="AU60" s="326">
        <v>0</v>
      </c>
      <c r="AV60" s="327">
        <v>130.38999999999999</v>
      </c>
      <c r="AW60" s="327">
        <v>0</v>
      </c>
      <c r="AX60" s="327">
        <v>0</v>
      </c>
      <c r="AY60" s="326">
        <v>34.57</v>
      </c>
      <c r="AZ60" s="326">
        <v>23.8</v>
      </c>
      <c r="BA60" s="327">
        <v>2.68</v>
      </c>
      <c r="BB60" s="327">
        <v>0</v>
      </c>
      <c r="BC60" s="327">
        <v>0</v>
      </c>
      <c r="BD60" s="327">
        <v>19.36</v>
      </c>
      <c r="BE60" s="326">
        <v>20.11</v>
      </c>
      <c r="BF60" s="327">
        <v>65.89</v>
      </c>
      <c r="BG60" s="327">
        <v>3.29</v>
      </c>
      <c r="BH60" s="327">
        <v>23.03</v>
      </c>
      <c r="BI60" s="327">
        <v>0.36</v>
      </c>
      <c r="BJ60" s="327">
        <v>9.68</v>
      </c>
      <c r="BK60" s="327">
        <v>63.8</v>
      </c>
      <c r="BL60" s="327">
        <v>53.56</v>
      </c>
      <c r="BM60" s="327">
        <v>8.89</v>
      </c>
      <c r="BN60" s="327">
        <v>8.74</v>
      </c>
      <c r="BO60" s="327">
        <v>3.69</v>
      </c>
      <c r="BP60" s="327">
        <v>1.78</v>
      </c>
      <c r="BQ60" s="327">
        <v>0</v>
      </c>
      <c r="BR60" s="327">
        <v>23.2</v>
      </c>
      <c r="BS60" s="327">
        <v>1</v>
      </c>
      <c r="BT60" s="327">
        <v>2.1800000000000002</v>
      </c>
      <c r="BU60" s="327">
        <v>0</v>
      </c>
      <c r="BV60" s="327">
        <v>59.54</v>
      </c>
      <c r="BW60" s="327">
        <v>3.46</v>
      </c>
      <c r="BX60" s="327">
        <v>53.61</v>
      </c>
      <c r="BY60" s="327">
        <v>11.77</v>
      </c>
      <c r="BZ60" s="327">
        <v>15.95</v>
      </c>
      <c r="CA60" s="327">
        <v>1.96</v>
      </c>
      <c r="CB60" s="327">
        <v>0</v>
      </c>
      <c r="CC60" s="327">
        <v>97.89</v>
      </c>
      <c r="CD60" s="220" t="s">
        <v>248</v>
      </c>
      <c r="CE60" s="238">
        <f t="shared" ref="CE60:CE68" si="6">SUM(C60:CD60)</f>
        <v>2272.08</v>
      </c>
    </row>
    <row r="61" spans="1:83" x14ac:dyDescent="0.35">
      <c r="A61" s="35" t="s">
        <v>263</v>
      </c>
      <c r="B61" s="16"/>
      <c r="C61" s="321">
        <v>5383478</v>
      </c>
      <c r="D61" s="321">
        <v>0</v>
      </c>
      <c r="E61" s="321">
        <v>20601954</v>
      </c>
      <c r="F61" s="321">
        <v>4349067</v>
      </c>
      <c r="G61" s="321">
        <v>0</v>
      </c>
      <c r="H61" s="321">
        <v>4021161</v>
      </c>
      <c r="I61" s="321">
        <v>0</v>
      </c>
      <c r="J61" s="321">
        <v>0</v>
      </c>
      <c r="K61" s="321">
        <v>0</v>
      </c>
      <c r="L61" s="321">
        <v>0</v>
      </c>
      <c r="M61" s="321">
        <v>0</v>
      </c>
      <c r="N61" s="321">
        <v>0</v>
      </c>
      <c r="O61" s="321">
        <v>4917497</v>
      </c>
      <c r="P61" s="323">
        <v>8992906</v>
      </c>
      <c r="Q61" s="323">
        <v>3147619</v>
      </c>
      <c r="R61" s="323">
        <v>209146</v>
      </c>
      <c r="S61" s="329">
        <v>1140495</v>
      </c>
      <c r="T61" s="329">
        <v>1128783</v>
      </c>
      <c r="U61" s="324">
        <v>4901472</v>
      </c>
      <c r="V61" s="323">
        <v>100407</v>
      </c>
      <c r="W61" s="323">
        <v>1161983</v>
      </c>
      <c r="X61" s="323">
        <v>1512784</v>
      </c>
      <c r="Y61" s="323">
        <v>6387948</v>
      </c>
      <c r="Z61" s="323">
        <v>1293806</v>
      </c>
      <c r="AA61" s="323">
        <v>511870</v>
      </c>
      <c r="AB61" s="330">
        <v>5727231</v>
      </c>
      <c r="AC61" s="323">
        <v>1837060</v>
      </c>
      <c r="AD61" s="323">
        <v>0</v>
      </c>
      <c r="AE61" s="323">
        <v>2604864</v>
      </c>
      <c r="AF61" s="323">
        <v>0</v>
      </c>
      <c r="AG61" s="323">
        <v>9462201</v>
      </c>
      <c r="AH61" s="323">
        <v>0</v>
      </c>
      <c r="AI61" s="323">
        <v>0</v>
      </c>
      <c r="AJ61" s="323">
        <v>7033624</v>
      </c>
      <c r="AK61" s="323">
        <v>0</v>
      </c>
      <c r="AL61" s="323">
        <v>0</v>
      </c>
      <c r="AM61" s="323">
        <v>0</v>
      </c>
      <c r="AN61" s="323">
        <v>0</v>
      </c>
      <c r="AO61" s="323">
        <v>0</v>
      </c>
      <c r="AP61" s="323">
        <v>66154619</v>
      </c>
      <c r="AQ61" s="323">
        <v>0</v>
      </c>
      <c r="AR61" s="323">
        <v>7700505</v>
      </c>
      <c r="AS61" s="323">
        <v>0</v>
      </c>
      <c r="AT61" s="323">
        <v>0</v>
      </c>
      <c r="AU61" s="323">
        <v>0</v>
      </c>
      <c r="AV61" s="329">
        <v>21298221</v>
      </c>
      <c r="AW61" s="329">
        <v>0</v>
      </c>
      <c r="AX61" s="329">
        <v>0</v>
      </c>
      <c r="AY61" s="323">
        <v>1733571</v>
      </c>
      <c r="AZ61" s="323">
        <v>1012754</v>
      </c>
      <c r="BA61" s="329">
        <v>103467</v>
      </c>
      <c r="BB61" s="329">
        <v>0</v>
      </c>
      <c r="BC61" s="329">
        <v>0</v>
      </c>
      <c r="BD61" s="329">
        <v>1075325</v>
      </c>
      <c r="BE61" s="323">
        <v>1338083</v>
      </c>
      <c r="BF61" s="329">
        <v>2489766</v>
      </c>
      <c r="BG61" s="329">
        <v>131510</v>
      </c>
      <c r="BH61" s="329">
        <v>1922926</v>
      </c>
      <c r="BI61" s="329">
        <v>11690</v>
      </c>
      <c r="BJ61" s="329">
        <v>716720</v>
      </c>
      <c r="BK61" s="329">
        <v>3251878</v>
      </c>
      <c r="BL61" s="329">
        <v>2642976</v>
      </c>
      <c r="BM61" s="329">
        <v>949329</v>
      </c>
      <c r="BN61" s="329">
        <v>3562639</v>
      </c>
      <c r="BO61" s="329">
        <v>338191</v>
      </c>
      <c r="BP61" s="329">
        <v>174459</v>
      </c>
      <c r="BQ61" s="329">
        <v>0</v>
      </c>
      <c r="BR61" s="329">
        <v>2338940</v>
      </c>
      <c r="BS61" s="329">
        <v>73768</v>
      </c>
      <c r="BT61" s="329">
        <v>153778</v>
      </c>
      <c r="BU61" s="329">
        <v>0</v>
      </c>
      <c r="BV61" s="329">
        <v>3243873</v>
      </c>
      <c r="BW61" s="329">
        <v>249937</v>
      </c>
      <c r="BX61" s="329">
        <v>5577829</v>
      </c>
      <c r="BY61" s="329">
        <v>1095644</v>
      </c>
      <c r="BZ61" s="329">
        <v>1058237</v>
      </c>
      <c r="CA61" s="329">
        <v>247416</v>
      </c>
      <c r="CB61" s="329">
        <v>0</v>
      </c>
      <c r="CC61" s="329">
        <v>7985695</v>
      </c>
      <c r="CD61" s="25" t="s">
        <v>248</v>
      </c>
      <c r="CE61" s="28">
        <f t="shared" si="6"/>
        <v>235061102</v>
      </c>
    </row>
    <row r="62" spans="1:83" x14ac:dyDescent="0.35">
      <c r="A62" s="35" t="s">
        <v>11</v>
      </c>
      <c r="B62" s="16"/>
      <c r="C62" s="28">
        <f t="shared" ref="C62:AH62" si="7">ROUND(C47+C48,0)</f>
        <v>1222630</v>
      </c>
      <c r="D62" s="28">
        <f t="shared" si="7"/>
        <v>0</v>
      </c>
      <c r="E62" s="28">
        <f t="shared" si="7"/>
        <v>4678863</v>
      </c>
      <c r="F62" s="28">
        <f t="shared" si="7"/>
        <v>987707</v>
      </c>
      <c r="G62" s="28">
        <f t="shared" si="7"/>
        <v>0</v>
      </c>
      <c r="H62" s="28">
        <f t="shared" si="7"/>
        <v>913237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1116802</v>
      </c>
      <c r="P62" s="28">
        <f t="shared" si="7"/>
        <v>2042359</v>
      </c>
      <c r="Q62" s="28">
        <f t="shared" si="7"/>
        <v>714849</v>
      </c>
      <c r="R62" s="28">
        <f t="shared" si="7"/>
        <v>47499</v>
      </c>
      <c r="S62" s="28">
        <f t="shared" si="7"/>
        <v>259015</v>
      </c>
      <c r="T62" s="28">
        <f t="shared" si="7"/>
        <v>256355</v>
      </c>
      <c r="U62" s="28">
        <f t="shared" si="7"/>
        <v>1113162</v>
      </c>
      <c r="V62" s="28">
        <f t="shared" si="7"/>
        <v>22803</v>
      </c>
      <c r="W62" s="28">
        <f t="shared" si="7"/>
        <v>263895</v>
      </c>
      <c r="X62" s="28">
        <f t="shared" si="7"/>
        <v>343565</v>
      </c>
      <c r="Y62" s="28">
        <f t="shared" si="7"/>
        <v>1450753</v>
      </c>
      <c r="Z62" s="28">
        <f t="shared" si="7"/>
        <v>293833</v>
      </c>
      <c r="AA62" s="28">
        <f t="shared" si="7"/>
        <v>116250</v>
      </c>
      <c r="AB62" s="28">
        <f t="shared" si="7"/>
        <v>1300699</v>
      </c>
      <c r="AC62" s="28">
        <f t="shared" si="7"/>
        <v>417211</v>
      </c>
      <c r="AD62" s="28">
        <f t="shared" si="7"/>
        <v>0</v>
      </c>
      <c r="AE62" s="28">
        <f t="shared" si="7"/>
        <v>591585</v>
      </c>
      <c r="AF62" s="28">
        <f t="shared" si="7"/>
        <v>0</v>
      </c>
      <c r="AG62" s="28">
        <f t="shared" si="7"/>
        <v>2148939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1597391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15024227</v>
      </c>
      <c r="AQ62" s="28">
        <f t="shared" si="8"/>
        <v>0</v>
      </c>
      <c r="AR62" s="28">
        <f t="shared" si="8"/>
        <v>1748844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4836991</v>
      </c>
      <c r="AW62" s="28">
        <f t="shared" si="8"/>
        <v>0</v>
      </c>
      <c r="AX62" s="28">
        <f t="shared" si="8"/>
        <v>0</v>
      </c>
      <c r="AY62" s="28">
        <f t="shared" si="8"/>
        <v>393707</v>
      </c>
      <c r="AZ62" s="28">
        <f t="shared" si="8"/>
        <v>230004</v>
      </c>
      <c r="BA62" s="28">
        <f t="shared" si="8"/>
        <v>23498</v>
      </c>
      <c r="BB62" s="28">
        <f t="shared" si="8"/>
        <v>0</v>
      </c>
      <c r="BC62" s="28">
        <f t="shared" si="8"/>
        <v>0</v>
      </c>
      <c r="BD62" s="28">
        <f t="shared" si="8"/>
        <v>244215</v>
      </c>
      <c r="BE62" s="28">
        <f t="shared" si="8"/>
        <v>303889</v>
      </c>
      <c r="BF62" s="28">
        <f t="shared" si="8"/>
        <v>565445</v>
      </c>
      <c r="BG62" s="28">
        <f t="shared" si="8"/>
        <v>29867</v>
      </c>
      <c r="BH62" s="28">
        <f t="shared" si="8"/>
        <v>436711</v>
      </c>
      <c r="BI62" s="28">
        <f t="shared" si="8"/>
        <v>2655</v>
      </c>
      <c r="BJ62" s="28">
        <f t="shared" si="8"/>
        <v>162773</v>
      </c>
      <c r="BK62" s="28">
        <f t="shared" si="8"/>
        <v>738527</v>
      </c>
      <c r="BL62" s="28">
        <f t="shared" si="8"/>
        <v>600240</v>
      </c>
      <c r="BM62" s="28">
        <f t="shared" si="8"/>
        <v>215600</v>
      </c>
      <c r="BN62" s="28">
        <f t="shared" si="8"/>
        <v>809103</v>
      </c>
      <c r="BO62" s="28">
        <f t="shared" ref="BO62:CC62" si="9">ROUND(BO47+BO48,0)</f>
        <v>76806</v>
      </c>
      <c r="BP62" s="28">
        <f t="shared" si="9"/>
        <v>39621</v>
      </c>
      <c r="BQ62" s="28">
        <f t="shared" si="9"/>
        <v>0</v>
      </c>
      <c r="BR62" s="28">
        <f t="shared" si="9"/>
        <v>531191</v>
      </c>
      <c r="BS62" s="28">
        <f t="shared" si="9"/>
        <v>16753</v>
      </c>
      <c r="BT62" s="28">
        <f t="shared" si="9"/>
        <v>34924</v>
      </c>
      <c r="BU62" s="28">
        <f t="shared" si="9"/>
        <v>0</v>
      </c>
      <c r="BV62" s="28">
        <f t="shared" si="9"/>
        <v>736709</v>
      </c>
      <c r="BW62" s="28">
        <f t="shared" si="9"/>
        <v>56763</v>
      </c>
      <c r="BX62" s="28">
        <f t="shared" si="9"/>
        <v>1266768</v>
      </c>
      <c r="BY62" s="28">
        <f t="shared" si="9"/>
        <v>248829</v>
      </c>
      <c r="BZ62" s="28">
        <f t="shared" si="9"/>
        <v>240334</v>
      </c>
      <c r="CA62" s="28">
        <f t="shared" si="9"/>
        <v>56190</v>
      </c>
      <c r="CB62" s="28">
        <f t="shared" si="9"/>
        <v>0</v>
      </c>
      <c r="CC62" s="28">
        <f t="shared" si="9"/>
        <v>1813613</v>
      </c>
      <c r="CD62" s="25" t="s">
        <v>248</v>
      </c>
      <c r="CE62" s="28">
        <f t="shared" si="6"/>
        <v>53384199</v>
      </c>
    </row>
    <row r="63" spans="1:83" x14ac:dyDescent="0.35">
      <c r="A63" s="35" t="s">
        <v>264</v>
      </c>
      <c r="B63" s="16"/>
      <c r="C63" s="321">
        <v>606612</v>
      </c>
      <c r="D63" s="321">
        <v>0</v>
      </c>
      <c r="E63" s="321">
        <v>0</v>
      </c>
      <c r="F63" s="321">
        <v>0</v>
      </c>
      <c r="G63" s="321">
        <v>0</v>
      </c>
      <c r="H63" s="321">
        <v>541863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0</v>
      </c>
      <c r="O63" s="321">
        <v>0</v>
      </c>
      <c r="P63" s="323">
        <v>16625</v>
      </c>
      <c r="Q63" s="323">
        <v>2500000</v>
      </c>
      <c r="R63" s="323">
        <v>0</v>
      </c>
      <c r="S63" s="329">
        <v>0</v>
      </c>
      <c r="T63" s="329">
        <v>0</v>
      </c>
      <c r="U63" s="324">
        <v>132957</v>
      </c>
      <c r="V63" s="323">
        <v>0</v>
      </c>
      <c r="W63" s="323">
        <v>0</v>
      </c>
      <c r="X63" s="323">
        <v>0</v>
      </c>
      <c r="Y63" s="323">
        <v>71592</v>
      </c>
      <c r="Z63" s="323">
        <v>0</v>
      </c>
      <c r="AA63" s="323">
        <v>0</v>
      </c>
      <c r="AB63" s="330">
        <v>0</v>
      </c>
      <c r="AC63" s="323">
        <v>0</v>
      </c>
      <c r="AD63" s="323">
        <v>0</v>
      </c>
      <c r="AE63" s="323">
        <v>0</v>
      </c>
      <c r="AF63" s="323">
        <v>0</v>
      </c>
      <c r="AG63" s="323">
        <v>13814828</v>
      </c>
      <c r="AH63" s="323">
        <v>0</v>
      </c>
      <c r="AI63" s="323">
        <v>0</v>
      </c>
      <c r="AJ63" s="323">
        <v>1982452</v>
      </c>
      <c r="AK63" s="323">
        <v>0</v>
      </c>
      <c r="AL63" s="323">
        <v>0</v>
      </c>
      <c r="AM63" s="323">
        <v>0</v>
      </c>
      <c r="AN63" s="323">
        <v>0</v>
      </c>
      <c r="AO63" s="323">
        <v>0</v>
      </c>
      <c r="AP63" s="323">
        <v>12974092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29">
        <v>2192550</v>
      </c>
      <c r="AW63" s="329">
        <v>0</v>
      </c>
      <c r="AX63" s="329">
        <v>0</v>
      </c>
      <c r="AY63" s="323">
        <v>0</v>
      </c>
      <c r="AZ63" s="323">
        <v>0</v>
      </c>
      <c r="BA63" s="329">
        <v>0</v>
      </c>
      <c r="BB63" s="329">
        <v>0</v>
      </c>
      <c r="BC63" s="329">
        <v>0</v>
      </c>
      <c r="BD63" s="329">
        <v>0</v>
      </c>
      <c r="BE63" s="323">
        <v>0</v>
      </c>
      <c r="BF63" s="329">
        <v>0</v>
      </c>
      <c r="BG63" s="329">
        <v>0</v>
      </c>
      <c r="BH63" s="329">
        <v>0</v>
      </c>
      <c r="BI63" s="329">
        <v>0</v>
      </c>
      <c r="BJ63" s="329">
        <v>0</v>
      </c>
      <c r="BK63" s="329">
        <v>0</v>
      </c>
      <c r="BL63" s="329">
        <v>0</v>
      </c>
      <c r="BM63" s="329">
        <v>457910</v>
      </c>
      <c r="BN63" s="329">
        <v>757906</v>
      </c>
      <c r="BO63" s="329">
        <v>0</v>
      </c>
      <c r="BP63" s="329">
        <v>0</v>
      </c>
      <c r="BQ63" s="329">
        <v>0</v>
      </c>
      <c r="BR63" s="329">
        <v>0</v>
      </c>
      <c r="BS63" s="329">
        <v>0</v>
      </c>
      <c r="BT63" s="329">
        <v>0</v>
      </c>
      <c r="BU63" s="329">
        <v>0</v>
      </c>
      <c r="BV63" s="329">
        <v>0</v>
      </c>
      <c r="BW63" s="329">
        <v>42000</v>
      </c>
      <c r="BX63" s="329">
        <v>0</v>
      </c>
      <c r="BY63" s="329">
        <v>0</v>
      </c>
      <c r="BZ63" s="329">
        <v>96251</v>
      </c>
      <c r="CA63" s="329">
        <v>0</v>
      </c>
      <c r="CB63" s="329">
        <v>0</v>
      </c>
      <c r="CC63" s="329">
        <v>40653</v>
      </c>
      <c r="CD63" s="25" t="s">
        <v>248</v>
      </c>
      <c r="CE63" s="28">
        <f t="shared" si="6"/>
        <v>36228291</v>
      </c>
    </row>
    <row r="64" spans="1:83" x14ac:dyDescent="0.35">
      <c r="A64" s="35" t="s">
        <v>265</v>
      </c>
      <c r="B64" s="16"/>
      <c r="C64" s="321">
        <v>528043</v>
      </c>
      <c r="D64" s="321">
        <v>0</v>
      </c>
      <c r="E64" s="321">
        <v>1521076</v>
      </c>
      <c r="F64" s="321">
        <v>162409</v>
      </c>
      <c r="G64" s="321">
        <v>0</v>
      </c>
      <c r="H64" s="321">
        <v>61368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0</v>
      </c>
      <c r="O64" s="321">
        <v>695639</v>
      </c>
      <c r="P64" s="323">
        <v>19436507</v>
      </c>
      <c r="Q64" s="323">
        <v>2072</v>
      </c>
      <c r="R64" s="323">
        <v>-176</v>
      </c>
      <c r="S64" s="329">
        <v>821066</v>
      </c>
      <c r="T64" s="329">
        <v>4540346</v>
      </c>
      <c r="U64" s="324">
        <v>15437</v>
      </c>
      <c r="V64" s="323">
        <v>1738</v>
      </c>
      <c r="W64" s="323">
        <v>40484</v>
      </c>
      <c r="X64" s="323">
        <v>377196</v>
      </c>
      <c r="Y64" s="323">
        <v>9512829</v>
      </c>
      <c r="Z64" s="323">
        <v>61289</v>
      </c>
      <c r="AA64" s="323">
        <v>566457</v>
      </c>
      <c r="AB64" s="330">
        <v>12284941</v>
      </c>
      <c r="AC64" s="323">
        <v>490870</v>
      </c>
      <c r="AD64" s="323">
        <v>0</v>
      </c>
      <c r="AE64" s="323">
        <v>15855</v>
      </c>
      <c r="AF64" s="323">
        <v>0</v>
      </c>
      <c r="AG64" s="323">
        <v>1800184</v>
      </c>
      <c r="AH64" s="323">
        <v>0</v>
      </c>
      <c r="AI64" s="323">
        <v>0</v>
      </c>
      <c r="AJ64" s="323">
        <v>27702734</v>
      </c>
      <c r="AK64" s="323">
        <v>0</v>
      </c>
      <c r="AL64" s="323">
        <v>0</v>
      </c>
      <c r="AM64" s="323">
        <v>0</v>
      </c>
      <c r="AN64" s="323">
        <v>0</v>
      </c>
      <c r="AO64" s="323">
        <v>0</v>
      </c>
      <c r="AP64" s="323">
        <v>3331411</v>
      </c>
      <c r="AQ64" s="323">
        <v>0</v>
      </c>
      <c r="AR64" s="323">
        <v>1334473</v>
      </c>
      <c r="AS64" s="323">
        <v>0</v>
      </c>
      <c r="AT64" s="323">
        <v>0</v>
      </c>
      <c r="AU64" s="323">
        <v>0</v>
      </c>
      <c r="AV64" s="329">
        <v>10466966</v>
      </c>
      <c r="AW64" s="329">
        <v>0</v>
      </c>
      <c r="AX64" s="329">
        <v>0</v>
      </c>
      <c r="AY64" s="323">
        <v>583018</v>
      </c>
      <c r="AZ64" s="323">
        <v>884307</v>
      </c>
      <c r="BA64" s="329">
        <v>342664.19</v>
      </c>
      <c r="BB64" s="329">
        <v>0</v>
      </c>
      <c r="BC64" s="329">
        <v>0</v>
      </c>
      <c r="BD64" s="329">
        <v>-178377</v>
      </c>
      <c r="BE64" s="323">
        <v>145552</v>
      </c>
      <c r="BF64" s="329">
        <v>304208</v>
      </c>
      <c r="BG64" s="329">
        <v>244</v>
      </c>
      <c r="BH64" s="329">
        <v>320</v>
      </c>
      <c r="BI64" s="329">
        <v>5510</v>
      </c>
      <c r="BJ64" s="329">
        <v>1040</v>
      </c>
      <c r="BK64" s="329">
        <v>10362</v>
      </c>
      <c r="BL64" s="329">
        <v>53494</v>
      </c>
      <c r="BM64" s="329">
        <v>112</v>
      </c>
      <c r="BN64" s="329">
        <v>24031</v>
      </c>
      <c r="BO64" s="329">
        <v>102385</v>
      </c>
      <c r="BP64" s="329">
        <v>882</v>
      </c>
      <c r="BQ64" s="329">
        <v>0</v>
      </c>
      <c r="BR64" s="329">
        <v>1687</v>
      </c>
      <c r="BS64" s="329">
        <v>373</v>
      </c>
      <c r="BT64" s="329">
        <v>0</v>
      </c>
      <c r="BU64" s="329">
        <v>0</v>
      </c>
      <c r="BV64" s="329">
        <v>5204</v>
      </c>
      <c r="BW64" s="329">
        <v>616</v>
      </c>
      <c r="BX64" s="329">
        <v>8253</v>
      </c>
      <c r="BY64" s="329">
        <v>1604</v>
      </c>
      <c r="BZ64" s="329">
        <v>639112</v>
      </c>
      <c r="CA64" s="329">
        <v>11226</v>
      </c>
      <c r="CB64" s="329">
        <v>0</v>
      </c>
      <c r="CC64" s="329">
        <v>254020</v>
      </c>
      <c r="CD64" s="25" t="s">
        <v>248</v>
      </c>
      <c r="CE64" s="28">
        <f t="shared" si="6"/>
        <v>98973061.189999998</v>
      </c>
    </row>
    <row r="65" spans="1:83" x14ac:dyDescent="0.35">
      <c r="A65" s="35" t="s">
        <v>266</v>
      </c>
      <c r="B65" s="16"/>
      <c r="C65" s="321">
        <v>0</v>
      </c>
      <c r="D65" s="321">
        <v>0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v>0</v>
      </c>
      <c r="P65" s="323">
        <v>46101</v>
      </c>
      <c r="Q65" s="323">
        <v>0</v>
      </c>
      <c r="R65" s="323">
        <v>0</v>
      </c>
      <c r="S65" s="329">
        <v>0</v>
      </c>
      <c r="T65" s="329">
        <v>0</v>
      </c>
      <c r="U65" s="324">
        <v>7448</v>
      </c>
      <c r="V65" s="323">
        <v>0</v>
      </c>
      <c r="W65" s="323">
        <v>0</v>
      </c>
      <c r="X65" s="323">
        <v>0</v>
      </c>
      <c r="Y65" s="323">
        <v>157983</v>
      </c>
      <c r="Z65" s="323">
        <v>0</v>
      </c>
      <c r="AA65" s="323">
        <v>0</v>
      </c>
      <c r="AB65" s="330">
        <v>4378</v>
      </c>
      <c r="AC65" s="323">
        <v>0</v>
      </c>
      <c r="AD65" s="323">
        <v>0</v>
      </c>
      <c r="AE65" s="323">
        <v>10470</v>
      </c>
      <c r="AF65" s="323">
        <v>0</v>
      </c>
      <c r="AG65" s="323">
        <v>0</v>
      </c>
      <c r="AH65" s="323">
        <v>0</v>
      </c>
      <c r="AI65" s="323">
        <v>0</v>
      </c>
      <c r="AJ65" s="323">
        <v>163914</v>
      </c>
      <c r="AK65" s="323">
        <v>0</v>
      </c>
      <c r="AL65" s="323">
        <v>0</v>
      </c>
      <c r="AM65" s="323">
        <v>0</v>
      </c>
      <c r="AN65" s="323">
        <v>0</v>
      </c>
      <c r="AO65" s="323">
        <v>0</v>
      </c>
      <c r="AP65" s="323">
        <v>351793</v>
      </c>
      <c r="AQ65" s="323">
        <v>0</v>
      </c>
      <c r="AR65" s="323">
        <v>84387</v>
      </c>
      <c r="AS65" s="323">
        <v>0</v>
      </c>
      <c r="AT65" s="323">
        <v>0</v>
      </c>
      <c r="AU65" s="323">
        <v>0</v>
      </c>
      <c r="AV65" s="329">
        <v>22626</v>
      </c>
      <c r="AW65" s="329">
        <v>0</v>
      </c>
      <c r="AX65" s="329">
        <v>0</v>
      </c>
      <c r="AY65" s="323">
        <v>0</v>
      </c>
      <c r="AZ65" s="323">
        <v>0</v>
      </c>
      <c r="BA65" s="329">
        <v>0</v>
      </c>
      <c r="BB65" s="329">
        <v>0</v>
      </c>
      <c r="BC65" s="329">
        <v>0</v>
      </c>
      <c r="BD65" s="329">
        <v>0</v>
      </c>
      <c r="BE65" s="323">
        <v>2295722</v>
      </c>
      <c r="BF65" s="329">
        <v>118346</v>
      </c>
      <c r="BG65" s="329">
        <v>0</v>
      </c>
      <c r="BH65" s="329">
        <v>0</v>
      </c>
      <c r="BI65" s="329">
        <v>1373</v>
      </c>
      <c r="BJ65" s="329">
        <v>0</v>
      </c>
      <c r="BK65" s="329">
        <v>0</v>
      </c>
      <c r="BL65" s="329">
        <v>3</v>
      </c>
      <c r="BM65" s="329">
        <v>0</v>
      </c>
      <c r="BN65" s="329">
        <v>617</v>
      </c>
      <c r="BO65" s="329">
        <v>4722</v>
      </c>
      <c r="BP65" s="329">
        <v>5843</v>
      </c>
      <c r="BQ65" s="329">
        <v>0</v>
      </c>
      <c r="BR65" s="329">
        <v>121</v>
      </c>
      <c r="BS65" s="329">
        <v>0</v>
      </c>
      <c r="BT65" s="329">
        <v>0</v>
      </c>
      <c r="BU65" s="329">
        <v>0</v>
      </c>
      <c r="BV65" s="329">
        <v>0</v>
      </c>
      <c r="BW65" s="329">
        <v>0</v>
      </c>
      <c r="BX65" s="329">
        <v>2562</v>
      </c>
      <c r="BY65" s="329">
        <v>0</v>
      </c>
      <c r="BZ65" s="329">
        <v>0</v>
      </c>
      <c r="CA65" s="329">
        <v>60</v>
      </c>
      <c r="CB65" s="329">
        <v>0</v>
      </c>
      <c r="CC65" s="329">
        <v>169366</v>
      </c>
      <c r="CD65" s="25" t="s">
        <v>248</v>
      </c>
      <c r="CE65" s="28">
        <f t="shared" si="6"/>
        <v>3447835</v>
      </c>
    </row>
    <row r="66" spans="1:83" x14ac:dyDescent="0.35">
      <c r="A66" s="35" t="s">
        <v>267</v>
      </c>
      <c r="B66" s="16"/>
      <c r="C66" s="321">
        <v>14468</v>
      </c>
      <c r="D66" s="321">
        <v>0</v>
      </c>
      <c r="E66" s="321">
        <v>1271</v>
      </c>
      <c r="F66" s="321">
        <v>0</v>
      </c>
      <c r="G66" s="321">
        <v>0</v>
      </c>
      <c r="H66" s="321">
        <v>920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0</v>
      </c>
      <c r="O66" s="321">
        <v>1950</v>
      </c>
      <c r="P66" s="323">
        <v>1542666</v>
      </c>
      <c r="Q66" s="323">
        <v>0</v>
      </c>
      <c r="R66" s="323">
        <v>0</v>
      </c>
      <c r="S66" s="329">
        <v>2048</v>
      </c>
      <c r="T66" s="329">
        <v>0</v>
      </c>
      <c r="U66" s="324">
        <v>1907490</v>
      </c>
      <c r="V66" s="323">
        <v>0</v>
      </c>
      <c r="W66" s="323">
        <v>448772</v>
      </c>
      <c r="X66" s="323">
        <v>236610</v>
      </c>
      <c r="Y66" s="323">
        <v>352194</v>
      </c>
      <c r="Z66" s="323">
        <v>1085406</v>
      </c>
      <c r="AA66" s="323">
        <v>59874</v>
      </c>
      <c r="AB66" s="330">
        <v>204638</v>
      </c>
      <c r="AC66" s="323">
        <v>518</v>
      </c>
      <c r="AD66" s="323">
        <v>1778074</v>
      </c>
      <c r="AE66" s="323">
        <v>16</v>
      </c>
      <c r="AF66" s="323">
        <v>0</v>
      </c>
      <c r="AG66" s="323">
        <v>1327618</v>
      </c>
      <c r="AH66" s="323">
        <v>0</v>
      </c>
      <c r="AI66" s="323">
        <v>0</v>
      </c>
      <c r="AJ66" s="323">
        <v>81067</v>
      </c>
      <c r="AK66" s="323">
        <v>0</v>
      </c>
      <c r="AL66" s="323">
        <v>0</v>
      </c>
      <c r="AM66" s="323">
        <v>0</v>
      </c>
      <c r="AN66" s="323">
        <v>0</v>
      </c>
      <c r="AO66" s="323">
        <v>0</v>
      </c>
      <c r="AP66" s="323">
        <v>3838098</v>
      </c>
      <c r="AQ66" s="323">
        <v>0</v>
      </c>
      <c r="AR66" s="323">
        <v>1019592</v>
      </c>
      <c r="AS66" s="323">
        <v>0</v>
      </c>
      <c r="AT66" s="323">
        <v>0</v>
      </c>
      <c r="AU66" s="323">
        <v>0</v>
      </c>
      <c r="AV66" s="329">
        <v>444009</v>
      </c>
      <c r="AW66" s="329">
        <v>0</v>
      </c>
      <c r="AX66" s="329">
        <v>0</v>
      </c>
      <c r="AY66" s="323">
        <v>1621</v>
      </c>
      <c r="AZ66" s="323">
        <v>0</v>
      </c>
      <c r="BA66" s="329">
        <v>44676</v>
      </c>
      <c r="BB66" s="329">
        <v>0</v>
      </c>
      <c r="BC66" s="329">
        <v>0</v>
      </c>
      <c r="BD66" s="329">
        <v>0</v>
      </c>
      <c r="BE66" s="323">
        <v>286045</v>
      </c>
      <c r="BF66" s="329">
        <v>100485</v>
      </c>
      <c r="BG66" s="329">
        <v>0</v>
      </c>
      <c r="BH66" s="329">
        <v>305510</v>
      </c>
      <c r="BI66" s="329">
        <v>2424331</v>
      </c>
      <c r="BJ66" s="329">
        <v>9331</v>
      </c>
      <c r="BK66" s="329">
        <v>1892008</v>
      </c>
      <c r="BL66" s="329">
        <v>1254387</v>
      </c>
      <c r="BM66" s="329">
        <v>76063</v>
      </c>
      <c r="BN66" s="329">
        <v>468688</v>
      </c>
      <c r="BO66" s="329">
        <v>73735</v>
      </c>
      <c r="BP66" s="329">
        <v>26876</v>
      </c>
      <c r="BQ66" s="329">
        <v>0</v>
      </c>
      <c r="BR66" s="329">
        <v>48414</v>
      </c>
      <c r="BS66" s="329">
        <v>443</v>
      </c>
      <c r="BT66" s="329">
        <v>0</v>
      </c>
      <c r="BU66" s="329">
        <v>0</v>
      </c>
      <c r="BV66" s="329">
        <v>1063763</v>
      </c>
      <c r="BW66" s="329">
        <v>65961</v>
      </c>
      <c r="BX66" s="329">
        <v>1001925</v>
      </c>
      <c r="BY66" s="329">
        <v>0</v>
      </c>
      <c r="BZ66" s="329">
        <v>682</v>
      </c>
      <c r="CA66" s="329">
        <v>1140</v>
      </c>
      <c r="CB66" s="329">
        <v>0</v>
      </c>
      <c r="CC66" s="329">
        <v>1189327</v>
      </c>
      <c r="CD66" s="25" t="s">
        <v>248</v>
      </c>
      <c r="CE66" s="28">
        <f t="shared" si="6"/>
        <v>24682710</v>
      </c>
    </row>
    <row r="67" spans="1:83" x14ac:dyDescent="0.35">
      <c r="A67" s="35" t="s">
        <v>16</v>
      </c>
      <c r="B67" s="16"/>
      <c r="C67" s="28">
        <f t="shared" ref="C67:AH67" si="10">ROUND(C51+C52,0)</f>
        <v>235284</v>
      </c>
      <c r="D67" s="28">
        <f t="shared" si="10"/>
        <v>0</v>
      </c>
      <c r="E67" s="28">
        <f t="shared" si="10"/>
        <v>1318542</v>
      </c>
      <c r="F67" s="28">
        <f t="shared" si="10"/>
        <v>388508</v>
      </c>
      <c r="G67" s="28">
        <f t="shared" si="10"/>
        <v>0</v>
      </c>
      <c r="H67" s="28">
        <f t="shared" si="10"/>
        <v>276284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219560</v>
      </c>
      <c r="P67" s="28">
        <f t="shared" si="10"/>
        <v>883896</v>
      </c>
      <c r="Q67" s="28">
        <f t="shared" si="10"/>
        <v>64824</v>
      </c>
      <c r="R67" s="28">
        <f t="shared" si="10"/>
        <v>12969</v>
      </c>
      <c r="S67" s="28">
        <f t="shared" si="10"/>
        <v>711488</v>
      </c>
      <c r="T67" s="28">
        <f t="shared" si="10"/>
        <v>6049</v>
      </c>
      <c r="U67" s="28">
        <f t="shared" si="10"/>
        <v>244897</v>
      </c>
      <c r="V67" s="28">
        <f t="shared" si="10"/>
        <v>4682</v>
      </c>
      <c r="W67" s="28">
        <f t="shared" si="10"/>
        <v>47152</v>
      </c>
      <c r="X67" s="28">
        <f t="shared" si="10"/>
        <v>49535</v>
      </c>
      <c r="Y67" s="28">
        <f t="shared" si="10"/>
        <v>837925</v>
      </c>
      <c r="Z67" s="28">
        <f t="shared" si="10"/>
        <v>263004</v>
      </c>
      <c r="AA67" s="28">
        <f t="shared" si="10"/>
        <v>47401</v>
      </c>
      <c r="AB67" s="28">
        <f t="shared" si="10"/>
        <v>213449</v>
      </c>
      <c r="AC67" s="28">
        <f t="shared" si="10"/>
        <v>63726</v>
      </c>
      <c r="AD67" s="28">
        <f t="shared" si="10"/>
        <v>5531</v>
      </c>
      <c r="AE67" s="28">
        <f t="shared" si="10"/>
        <v>228531</v>
      </c>
      <c r="AF67" s="28">
        <f t="shared" si="10"/>
        <v>0</v>
      </c>
      <c r="AG67" s="28">
        <f t="shared" si="10"/>
        <v>427684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351818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3583028</v>
      </c>
      <c r="AQ67" s="28">
        <f t="shared" si="11"/>
        <v>0</v>
      </c>
      <c r="AR67" s="28">
        <f t="shared" si="11"/>
        <v>541235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225568</v>
      </c>
      <c r="AW67" s="28">
        <f t="shared" si="11"/>
        <v>0</v>
      </c>
      <c r="AX67" s="28">
        <f t="shared" si="11"/>
        <v>0</v>
      </c>
      <c r="AY67" s="28">
        <f t="shared" si="11"/>
        <v>137375</v>
      </c>
      <c r="AZ67" s="28">
        <f t="shared" si="11"/>
        <v>113343</v>
      </c>
      <c r="BA67" s="28">
        <f t="shared" si="11"/>
        <v>54403</v>
      </c>
      <c r="BB67" s="28">
        <f t="shared" si="11"/>
        <v>0</v>
      </c>
      <c r="BC67" s="28">
        <f t="shared" si="11"/>
        <v>0</v>
      </c>
      <c r="BD67" s="28">
        <f t="shared" si="11"/>
        <v>138018</v>
      </c>
      <c r="BE67" s="28">
        <f t="shared" si="11"/>
        <v>8840228</v>
      </c>
      <c r="BF67" s="28">
        <f t="shared" si="11"/>
        <v>29398</v>
      </c>
      <c r="BG67" s="28">
        <f t="shared" si="11"/>
        <v>4061</v>
      </c>
      <c r="BH67" s="28">
        <f t="shared" si="11"/>
        <v>131181</v>
      </c>
      <c r="BI67" s="28">
        <f t="shared" si="11"/>
        <v>19702</v>
      </c>
      <c r="BJ67" s="28">
        <f t="shared" si="11"/>
        <v>68553</v>
      </c>
      <c r="BK67" s="28">
        <f t="shared" si="11"/>
        <v>175453</v>
      </c>
      <c r="BL67" s="28">
        <f t="shared" si="11"/>
        <v>81646</v>
      </c>
      <c r="BM67" s="28">
        <f t="shared" si="11"/>
        <v>46593</v>
      </c>
      <c r="BN67" s="28">
        <f t="shared" si="11"/>
        <v>36524</v>
      </c>
      <c r="BO67" s="28">
        <f t="shared" ref="BO67:CC67" si="12">ROUND(BO51+BO52,0)</f>
        <v>52083</v>
      </c>
      <c r="BP67" s="28">
        <f t="shared" si="12"/>
        <v>76695</v>
      </c>
      <c r="BQ67" s="28">
        <f t="shared" si="12"/>
        <v>0</v>
      </c>
      <c r="BR67" s="28">
        <f t="shared" si="12"/>
        <v>73546</v>
      </c>
      <c r="BS67" s="28">
        <f t="shared" si="12"/>
        <v>10483</v>
      </c>
      <c r="BT67" s="28">
        <f t="shared" si="12"/>
        <v>6194</v>
      </c>
      <c r="BU67" s="28">
        <f t="shared" si="12"/>
        <v>0</v>
      </c>
      <c r="BV67" s="28">
        <f t="shared" si="12"/>
        <v>76695</v>
      </c>
      <c r="BW67" s="28">
        <f t="shared" si="12"/>
        <v>35986</v>
      </c>
      <c r="BX67" s="28">
        <f t="shared" si="12"/>
        <v>88131</v>
      </c>
      <c r="BY67" s="28">
        <f t="shared" si="12"/>
        <v>6215</v>
      </c>
      <c r="BZ67" s="28">
        <f t="shared" si="12"/>
        <v>8763</v>
      </c>
      <c r="CA67" s="28">
        <f t="shared" si="12"/>
        <v>32795</v>
      </c>
      <c r="CB67" s="28">
        <f t="shared" si="12"/>
        <v>0</v>
      </c>
      <c r="CC67" s="28">
        <f t="shared" si="12"/>
        <v>380035</v>
      </c>
      <c r="CD67" s="25" t="s">
        <v>248</v>
      </c>
      <c r="CE67" s="28">
        <f t="shared" si="6"/>
        <v>21976669</v>
      </c>
    </row>
    <row r="68" spans="1:83" x14ac:dyDescent="0.35">
      <c r="A68" s="35" t="s">
        <v>268</v>
      </c>
      <c r="B68" s="28"/>
      <c r="C68" s="321">
        <v>2026</v>
      </c>
      <c r="D68" s="321">
        <v>0</v>
      </c>
      <c r="E68" s="321">
        <v>10619</v>
      </c>
      <c r="F68" s="321">
        <v>26949</v>
      </c>
      <c r="G68" s="321">
        <v>0</v>
      </c>
      <c r="H68" s="321">
        <v>2786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1">
        <v>1563</v>
      </c>
      <c r="P68" s="323">
        <v>775198</v>
      </c>
      <c r="Q68" s="323">
        <v>1391</v>
      </c>
      <c r="R68" s="323">
        <v>226</v>
      </c>
      <c r="S68" s="329">
        <v>80942</v>
      </c>
      <c r="T68" s="329">
        <v>368</v>
      </c>
      <c r="U68" s="324">
        <v>700771</v>
      </c>
      <c r="V68" s="323">
        <v>43</v>
      </c>
      <c r="W68" s="323">
        <v>436</v>
      </c>
      <c r="X68" s="323">
        <v>972</v>
      </c>
      <c r="Y68" s="323">
        <v>147156</v>
      </c>
      <c r="Z68" s="323">
        <v>4296</v>
      </c>
      <c r="AA68" s="323">
        <v>939</v>
      </c>
      <c r="AB68" s="330">
        <v>80879</v>
      </c>
      <c r="AC68" s="323">
        <v>29066</v>
      </c>
      <c r="AD68" s="323">
        <v>0</v>
      </c>
      <c r="AE68" s="323">
        <v>163282</v>
      </c>
      <c r="AF68" s="323">
        <v>0</v>
      </c>
      <c r="AG68" s="323">
        <v>6012</v>
      </c>
      <c r="AH68" s="323">
        <v>0</v>
      </c>
      <c r="AI68" s="323">
        <v>0</v>
      </c>
      <c r="AJ68" s="323">
        <v>92321</v>
      </c>
      <c r="AK68" s="323">
        <v>0</v>
      </c>
      <c r="AL68" s="323">
        <v>0</v>
      </c>
      <c r="AM68" s="323">
        <v>0</v>
      </c>
      <c r="AN68" s="323">
        <v>0</v>
      </c>
      <c r="AO68" s="323">
        <v>0</v>
      </c>
      <c r="AP68" s="323">
        <v>5159669</v>
      </c>
      <c r="AQ68" s="323">
        <v>0</v>
      </c>
      <c r="AR68" s="323">
        <v>187638</v>
      </c>
      <c r="AS68" s="323">
        <v>0</v>
      </c>
      <c r="AT68" s="323">
        <v>0</v>
      </c>
      <c r="AU68" s="323">
        <v>0</v>
      </c>
      <c r="AV68" s="329">
        <v>504635</v>
      </c>
      <c r="AW68" s="329">
        <v>0</v>
      </c>
      <c r="AX68" s="329">
        <v>0</v>
      </c>
      <c r="AY68" s="323">
        <v>11191</v>
      </c>
      <c r="AZ68" s="323">
        <v>12</v>
      </c>
      <c r="BA68" s="329">
        <v>231632</v>
      </c>
      <c r="BB68" s="329">
        <v>0</v>
      </c>
      <c r="BC68" s="329">
        <v>0</v>
      </c>
      <c r="BD68" s="329">
        <v>5820</v>
      </c>
      <c r="BE68" s="323">
        <v>3054</v>
      </c>
      <c r="BF68" s="329">
        <v>2870</v>
      </c>
      <c r="BG68" s="329">
        <v>70</v>
      </c>
      <c r="BH68" s="329">
        <v>35073</v>
      </c>
      <c r="BI68" s="329">
        <v>191</v>
      </c>
      <c r="BJ68" s="329">
        <v>2146</v>
      </c>
      <c r="BK68" s="329">
        <v>4547</v>
      </c>
      <c r="BL68" s="329">
        <v>28704</v>
      </c>
      <c r="BM68" s="329">
        <v>855</v>
      </c>
      <c r="BN68" s="329">
        <v>3793</v>
      </c>
      <c r="BO68" s="329">
        <v>52102</v>
      </c>
      <c r="BP68" s="329">
        <v>971</v>
      </c>
      <c r="BQ68" s="329">
        <v>0</v>
      </c>
      <c r="BR68" s="329">
        <v>241376</v>
      </c>
      <c r="BS68" s="329">
        <v>104</v>
      </c>
      <c r="BT68" s="329">
        <v>29</v>
      </c>
      <c r="BU68" s="329">
        <v>0</v>
      </c>
      <c r="BV68" s="329">
        <v>68521</v>
      </c>
      <c r="BW68" s="329">
        <v>2038</v>
      </c>
      <c r="BX68" s="329">
        <v>37899</v>
      </c>
      <c r="BY68" s="329">
        <v>421</v>
      </c>
      <c r="BZ68" s="329">
        <v>367</v>
      </c>
      <c r="CA68" s="329">
        <v>0</v>
      </c>
      <c r="CB68" s="329">
        <v>0</v>
      </c>
      <c r="CC68" s="329">
        <v>105769</v>
      </c>
      <c r="CD68" s="25" t="s">
        <v>248</v>
      </c>
      <c r="CE68" s="28">
        <f t="shared" si="6"/>
        <v>8819738</v>
      </c>
    </row>
    <row r="69" spans="1:83" x14ac:dyDescent="0.35">
      <c r="A69" s="35" t="s">
        <v>269</v>
      </c>
      <c r="B69" s="16"/>
      <c r="C69" s="28">
        <f t="shared" ref="C69:AH69" si="13">SUM(C70:C83)</f>
        <v>1055704</v>
      </c>
      <c r="D69" s="28">
        <f t="shared" si="13"/>
        <v>0</v>
      </c>
      <c r="E69" s="28">
        <f t="shared" si="13"/>
        <v>2141268.71</v>
      </c>
      <c r="F69" s="28">
        <f t="shared" si="13"/>
        <v>109984</v>
      </c>
      <c r="G69" s="28">
        <f t="shared" si="13"/>
        <v>0</v>
      </c>
      <c r="H69" s="28">
        <f t="shared" si="13"/>
        <v>50268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337351</v>
      </c>
      <c r="P69" s="28">
        <f t="shared" si="13"/>
        <v>2266182</v>
      </c>
      <c r="Q69" s="28">
        <f t="shared" si="13"/>
        <v>72549</v>
      </c>
      <c r="R69" s="28">
        <f t="shared" si="13"/>
        <v>208446</v>
      </c>
      <c r="S69" s="28">
        <f t="shared" si="13"/>
        <v>129595</v>
      </c>
      <c r="T69" s="28">
        <f t="shared" si="13"/>
        <v>14907</v>
      </c>
      <c r="U69" s="28">
        <f t="shared" si="13"/>
        <v>3665062</v>
      </c>
      <c r="V69" s="28">
        <f t="shared" si="13"/>
        <v>2438</v>
      </c>
      <c r="W69" s="28">
        <f t="shared" si="13"/>
        <v>24896</v>
      </c>
      <c r="X69" s="28">
        <f t="shared" si="13"/>
        <v>77212</v>
      </c>
      <c r="Y69" s="28">
        <f t="shared" si="13"/>
        <v>865403</v>
      </c>
      <c r="Z69" s="28">
        <f t="shared" si="13"/>
        <v>930228</v>
      </c>
      <c r="AA69" s="28">
        <f t="shared" si="13"/>
        <v>20850</v>
      </c>
      <c r="AB69" s="28">
        <f t="shared" si="13"/>
        <v>315128</v>
      </c>
      <c r="AC69" s="28">
        <f t="shared" si="13"/>
        <v>385846</v>
      </c>
      <c r="AD69" s="28">
        <f t="shared" si="13"/>
        <v>34</v>
      </c>
      <c r="AE69" s="28">
        <f t="shared" si="13"/>
        <v>45910</v>
      </c>
      <c r="AF69" s="28">
        <f t="shared" si="13"/>
        <v>0</v>
      </c>
      <c r="AG69" s="28">
        <f t="shared" si="13"/>
        <v>1981621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1018631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4806128</v>
      </c>
      <c r="AQ69" s="28">
        <f t="shared" si="14"/>
        <v>0</v>
      </c>
      <c r="AR69" s="28">
        <f t="shared" si="14"/>
        <v>511951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937459.78</v>
      </c>
      <c r="AW69" s="28">
        <f t="shared" si="14"/>
        <v>0</v>
      </c>
      <c r="AX69" s="28">
        <f t="shared" si="14"/>
        <v>0</v>
      </c>
      <c r="AY69" s="28">
        <f t="shared" si="14"/>
        <v>166910</v>
      </c>
      <c r="AZ69" s="28">
        <f t="shared" si="14"/>
        <v>210828</v>
      </c>
      <c r="BA69" s="28">
        <f t="shared" si="14"/>
        <v>1086161</v>
      </c>
      <c r="BB69" s="28">
        <f t="shared" si="14"/>
        <v>0</v>
      </c>
      <c r="BC69" s="28">
        <f t="shared" si="14"/>
        <v>0</v>
      </c>
      <c r="BD69" s="28">
        <f t="shared" si="14"/>
        <v>1820443</v>
      </c>
      <c r="BE69" s="28">
        <f t="shared" si="14"/>
        <v>2603283</v>
      </c>
      <c r="BF69" s="28">
        <f t="shared" si="14"/>
        <v>1051288</v>
      </c>
      <c r="BG69" s="28">
        <f t="shared" si="14"/>
        <v>190797</v>
      </c>
      <c r="BH69" s="28">
        <f t="shared" si="14"/>
        <v>12023136</v>
      </c>
      <c r="BI69" s="28">
        <f t="shared" si="14"/>
        <v>117792</v>
      </c>
      <c r="BJ69" s="28">
        <f t="shared" si="14"/>
        <v>437293</v>
      </c>
      <c r="BK69" s="28">
        <f t="shared" si="14"/>
        <v>355420</v>
      </c>
      <c r="BL69" s="28">
        <f t="shared" si="14"/>
        <v>35574</v>
      </c>
      <c r="BM69" s="28">
        <f t="shared" si="14"/>
        <v>2865674</v>
      </c>
      <c r="BN69" s="28">
        <f t="shared" si="14"/>
        <v>32656476</v>
      </c>
      <c r="BO69" s="28">
        <f t="shared" ref="BO69:CD69" si="15">SUM(BO70:BO83)</f>
        <v>167924</v>
      </c>
      <c r="BP69" s="28">
        <f t="shared" si="15"/>
        <v>94228</v>
      </c>
      <c r="BQ69" s="28">
        <f t="shared" si="15"/>
        <v>0</v>
      </c>
      <c r="BR69" s="28">
        <f t="shared" si="15"/>
        <v>971309</v>
      </c>
      <c r="BS69" s="28">
        <f t="shared" si="15"/>
        <v>13925</v>
      </c>
      <c r="BT69" s="28">
        <f t="shared" si="15"/>
        <v>712</v>
      </c>
      <c r="BU69" s="28">
        <f t="shared" si="15"/>
        <v>0</v>
      </c>
      <c r="BV69" s="28">
        <f t="shared" si="15"/>
        <v>27340</v>
      </c>
      <c r="BW69" s="28">
        <f t="shared" si="15"/>
        <v>317337</v>
      </c>
      <c r="BX69" s="28">
        <f t="shared" si="15"/>
        <v>384767</v>
      </c>
      <c r="BY69" s="28">
        <f t="shared" si="15"/>
        <v>179954</v>
      </c>
      <c r="BZ69" s="28">
        <f t="shared" si="15"/>
        <v>1615198</v>
      </c>
      <c r="CA69" s="28">
        <f t="shared" si="15"/>
        <v>18418</v>
      </c>
      <c r="CB69" s="28">
        <f t="shared" si="15"/>
        <v>0</v>
      </c>
      <c r="CC69" s="28">
        <f t="shared" si="15"/>
        <v>3610721</v>
      </c>
      <c r="CD69" s="28">
        <f t="shared" si="15"/>
        <v>-162546350.15000001</v>
      </c>
      <c r="CE69" s="28">
        <f>SUM(CE70:CE84)</f>
        <v>-50308269.659999996</v>
      </c>
    </row>
    <row r="70" spans="1:83" x14ac:dyDescent="0.35">
      <c r="A70" s="29" t="s">
        <v>270</v>
      </c>
      <c r="B70" s="30"/>
      <c r="C70" s="331">
        <v>0</v>
      </c>
      <c r="D70" s="331">
        <v>0</v>
      </c>
      <c r="E70" s="331">
        <v>0</v>
      </c>
      <c r="F70" s="331">
        <v>0</v>
      </c>
      <c r="G70" s="331">
        <v>0</v>
      </c>
      <c r="H70" s="331">
        <v>0</v>
      </c>
      <c r="I70" s="331">
        <v>0</v>
      </c>
      <c r="J70" s="331">
        <v>0</v>
      </c>
      <c r="K70" s="331">
        <v>0</v>
      </c>
      <c r="L70" s="331">
        <v>0</v>
      </c>
      <c r="M70" s="331">
        <v>0</v>
      </c>
      <c r="N70" s="331">
        <v>0</v>
      </c>
      <c r="O70" s="331">
        <v>0</v>
      </c>
      <c r="P70" s="331">
        <v>0</v>
      </c>
      <c r="Q70" s="331">
        <v>0</v>
      </c>
      <c r="R70" s="331">
        <v>0</v>
      </c>
      <c r="S70" s="331">
        <v>0</v>
      </c>
      <c r="T70" s="331">
        <v>0</v>
      </c>
      <c r="U70" s="331">
        <v>1360152</v>
      </c>
      <c r="V70" s="331">
        <v>0</v>
      </c>
      <c r="W70" s="331">
        <v>0</v>
      </c>
      <c r="X70" s="331">
        <v>0</v>
      </c>
      <c r="Y70" s="331">
        <v>0</v>
      </c>
      <c r="Z70" s="331">
        <v>0</v>
      </c>
      <c r="AA70" s="331">
        <v>0</v>
      </c>
      <c r="AB70" s="331">
        <v>0</v>
      </c>
      <c r="AC70" s="331">
        <v>0</v>
      </c>
      <c r="AD70" s="331">
        <v>0</v>
      </c>
      <c r="AE70" s="331">
        <v>0</v>
      </c>
      <c r="AF70" s="331">
        <v>0</v>
      </c>
      <c r="AG70" s="331">
        <v>0</v>
      </c>
      <c r="AH70" s="331">
        <v>0</v>
      </c>
      <c r="AI70" s="331">
        <v>0</v>
      </c>
      <c r="AJ70" s="331">
        <v>0</v>
      </c>
      <c r="AK70" s="331">
        <v>0</v>
      </c>
      <c r="AL70" s="331">
        <v>0</v>
      </c>
      <c r="AM70" s="331">
        <v>0</v>
      </c>
      <c r="AN70" s="331">
        <v>0</v>
      </c>
      <c r="AO70" s="331">
        <v>0</v>
      </c>
      <c r="AP70" s="331">
        <v>0</v>
      </c>
      <c r="AQ70" s="331">
        <v>0</v>
      </c>
      <c r="AR70" s="331">
        <v>0</v>
      </c>
      <c r="AS70" s="331">
        <v>0</v>
      </c>
      <c r="AT70" s="331">
        <v>0</v>
      </c>
      <c r="AU70" s="331">
        <v>0</v>
      </c>
      <c r="AV70" s="331">
        <v>0</v>
      </c>
      <c r="AW70" s="331">
        <v>0</v>
      </c>
      <c r="AX70" s="331">
        <v>0</v>
      </c>
      <c r="AY70" s="331">
        <v>0</v>
      </c>
      <c r="AZ70" s="331">
        <v>0</v>
      </c>
      <c r="BA70" s="331">
        <v>0</v>
      </c>
      <c r="BB70" s="331">
        <v>0</v>
      </c>
      <c r="BC70" s="331">
        <v>0</v>
      </c>
      <c r="BD70" s="331">
        <v>0</v>
      </c>
      <c r="BE70" s="331">
        <v>0</v>
      </c>
      <c r="BF70" s="331">
        <v>0</v>
      </c>
      <c r="BG70" s="331">
        <v>0</v>
      </c>
      <c r="BH70" s="331">
        <v>0</v>
      </c>
      <c r="BI70" s="331">
        <v>0</v>
      </c>
      <c r="BJ70" s="331">
        <v>0</v>
      </c>
      <c r="BK70" s="331">
        <v>0</v>
      </c>
      <c r="BL70" s="331">
        <v>0</v>
      </c>
      <c r="BM70" s="331">
        <v>0</v>
      </c>
      <c r="BN70" s="331">
        <v>0</v>
      </c>
      <c r="BO70" s="331">
        <v>0</v>
      </c>
      <c r="BP70" s="331">
        <v>0</v>
      </c>
      <c r="BQ70" s="331">
        <v>0</v>
      </c>
      <c r="BR70" s="331">
        <v>0</v>
      </c>
      <c r="BS70" s="331">
        <v>0</v>
      </c>
      <c r="BT70" s="331">
        <v>0</v>
      </c>
      <c r="BU70" s="331">
        <v>0</v>
      </c>
      <c r="BV70" s="331">
        <v>0</v>
      </c>
      <c r="BW70" s="331">
        <v>0</v>
      </c>
      <c r="BX70" s="331">
        <v>0</v>
      </c>
      <c r="BY70" s="331">
        <v>0</v>
      </c>
      <c r="BZ70" s="331">
        <v>0</v>
      </c>
      <c r="CA70" s="331">
        <v>0</v>
      </c>
      <c r="CB70" s="331">
        <v>0</v>
      </c>
      <c r="CC70" s="331">
        <v>0</v>
      </c>
      <c r="CD70" s="331">
        <v>0</v>
      </c>
      <c r="CE70" s="28">
        <f t="shared" ref="CE70:CE85" si="16">SUM(C70:CD70)</f>
        <v>1360152</v>
      </c>
    </row>
    <row r="71" spans="1:83" x14ac:dyDescent="0.35">
      <c r="A71" s="29" t="s">
        <v>271</v>
      </c>
      <c r="B71" s="30"/>
      <c r="C71" s="331">
        <v>857669</v>
      </c>
      <c r="D71" s="331">
        <v>0</v>
      </c>
      <c r="E71" s="331">
        <v>1788422</v>
      </c>
      <c r="F71" s="331">
        <v>0</v>
      </c>
      <c r="G71" s="331">
        <v>0</v>
      </c>
      <c r="H71" s="331">
        <v>6570</v>
      </c>
      <c r="I71" s="331">
        <v>0</v>
      </c>
      <c r="J71" s="331">
        <v>0</v>
      </c>
      <c r="K71" s="331">
        <v>0</v>
      </c>
      <c r="L71" s="331">
        <v>0</v>
      </c>
      <c r="M71" s="331">
        <v>0</v>
      </c>
      <c r="N71" s="331">
        <v>0</v>
      </c>
      <c r="O71" s="331">
        <v>26800</v>
      </c>
      <c r="P71" s="331">
        <v>1134806</v>
      </c>
      <c r="Q71" s="331">
        <v>0</v>
      </c>
      <c r="R71" s="331">
        <v>0</v>
      </c>
      <c r="S71" s="331">
        <v>0</v>
      </c>
      <c r="T71" s="331">
        <v>0</v>
      </c>
      <c r="U71" s="331">
        <v>0</v>
      </c>
      <c r="V71" s="331">
        <v>0</v>
      </c>
      <c r="W71" s="331">
        <v>0</v>
      </c>
      <c r="X71" s="331">
        <v>0</v>
      </c>
      <c r="Y71" s="331">
        <v>204514</v>
      </c>
      <c r="Z71" s="331">
        <v>0</v>
      </c>
      <c r="AA71" s="331">
        <v>0</v>
      </c>
      <c r="AB71" s="331">
        <v>0</v>
      </c>
      <c r="AC71" s="331">
        <v>358195</v>
      </c>
      <c r="AD71" s="331">
        <v>0</v>
      </c>
      <c r="AE71" s="331">
        <v>0</v>
      </c>
      <c r="AF71" s="331">
        <v>0</v>
      </c>
      <c r="AG71" s="331">
        <v>1823379</v>
      </c>
      <c r="AH71" s="331">
        <v>0</v>
      </c>
      <c r="AI71" s="331">
        <v>0</v>
      </c>
      <c r="AJ71" s="331">
        <v>0</v>
      </c>
      <c r="AK71" s="331">
        <v>0</v>
      </c>
      <c r="AL71" s="331">
        <v>0</v>
      </c>
      <c r="AM71" s="331">
        <v>0</v>
      </c>
      <c r="AN71" s="331">
        <v>0</v>
      </c>
      <c r="AO71" s="331">
        <v>0</v>
      </c>
      <c r="AP71" s="331">
        <v>56980</v>
      </c>
      <c r="AQ71" s="331">
        <v>0</v>
      </c>
      <c r="AR71" s="331">
        <v>0</v>
      </c>
      <c r="AS71" s="331">
        <v>0</v>
      </c>
      <c r="AT71" s="331">
        <v>0</v>
      </c>
      <c r="AU71" s="331">
        <v>0</v>
      </c>
      <c r="AV71" s="331">
        <v>134699</v>
      </c>
      <c r="AW71" s="331">
        <v>0</v>
      </c>
      <c r="AX71" s="331">
        <v>0</v>
      </c>
      <c r="AY71" s="331">
        <v>0</v>
      </c>
      <c r="AZ71" s="331">
        <v>0</v>
      </c>
      <c r="BA71" s="331">
        <v>0</v>
      </c>
      <c r="BB71" s="331">
        <v>0</v>
      </c>
      <c r="BC71" s="331">
        <v>0</v>
      </c>
      <c r="BD71" s="331">
        <v>0</v>
      </c>
      <c r="BE71" s="331">
        <v>0</v>
      </c>
      <c r="BF71" s="331">
        <v>0</v>
      </c>
      <c r="BG71" s="331">
        <v>0</v>
      </c>
      <c r="BH71" s="331">
        <v>0</v>
      </c>
      <c r="BI71" s="331">
        <v>0</v>
      </c>
      <c r="BJ71" s="331">
        <v>0</v>
      </c>
      <c r="BK71" s="331">
        <v>0</v>
      </c>
      <c r="BL71" s="331">
        <v>0</v>
      </c>
      <c r="BM71" s="331">
        <v>0</v>
      </c>
      <c r="BN71" s="331">
        <v>0</v>
      </c>
      <c r="BO71" s="331">
        <v>0</v>
      </c>
      <c r="BP71" s="331">
        <v>0</v>
      </c>
      <c r="BQ71" s="331">
        <v>0</v>
      </c>
      <c r="BR71" s="331">
        <v>0</v>
      </c>
      <c r="BS71" s="331">
        <v>0</v>
      </c>
      <c r="BT71" s="331">
        <v>0</v>
      </c>
      <c r="BU71" s="331">
        <v>0</v>
      </c>
      <c r="BV71" s="331">
        <v>0</v>
      </c>
      <c r="BW71" s="331">
        <v>0</v>
      </c>
      <c r="BX71" s="331">
        <v>0</v>
      </c>
      <c r="BY71" s="331">
        <v>0</v>
      </c>
      <c r="BZ71" s="331">
        <v>397019</v>
      </c>
      <c r="CA71" s="331">
        <v>0</v>
      </c>
      <c r="CB71" s="331">
        <v>0</v>
      </c>
      <c r="CC71" s="331">
        <v>0</v>
      </c>
      <c r="CD71" s="331">
        <v>0</v>
      </c>
      <c r="CE71" s="28">
        <f t="shared" si="16"/>
        <v>6789053</v>
      </c>
    </row>
    <row r="72" spans="1:83" x14ac:dyDescent="0.35">
      <c r="A72" s="29" t="s">
        <v>272</v>
      </c>
      <c r="B72" s="30"/>
      <c r="C72" s="331">
        <v>0</v>
      </c>
      <c r="D72" s="331">
        <v>0</v>
      </c>
      <c r="E72" s="331">
        <v>22110</v>
      </c>
      <c r="F72" s="331">
        <v>12394</v>
      </c>
      <c r="G72" s="331">
        <v>0</v>
      </c>
      <c r="H72" s="331">
        <v>152</v>
      </c>
      <c r="I72" s="331">
        <v>0</v>
      </c>
      <c r="J72" s="331">
        <v>0</v>
      </c>
      <c r="K72" s="331">
        <v>0</v>
      </c>
      <c r="L72" s="331">
        <v>0</v>
      </c>
      <c r="M72" s="331">
        <v>0</v>
      </c>
      <c r="N72" s="331">
        <v>0</v>
      </c>
      <c r="O72" s="331">
        <v>200326</v>
      </c>
      <c r="P72" s="331">
        <v>13612</v>
      </c>
      <c r="Q72" s="331">
        <v>48007</v>
      </c>
      <c r="R72" s="331">
        <v>198666</v>
      </c>
      <c r="S72" s="331">
        <v>140</v>
      </c>
      <c r="T72" s="331">
        <v>815</v>
      </c>
      <c r="U72" s="331">
        <v>383708</v>
      </c>
      <c r="V72" s="331">
        <v>0</v>
      </c>
      <c r="W72" s="331">
        <v>450</v>
      </c>
      <c r="X72" s="331">
        <v>60767</v>
      </c>
      <c r="Y72" s="331">
        <v>228690</v>
      </c>
      <c r="Z72" s="331">
        <v>898119</v>
      </c>
      <c r="AA72" s="331">
        <v>0</v>
      </c>
      <c r="AB72" s="331">
        <v>0</v>
      </c>
      <c r="AC72" s="331">
        <v>0</v>
      </c>
      <c r="AD72" s="331">
        <v>0</v>
      </c>
      <c r="AE72" s="331">
        <v>0</v>
      </c>
      <c r="AF72" s="331">
        <v>0</v>
      </c>
      <c r="AG72" s="331">
        <v>5444</v>
      </c>
      <c r="AH72" s="331">
        <v>0</v>
      </c>
      <c r="AI72" s="331">
        <v>0</v>
      </c>
      <c r="AJ72" s="331">
        <v>200551</v>
      </c>
      <c r="AK72" s="331">
        <v>0</v>
      </c>
      <c r="AL72" s="331">
        <v>0</v>
      </c>
      <c r="AM72" s="331">
        <v>0</v>
      </c>
      <c r="AN72" s="331">
        <v>0</v>
      </c>
      <c r="AO72" s="331">
        <v>0</v>
      </c>
      <c r="AP72" s="331">
        <v>946392</v>
      </c>
      <c r="AQ72" s="331">
        <v>0</v>
      </c>
      <c r="AR72" s="331">
        <v>11903</v>
      </c>
      <c r="AS72" s="331">
        <v>0</v>
      </c>
      <c r="AT72" s="331">
        <v>0</v>
      </c>
      <c r="AU72" s="331">
        <v>0</v>
      </c>
      <c r="AV72" s="331">
        <v>155339</v>
      </c>
      <c r="AW72" s="331">
        <v>0</v>
      </c>
      <c r="AX72" s="331">
        <v>0</v>
      </c>
      <c r="AY72" s="331">
        <v>96789</v>
      </c>
      <c r="AZ72" s="331">
        <v>25192</v>
      </c>
      <c r="BA72" s="331">
        <v>0</v>
      </c>
      <c r="BB72" s="331">
        <v>0</v>
      </c>
      <c r="BC72" s="331">
        <v>0</v>
      </c>
      <c r="BD72" s="331">
        <v>47698</v>
      </c>
      <c r="BE72" s="331">
        <v>1790514</v>
      </c>
      <c r="BF72" s="331">
        <v>102</v>
      </c>
      <c r="BG72" s="331">
        <v>0</v>
      </c>
      <c r="BH72" s="331">
        <v>11473483</v>
      </c>
      <c r="BI72" s="331">
        <v>3446</v>
      </c>
      <c r="BJ72" s="331">
        <v>80199</v>
      </c>
      <c r="BK72" s="331">
        <v>351</v>
      </c>
      <c r="BL72" s="331">
        <v>35112</v>
      </c>
      <c r="BM72" s="331">
        <v>2854799</v>
      </c>
      <c r="BN72" s="331">
        <v>18877</v>
      </c>
      <c r="BO72" s="331">
        <v>34044</v>
      </c>
      <c r="BP72" s="331">
        <v>24657</v>
      </c>
      <c r="BQ72" s="331">
        <v>0</v>
      </c>
      <c r="BR72" s="331">
        <v>724916</v>
      </c>
      <c r="BS72" s="331">
        <v>5192</v>
      </c>
      <c r="BT72" s="331">
        <v>0</v>
      </c>
      <c r="BU72" s="331">
        <v>0</v>
      </c>
      <c r="BV72" s="331">
        <v>6945</v>
      </c>
      <c r="BW72" s="331">
        <v>155091</v>
      </c>
      <c r="BX72" s="331">
        <v>62566</v>
      </c>
      <c r="BY72" s="331">
        <v>177969</v>
      </c>
      <c r="BZ72" s="331">
        <v>1216358</v>
      </c>
      <c r="CA72" s="331">
        <v>5792</v>
      </c>
      <c r="CB72" s="331">
        <v>0</v>
      </c>
      <c r="CC72" s="331">
        <v>495019</v>
      </c>
      <c r="CD72" s="331">
        <v>56915.85</v>
      </c>
      <c r="CE72" s="28">
        <f t="shared" si="16"/>
        <v>22779611.850000001</v>
      </c>
    </row>
    <row r="73" spans="1:83" x14ac:dyDescent="0.35">
      <c r="A73" s="29" t="s">
        <v>273</v>
      </c>
      <c r="B73" s="30"/>
      <c r="C73" s="331">
        <v>720</v>
      </c>
      <c r="D73" s="331">
        <v>0</v>
      </c>
      <c r="E73" s="331">
        <v>0</v>
      </c>
      <c r="F73" s="331">
        <v>0</v>
      </c>
      <c r="G73" s="331">
        <v>0</v>
      </c>
      <c r="H73" s="331">
        <v>7655</v>
      </c>
      <c r="I73" s="331">
        <v>0</v>
      </c>
      <c r="J73" s="331">
        <v>0</v>
      </c>
      <c r="K73" s="331">
        <v>0</v>
      </c>
      <c r="L73" s="331">
        <v>0</v>
      </c>
      <c r="M73" s="331">
        <v>0</v>
      </c>
      <c r="N73" s="331">
        <v>0</v>
      </c>
      <c r="O73" s="331">
        <v>0</v>
      </c>
      <c r="P73" s="331">
        <v>0</v>
      </c>
      <c r="Q73" s="331">
        <v>0</v>
      </c>
      <c r="R73" s="331">
        <v>734</v>
      </c>
      <c r="S73" s="331">
        <v>0</v>
      </c>
      <c r="T73" s="331">
        <v>0</v>
      </c>
      <c r="U73" s="331">
        <v>0</v>
      </c>
      <c r="V73" s="331">
        <v>0</v>
      </c>
      <c r="W73" s="331">
        <v>0</v>
      </c>
      <c r="X73" s="331">
        <v>0</v>
      </c>
      <c r="Y73" s="331">
        <v>-1192</v>
      </c>
      <c r="Z73" s="331">
        <v>0</v>
      </c>
      <c r="AA73" s="331">
        <v>397</v>
      </c>
      <c r="AB73" s="331">
        <v>0</v>
      </c>
      <c r="AC73" s="331">
        <v>0</v>
      </c>
      <c r="AD73" s="331">
        <v>0</v>
      </c>
      <c r="AE73" s="331">
        <v>0</v>
      </c>
      <c r="AF73" s="331">
        <v>0</v>
      </c>
      <c r="AG73" s="331">
        <v>0</v>
      </c>
      <c r="AH73" s="331">
        <v>0</v>
      </c>
      <c r="AI73" s="331">
        <v>0</v>
      </c>
      <c r="AJ73" s="331">
        <v>34713</v>
      </c>
      <c r="AK73" s="331">
        <v>0</v>
      </c>
      <c r="AL73" s="331">
        <v>0</v>
      </c>
      <c r="AM73" s="331">
        <v>0</v>
      </c>
      <c r="AN73" s="331">
        <v>0</v>
      </c>
      <c r="AO73" s="331">
        <v>0</v>
      </c>
      <c r="AP73" s="331">
        <v>1469502</v>
      </c>
      <c r="AQ73" s="331">
        <v>0</v>
      </c>
      <c r="AR73" s="331">
        <v>1980</v>
      </c>
      <c r="AS73" s="331">
        <v>0</v>
      </c>
      <c r="AT73" s="331">
        <v>0</v>
      </c>
      <c r="AU73" s="331">
        <v>0</v>
      </c>
      <c r="AV73" s="331">
        <v>233801.78</v>
      </c>
      <c r="AW73" s="331">
        <v>0</v>
      </c>
      <c r="AX73" s="331">
        <v>0</v>
      </c>
      <c r="AY73" s="331">
        <v>0</v>
      </c>
      <c r="AZ73" s="331">
        <v>0</v>
      </c>
      <c r="BA73" s="331">
        <v>0</v>
      </c>
      <c r="BB73" s="331">
        <v>0</v>
      </c>
      <c r="BC73" s="331">
        <v>0</v>
      </c>
      <c r="BD73" s="331">
        <v>0</v>
      </c>
      <c r="BE73" s="331">
        <v>0</v>
      </c>
      <c r="BF73" s="331">
        <v>0</v>
      </c>
      <c r="BG73" s="331">
        <v>0</v>
      </c>
      <c r="BH73" s="331">
        <v>0</v>
      </c>
      <c r="BI73" s="331">
        <v>0</v>
      </c>
      <c r="BJ73" s="331">
        <v>0</v>
      </c>
      <c r="BK73" s="331">
        <v>0</v>
      </c>
      <c r="BL73" s="331">
        <v>0</v>
      </c>
      <c r="BM73" s="331">
        <v>0</v>
      </c>
      <c r="BN73" s="331">
        <v>11729</v>
      </c>
      <c r="BO73" s="331">
        <v>0</v>
      </c>
      <c r="BP73" s="331">
        <v>0</v>
      </c>
      <c r="BQ73" s="331">
        <v>0</v>
      </c>
      <c r="BR73" s="331">
        <v>0</v>
      </c>
      <c r="BS73" s="331">
        <v>0</v>
      </c>
      <c r="BT73" s="331">
        <v>0</v>
      </c>
      <c r="BU73" s="331">
        <v>0</v>
      </c>
      <c r="BV73" s="331">
        <v>0</v>
      </c>
      <c r="BW73" s="331">
        <v>0</v>
      </c>
      <c r="BX73" s="331">
        <v>0</v>
      </c>
      <c r="BY73" s="331">
        <v>0</v>
      </c>
      <c r="BZ73" s="331">
        <v>0</v>
      </c>
      <c r="CA73" s="331">
        <v>0</v>
      </c>
      <c r="CB73" s="331">
        <v>0</v>
      </c>
      <c r="CC73" s="331">
        <v>0</v>
      </c>
      <c r="CD73" s="331">
        <v>-156979</v>
      </c>
      <c r="CE73" s="28">
        <f t="shared" si="16"/>
        <v>1603060.78</v>
      </c>
    </row>
    <row r="74" spans="1:83" x14ac:dyDescent="0.35">
      <c r="A74" s="29" t="s">
        <v>274</v>
      </c>
      <c r="B74" s="30"/>
      <c r="C74" s="331">
        <v>30613</v>
      </c>
      <c r="D74" s="331">
        <v>0</v>
      </c>
      <c r="E74" s="331">
        <v>285190</v>
      </c>
      <c r="F74" s="331">
        <v>56727</v>
      </c>
      <c r="G74" s="331">
        <v>0</v>
      </c>
      <c r="H74" s="331">
        <v>16609</v>
      </c>
      <c r="I74" s="331">
        <v>0</v>
      </c>
      <c r="J74" s="331">
        <v>0</v>
      </c>
      <c r="K74" s="331">
        <v>0</v>
      </c>
      <c r="L74" s="331">
        <v>0</v>
      </c>
      <c r="M74" s="331">
        <v>0</v>
      </c>
      <c r="N74" s="331">
        <v>0</v>
      </c>
      <c r="O74" s="331">
        <v>77164</v>
      </c>
      <c r="P74" s="331">
        <v>173071</v>
      </c>
      <c r="Q74" s="331">
        <v>23957</v>
      </c>
      <c r="R74" s="331">
        <v>0</v>
      </c>
      <c r="S74" s="331">
        <v>9614</v>
      </c>
      <c r="T74" s="331">
        <v>0</v>
      </c>
      <c r="U74" s="331">
        <v>13</v>
      </c>
      <c r="V74" s="331">
        <v>0</v>
      </c>
      <c r="W74" s="331">
        <v>6231</v>
      </c>
      <c r="X74" s="331">
        <v>13323</v>
      </c>
      <c r="Y74" s="331">
        <v>35966</v>
      </c>
      <c r="Z74" s="331">
        <v>0</v>
      </c>
      <c r="AA74" s="331">
        <v>1713</v>
      </c>
      <c r="AB74" s="331">
        <v>988</v>
      </c>
      <c r="AC74" s="331">
        <v>0</v>
      </c>
      <c r="AD74" s="331">
        <v>0</v>
      </c>
      <c r="AE74" s="331">
        <v>4001</v>
      </c>
      <c r="AF74" s="331">
        <v>0</v>
      </c>
      <c r="AG74" s="331">
        <v>135009</v>
      </c>
      <c r="AH74" s="331">
        <v>0</v>
      </c>
      <c r="AI74" s="331">
        <v>0</v>
      </c>
      <c r="AJ74" s="331">
        <v>360</v>
      </c>
      <c r="AK74" s="331">
        <v>0</v>
      </c>
      <c r="AL74" s="331">
        <v>0</v>
      </c>
      <c r="AM74" s="331">
        <v>0</v>
      </c>
      <c r="AN74" s="331">
        <v>0</v>
      </c>
      <c r="AO74" s="331">
        <v>0</v>
      </c>
      <c r="AP74" s="331">
        <v>69955</v>
      </c>
      <c r="AQ74" s="331">
        <v>0</v>
      </c>
      <c r="AR74" s="331">
        <v>32539</v>
      </c>
      <c r="AS74" s="331">
        <v>0</v>
      </c>
      <c r="AT74" s="331">
        <v>0</v>
      </c>
      <c r="AU74" s="331">
        <v>0</v>
      </c>
      <c r="AV74" s="331">
        <v>13766</v>
      </c>
      <c r="AW74" s="331">
        <v>0</v>
      </c>
      <c r="AX74" s="331">
        <v>0</v>
      </c>
      <c r="AY74" s="331">
        <v>0</v>
      </c>
      <c r="AZ74" s="331">
        <v>0</v>
      </c>
      <c r="BA74" s="331">
        <v>1085956</v>
      </c>
      <c r="BB74" s="331">
        <v>0</v>
      </c>
      <c r="BC74" s="331">
        <v>0</v>
      </c>
      <c r="BD74" s="331">
        <v>0</v>
      </c>
      <c r="BE74" s="331">
        <v>6</v>
      </c>
      <c r="BF74" s="331">
        <v>2175</v>
      </c>
      <c r="BG74" s="331">
        <v>0</v>
      </c>
      <c r="BH74" s="331">
        <v>0</v>
      </c>
      <c r="BI74" s="331">
        <v>0</v>
      </c>
      <c r="BJ74" s="331">
        <v>0</v>
      </c>
      <c r="BK74" s="331">
        <v>0</v>
      </c>
      <c r="BL74" s="331">
        <v>0</v>
      </c>
      <c r="BM74" s="331">
        <v>0</v>
      </c>
      <c r="BN74" s="331">
        <v>0</v>
      </c>
      <c r="BO74" s="331">
        <v>0</v>
      </c>
      <c r="BP74" s="331">
        <v>0</v>
      </c>
      <c r="BQ74" s="331">
        <v>0</v>
      </c>
      <c r="BR74" s="331">
        <v>0</v>
      </c>
      <c r="BS74" s="331">
        <v>0</v>
      </c>
      <c r="BT74" s="331">
        <v>0</v>
      </c>
      <c r="BU74" s="331">
        <v>0</v>
      </c>
      <c r="BV74" s="331">
        <v>0</v>
      </c>
      <c r="BW74" s="331">
        <v>0</v>
      </c>
      <c r="BX74" s="331">
        <v>0</v>
      </c>
      <c r="BY74" s="331">
        <v>0</v>
      </c>
      <c r="BZ74" s="331">
        <v>0</v>
      </c>
      <c r="CA74" s="331">
        <v>0</v>
      </c>
      <c r="CB74" s="331">
        <v>0</v>
      </c>
      <c r="CC74" s="331">
        <v>64</v>
      </c>
      <c r="CD74" s="331">
        <v>0</v>
      </c>
      <c r="CE74" s="28">
        <f t="shared" si="16"/>
        <v>2075010</v>
      </c>
    </row>
    <row r="75" spans="1:83" x14ac:dyDescent="0.35">
      <c r="A75" s="29" t="s">
        <v>275</v>
      </c>
      <c r="B75" s="30"/>
      <c r="C75" s="331">
        <v>0</v>
      </c>
      <c r="D75" s="331">
        <v>0</v>
      </c>
      <c r="E75" s="331">
        <v>0</v>
      </c>
      <c r="F75" s="331">
        <v>0</v>
      </c>
      <c r="G75" s="331">
        <v>0</v>
      </c>
      <c r="H75" s="331">
        <v>0</v>
      </c>
      <c r="I75" s="331">
        <v>0</v>
      </c>
      <c r="J75" s="331">
        <v>0</v>
      </c>
      <c r="K75" s="331">
        <v>0</v>
      </c>
      <c r="L75" s="331">
        <v>0</v>
      </c>
      <c r="M75" s="331">
        <v>0</v>
      </c>
      <c r="N75" s="331">
        <v>0</v>
      </c>
      <c r="O75" s="331">
        <v>0</v>
      </c>
      <c r="P75" s="331">
        <v>28992</v>
      </c>
      <c r="Q75" s="331">
        <v>0</v>
      </c>
      <c r="R75" s="331">
        <v>0</v>
      </c>
      <c r="S75" s="331">
        <v>0</v>
      </c>
      <c r="T75" s="331">
        <v>0</v>
      </c>
      <c r="U75" s="331">
        <v>13319</v>
      </c>
      <c r="V75" s="331">
        <v>0</v>
      </c>
      <c r="W75" s="331">
        <v>0</v>
      </c>
      <c r="X75" s="331">
        <v>0</v>
      </c>
      <c r="Y75" s="331">
        <v>55745</v>
      </c>
      <c r="Z75" s="331">
        <v>0</v>
      </c>
      <c r="AA75" s="331">
        <v>0</v>
      </c>
      <c r="AB75" s="331">
        <v>0</v>
      </c>
      <c r="AC75" s="331">
        <v>0</v>
      </c>
      <c r="AD75" s="331">
        <v>0</v>
      </c>
      <c r="AE75" s="331">
        <v>0</v>
      </c>
      <c r="AF75" s="331">
        <v>0</v>
      </c>
      <c r="AG75" s="331">
        <v>0</v>
      </c>
      <c r="AH75" s="331">
        <v>0</v>
      </c>
      <c r="AI75" s="331">
        <v>0</v>
      </c>
      <c r="AJ75" s="331">
        <v>7490</v>
      </c>
      <c r="AK75" s="331">
        <v>0</v>
      </c>
      <c r="AL75" s="331">
        <v>0</v>
      </c>
      <c r="AM75" s="331">
        <v>0</v>
      </c>
      <c r="AN75" s="331">
        <v>0</v>
      </c>
      <c r="AO75" s="331">
        <v>0</v>
      </c>
      <c r="AP75" s="331">
        <v>252770</v>
      </c>
      <c r="AQ75" s="331">
        <v>0</v>
      </c>
      <c r="AR75" s="331">
        <v>57768</v>
      </c>
      <c r="AS75" s="331">
        <v>0</v>
      </c>
      <c r="AT75" s="331">
        <v>0</v>
      </c>
      <c r="AU75" s="331">
        <v>0</v>
      </c>
      <c r="AV75" s="331">
        <v>25333</v>
      </c>
      <c r="AW75" s="331">
        <v>0</v>
      </c>
      <c r="AX75" s="331">
        <v>0</v>
      </c>
      <c r="AY75" s="331">
        <v>0</v>
      </c>
      <c r="AZ75" s="331">
        <v>0</v>
      </c>
      <c r="BA75" s="331">
        <v>0</v>
      </c>
      <c r="BB75" s="331">
        <v>0</v>
      </c>
      <c r="BC75" s="331">
        <v>0</v>
      </c>
      <c r="BD75" s="331">
        <v>0</v>
      </c>
      <c r="BE75" s="331">
        <v>0</v>
      </c>
      <c r="BF75" s="331">
        <v>0</v>
      </c>
      <c r="BG75" s="331">
        <v>0</v>
      </c>
      <c r="BH75" s="331">
        <v>0</v>
      </c>
      <c r="BI75" s="331">
        <v>0</v>
      </c>
      <c r="BJ75" s="331">
        <v>336031</v>
      </c>
      <c r="BK75" s="331">
        <v>0</v>
      </c>
      <c r="BL75" s="331">
        <v>0</v>
      </c>
      <c r="BM75" s="331">
        <v>0</v>
      </c>
      <c r="BN75" s="331">
        <v>18844112</v>
      </c>
      <c r="BO75" s="331">
        <v>1440</v>
      </c>
      <c r="BP75" s="331">
        <v>0</v>
      </c>
      <c r="BQ75" s="331">
        <v>0</v>
      </c>
      <c r="BR75" s="331">
        <v>0</v>
      </c>
      <c r="BS75" s="331">
        <v>0</v>
      </c>
      <c r="BT75" s="331">
        <v>0</v>
      </c>
      <c r="BU75" s="331">
        <v>0</v>
      </c>
      <c r="BV75" s="331">
        <v>0</v>
      </c>
      <c r="BW75" s="331">
        <v>0</v>
      </c>
      <c r="BX75" s="331">
        <v>2198</v>
      </c>
      <c r="BY75" s="331">
        <v>0</v>
      </c>
      <c r="BZ75" s="331">
        <v>0</v>
      </c>
      <c r="CA75" s="331">
        <v>0</v>
      </c>
      <c r="CB75" s="331">
        <v>0</v>
      </c>
      <c r="CC75" s="331">
        <v>323845</v>
      </c>
      <c r="CD75" s="331">
        <v>2907604</v>
      </c>
      <c r="CE75" s="28">
        <f t="shared" si="16"/>
        <v>22856647</v>
      </c>
    </row>
    <row r="76" spans="1:83" x14ac:dyDescent="0.35">
      <c r="A76" s="29" t="s">
        <v>276</v>
      </c>
      <c r="B76" s="213"/>
      <c r="C76" s="331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331">
        <v>0</v>
      </c>
      <c r="U76" s="331">
        <v>1547988</v>
      </c>
      <c r="V76" s="331">
        <v>0</v>
      </c>
      <c r="W76" s="331">
        <v>0</v>
      </c>
      <c r="X76" s="331">
        <v>0</v>
      </c>
      <c r="Y76" s="331">
        <v>0</v>
      </c>
      <c r="Z76" s="331">
        <v>0</v>
      </c>
      <c r="AA76" s="331">
        <v>0</v>
      </c>
      <c r="AB76" s="331">
        <v>0</v>
      </c>
      <c r="AC76" s="331">
        <v>0</v>
      </c>
      <c r="AD76" s="331">
        <v>0</v>
      </c>
      <c r="AE76" s="331">
        <v>0</v>
      </c>
      <c r="AF76" s="331">
        <v>0</v>
      </c>
      <c r="AG76" s="331">
        <v>0</v>
      </c>
      <c r="AH76" s="331">
        <v>0</v>
      </c>
      <c r="AI76" s="331">
        <v>0</v>
      </c>
      <c r="AJ76" s="331">
        <v>0</v>
      </c>
      <c r="AK76" s="331">
        <v>0</v>
      </c>
      <c r="AL76" s="331">
        <v>0</v>
      </c>
      <c r="AM76" s="331">
        <v>0</v>
      </c>
      <c r="AN76" s="331">
        <v>0</v>
      </c>
      <c r="AO76" s="331">
        <v>0</v>
      </c>
      <c r="AP76" s="331">
        <v>0</v>
      </c>
      <c r="AQ76" s="331">
        <v>0</v>
      </c>
      <c r="AR76" s="331">
        <v>0</v>
      </c>
      <c r="AS76" s="331">
        <v>0</v>
      </c>
      <c r="AT76" s="331">
        <v>0</v>
      </c>
      <c r="AU76" s="331">
        <v>0</v>
      </c>
      <c r="AV76" s="331">
        <v>0</v>
      </c>
      <c r="AW76" s="331">
        <v>0</v>
      </c>
      <c r="AX76" s="331">
        <v>0</v>
      </c>
      <c r="AY76" s="331">
        <v>0</v>
      </c>
      <c r="AZ76" s="331">
        <v>0</v>
      </c>
      <c r="BA76" s="331">
        <v>0</v>
      </c>
      <c r="BB76" s="331">
        <v>0</v>
      </c>
      <c r="BC76" s="331">
        <v>0</v>
      </c>
      <c r="BD76" s="331">
        <v>0</v>
      </c>
      <c r="BE76" s="331">
        <v>0</v>
      </c>
      <c r="BF76" s="331">
        <v>0</v>
      </c>
      <c r="BG76" s="331">
        <v>0</v>
      </c>
      <c r="BH76" s="331">
        <v>0</v>
      </c>
      <c r="BI76" s="331">
        <v>0</v>
      </c>
      <c r="BJ76" s="331">
        <v>0</v>
      </c>
      <c r="BK76" s="331">
        <v>0</v>
      </c>
      <c r="BL76" s="331">
        <v>0</v>
      </c>
      <c r="BM76" s="331">
        <v>0</v>
      </c>
      <c r="BN76" s="331">
        <v>0</v>
      </c>
      <c r="BO76" s="331">
        <v>74653</v>
      </c>
      <c r="BP76" s="331">
        <v>0</v>
      </c>
      <c r="BQ76" s="331">
        <v>0</v>
      </c>
      <c r="BR76" s="331">
        <v>0</v>
      </c>
      <c r="BS76" s="331">
        <v>0</v>
      </c>
      <c r="BT76" s="331">
        <v>0</v>
      </c>
      <c r="BU76" s="331">
        <v>0</v>
      </c>
      <c r="BV76" s="331">
        <v>0</v>
      </c>
      <c r="BW76" s="331">
        <v>0</v>
      </c>
      <c r="BX76" s="331">
        <v>0</v>
      </c>
      <c r="BY76" s="331">
        <v>0</v>
      </c>
      <c r="BZ76" s="331">
        <v>0</v>
      </c>
      <c r="CA76" s="331">
        <v>0</v>
      </c>
      <c r="CB76" s="331">
        <v>0</v>
      </c>
      <c r="CC76" s="331">
        <v>0</v>
      </c>
      <c r="CD76" s="331">
        <v>0</v>
      </c>
      <c r="CE76" s="28">
        <f t="shared" si="16"/>
        <v>1622641</v>
      </c>
    </row>
    <row r="77" spans="1:83" x14ac:dyDescent="0.35">
      <c r="A77" s="29" t="s">
        <v>277</v>
      </c>
      <c r="B77" s="30"/>
      <c r="C77" s="331">
        <v>29595</v>
      </c>
      <c r="D77" s="331">
        <v>0</v>
      </c>
      <c r="E77" s="331">
        <v>11884</v>
      </c>
      <c r="F77" s="331">
        <v>1647</v>
      </c>
      <c r="G77" s="331">
        <v>0</v>
      </c>
      <c r="H77" s="331">
        <v>9313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0</v>
      </c>
      <c r="O77" s="331">
        <v>10840</v>
      </c>
      <c r="P77" s="331">
        <v>643182</v>
      </c>
      <c r="Q77" s="331">
        <v>439</v>
      </c>
      <c r="R77" s="331">
        <v>3492</v>
      </c>
      <c r="S77" s="331">
        <v>116131</v>
      </c>
      <c r="T77" s="331">
        <v>6492</v>
      </c>
      <c r="U77" s="331">
        <v>193568</v>
      </c>
      <c r="V77" s="331">
        <v>2438</v>
      </c>
      <c r="W77" s="331">
        <v>18035</v>
      </c>
      <c r="X77" s="331">
        <v>1786</v>
      </c>
      <c r="Y77" s="331">
        <v>142413</v>
      </c>
      <c r="Z77" s="331">
        <v>2686</v>
      </c>
      <c r="AA77" s="331">
        <v>1190</v>
      </c>
      <c r="AB77" s="331">
        <v>27978</v>
      </c>
      <c r="AC77" s="331">
        <v>22935</v>
      </c>
      <c r="AD77" s="331">
        <v>34</v>
      </c>
      <c r="AE77" s="331">
        <v>1973</v>
      </c>
      <c r="AF77" s="331">
        <v>0</v>
      </c>
      <c r="AG77" s="331">
        <v>8835</v>
      </c>
      <c r="AH77" s="331">
        <v>0</v>
      </c>
      <c r="AI77" s="331">
        <v>0</v>
      </c>
      <c r="AJ77" s="331">
        <v>141009</v>
      </c>
      <c r="AK77" s="331">
        <v>0</v>
      </c>
      <c r="AL77" s="331">
        <v>0</v>
      </c>
      <c r="AM77" s="331">
        <v>0</v>
      </c>
      <c r="AN77" s="331">
        <v>0</v>
      </c>
      <c r="AO77" s="331">
        <v>0</v>
      </c>
      <c r="AP77" s="331">
        <v>218557</v>
      </c>
      <c r="AQ77" s="331">
        <v>0</v>
      </c>
      <c r="AR77" s="331">
        <v>62973</v>
      </c>
      <c r="AS77" s="331">
        <v>0</v>
      </c>
      <c r="AT77" s="331">
        <v>0</v>
      </c>
      <c r="AU77" s="331">
        <v>0</v>
      </c>
      <c r="AV77" s="331">
        <v>35702</v>
      </c>
      <c r="AW77" s="331">
        <v>0</v>
      </c>
      <c r="AX77" s="331">
        <v>0</v>
      </c>
      <c r="AY77" s="331">
        <v>51314</v>
      </c>
      <c r="AZ77" s="331">
        <v>5651</v>
      </c>
      <c r="BA77" s="331">
        <v>0</v>
      </c>
      <c r="BB77" s="331">
        <v>0</v>
      </c>
      <c r="BC77" s="331">
        <v>0</v>
      </c>
      <c r="BD77" s="331">
        <v>1073</v>
      </c>
      <c r="BE77" s="331">
        <v>741384</v>
      </c>
      <c r="BF77" s="331">
        <v>5687</v>
      </c>
      <c r="BG77" s="331">
        <v>1124</v>
      </c>
      <c r="BH77" s="331">
        <v>196049</v>
      </c>
      <c r="BI77" s="331">
        <v>557</v>
      </c>
      <c r="BJ77" s="331">
        <v>721</v>
      </c>
      <c r="BK77" s="331">
        <v>0</v>
      </c>
      <c r="BL77" s="331">
        <v>0</v>
      </c>
      <c r="BM77" s="331">
        <v>0</v>
      </c>
      <c r="BN77" s="331">
        <v>126</v>
      </c>
      <c r="BO77" s="331">
        <v>44476</v>
      </c>
      <c r="BP77" s="331">
        <v>91</v>
      </c>
      <c r="BQ77" s="331">
        <v>0</v>
      </c>
      <c r="BR77" s="331">
        <v>0</v>
      </c>
      <c r="BS77" s="331">
        <v>0</v>
      </c>
      <c r="BT77" s="331">
        <v>0</v>
      </c>
      <c r="BU77" s="331">
        <v>0</v>
      </c>
      <c r="BV77" s="331">
        <v>0</v>
      </c>
      <c r="BW77" s="331">
        <v>0</v>
      </c>
      <c r="BX77" s="331">
        <v>836</v>
      </c>
      <c r="BY77" s="331">
        <v>1426</v>
      </c>
      <c r="BZ77" s="331">
        <v>0</v>
      </c>
      <c r="CA77" s="331">
        <v>0</v>
      </c>
      <c r="CB77" s="331">
        <v>0</v>
      </c>
      <c r="CC77" s="331">
        <v>93914</v>
      </c>
      <c r="CD77" s="331">
        <v>86535</v>
      </c>
      <c r="CE77" s="28">
        <f t="shared" si="16"/>
        <v>2946091</v>
      </c>
    </row>
    <row r="78" spans="1:83" x14ac:dyDescent="0.35">
      <c r="A78" s="29" t="s">
        <v>278</v>
      </c>
      <c r="B78" s="16"/>
      <c r="C78" s="331">
        <v>0</v>
      </c>
      <c r="D78" s="331">
        <v>0</v>
      </c>
      <c r="E78" s="331">
        <v>0</v>
      </c>
      <c r="F78" s="331">
        <v>0</v>
      </c>
      <c r="G78" s="331">
        <v>0</v>
      </c>
      <c r="H78" s="331">
        <v>0</v>
      </c>
      <c r="I78" s="331">
        <v>0</v>
      </c>
      <c r="J78" s="331">
        <v>0</v>
      </c>
      <c r="K78" s="331">
        <v>0</v>
      </c>
      <c r="L78" s="331">
        <v>0</v>
      </c>
      <c r="M78" s="331">
        <v>0</v>
      </c>
      <c r="N78" s="331">
        <v>0</v>
      </c>
      <c r="O78" s="331">
        <v>0</v>
      </c>
      <c r="P78" s="331">
        <v>0</v>
      </c>
      <c r="Q78" s="331">
        <v>0</v>
      </c>
      <c r="R78" s="331">
        <v>0</v>
      </c>
      <c r="S78" s="331">
        <v>0</v>
      </c>
      <c r="T78" s="331">
        <v>0</v>
      </c>
      <c r="U78" s="331">
        <v>0</v>
      </c>
      <c r="V78" s="331">
        <v>0</v>
      </c>
      <c r="W78" s="331">
        <v>0</v>
      </c>
      <c r="X78" s="331">
        <v>0</v>
      </c>
      <c r="Y78" s="331">
        <v>0</v>
      </c>
      <c r="Z78" s="331">
        <v>0</v>
      </c>
      <c r="AA78" s="331">
        <v>0</v>
      </c>
      <c r="AB78" s="331">
        <v>0</v>
      </c>
      <c r="AC78" s="331">
        <v>0</v>
      </c>
      <c r="AD78" s="331">
        <v>0</v>
      </c>
      <c r="AE78" s="331">
        <v>0</v>
      </c>
      <c r="AF78" s="331">
        <v>0</v>
      </c>
      <c r="AG78" s="331">
        <v>0</v>
      </c>
      <c r="AH78" s="331">
        <v>0</v>
      </c>
      <c r="AI78" s="331">
        <v>0</v>
      </c>
      <c r="AJ78" s="331">
        <v>0</v>
      </c>
      <c r="AK78" s="331">
        <v>0</v>
      </c>
      <c r="AL78" s="331">
        <v>0</v>
      </c>
      <c r="AM78" s="331">
        <v>0</v>
      </c>
      <c r="AN78" s="331">
        <v>0</v>
      </c>
      <c r="AO78" s="331">
        <v>0</v>
      </c>
      <c r="AP78" s="331">
        <v>0</v>
      </c>
      <c r="AQ78" s="331">
        <v>0</v>
      </c>
      <c r="AR78" s="331">
        <v>0</v>
      </c>
      <c r="AS78" s="331">
        <v>0</v>
      </c>
      <c r="AT78" s="331">
        <v>0</v>
      </c>
      <c r="AU78" s="331">
        <v>0</v>
      </c>
      <c r="AV78" s="331">
        <v>0</v>
      </c>
      <c r="AW78" s="331">
        <v>0</v>
      </c>
      <c r="AX78" s="331">
        <v>0</v>
      </c>
      <c r="AY78" s="331">
        <v>0</v>
      </c>
      <c r="AZ78" s="331">
        <v>0</v>
      </c>
      <c r="BA78" s="331">
        <v>0</v>
      </c>
      <c r="BB78" s="331">
        <v>0</v>
      </c>
      <c r="BC78" s="331">
        <v>0</v>
      </c>
      <c r="BD78" s="331">
        <v>0</v>
      </c>
      <c r="BE78" s="331">
        <v>0</v>
      </c>
      <c r="BF78" s="331">
        <v>0</v>
      </c>
      <c r="BG78" s="331">
        <v>0</v>
      </c>
      <c r="BH78" s="331">
        <v>0</v>
      </c>
      <c r="BI78" s="331">
        <v>0</v>
      </c>
      <c r="BJ78" s="331">
        <v>0</v>
      </c>
      <c r="BK78" s="331">
        <v>0</v>
      </c>
      <c r="BL78" s="331">
        <v>0</v>
      </c>
      <c r="BM78" s="331">
        <v>0</v>
      </c>
      <c r="BN78" s="331">
        <v>0</v>
      </c>
      <c r="BO78" s="331">
        <v>0</v>
      </c>
      <c r="BP78" s="331">
        <v>0</v>
      </c>
      <c r="BQ78" s="331">
        <v>0</v>
      </c>
      <c r="BR78" s="331">
        <v>0</v>
      </c>
      <c r="BS78" s="331">
        <v>0</v>
      </c>
      <c r="BT78" s="331">
        <v>0</v>
      </c>
      <c r="BU78" s="331">
        <v>0</v>
      </c>
      <c r="BV78" s="331">
        <v>0</v>
      </c>
      <c r="BW78" s="331">
        <v>0</v>
      </c>
      <c r="BX78" s="331">
        <v>0</v>
      </c>
      <c r="BY78" s="331">
        <v>0</v>
      </c>
      <c r="BZ78" s="331">
        <v>0</v>
      </c>
      <c r="CA78" s="331">
        <v>0</v>
      </c>
      <c r="CB78" s="331">
        <v>0</v>
      </c>
      <c r="CC78" s="331">
        <v>0</v>
      </c>
      <c r="CD78" s="331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31">
        <v>0</v>
      </c>
      <c r="D79" s="331">
        <v>0</v>
      </c>
      <c r="E79" s="331">
        <v>0</v>
      </c>
      <c r="F79" s="331">
        <v>0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31">
        <v>0</v>
      </c>
      <c r="N79" s="331">
        <v>0</v>
      </c>
      <c r="O79" s="331">
        <v>0</v>
      </c>
      <c r="P79" s="331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22528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31">
        <v>960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103</v>
      </c>
      <c r="BJ79" s="331">
        <v>0</v>
      </c>
      <c r="BK79" s="331">
        <v>0</v>
      </c>
      <c r="BL79" s="331">
        <v>0</v>
      </c>
      <c r="BM79" s="331">
        <v>0</v>
      </c>
      <c r="BN79" s="331">
        <v>58</v>
      </c>
      <c r="BO79" s="331">
        <v>0</v>
      </c>
      <c r="BP79" s="331">
        <v>0</v>
      </c>
      <c r="BQ79" s="331">
        <v>0</v>
      </c>
      <c r="BR79" s="331">
        <v>234627</v>
      </c>
      <c r="BS79" s="331">
        <v>0</v>
      </c>
      <c r="BT79" s="331">
        <v>0</v>
      </c>
      <c r="BU79" s="331">
        <v>0</v>
      </c>
      <c r="BV79" s="331">
        <v>0</v>
      </c>
      <c r="BW79" s="331">
        <v>18303</v>
      </c>
      <c r="BX79" s="331">
        <v>0</v>
      </c>
      <c r="BY79" s="331">
        <v>0</v>
      </c>
      <c r="BZ79" s="331">
        <v>0</v>
      </c>
      <c r="CA79" s="331">
        <v>0</v>
      </c>
      <c r="CB79" s="331">
        <v>0</v>
      </c>
      <c r="CC79" s="331">
        <v>0</v>
      </c>
      <c r="CD79" s="331">
        <v>139306</v>
      </c>
      <c r="CE79" s="28">
        <f t="shared" si="16"/>
        <v>415885</v>
      </c>
    </row>
    <row r="80" spans="1:83" x14ac:dyDescent="0.35">
      <c r="A80" s="29" t="s">
        <v>280</v>
      </c>
      <c r="B80" s="16"/>
      <c r="C80" s="331">
        <v>0</v>
      </c>
      <c r="D80" s="331">
        <v>0</v>
      </c>
      <c r="E80" s="331">
        <v>0</v>
      </c>
      <c r="F80" s="331">
        <v>0</v>
      </c>
      <c r="G80" s="331">
        <v>0</v>
      </c>
      <c r="H80" s="331">
        <v>0</v>
      </c>
      <c r="I80" s="331">
        <v>0</v>
      </c>
      <c r="J80" s="331">
        <v>0</v>
      </c>
      <c r="K80" s="331">
        <v>0</v>
      </c>
      <c r="L80" s="331">
        <v>0</v>
      </c>
      <c r="M80" s="331">
        <v>0</v>
      </c>
      <c r="N80" s="331">
        <v>0</v>
      </c>
      <c r="O80" s="331">
        <v>0</v>
      </c>
      <c r="P80" s="331">
        <v>0</v>
      </c>
      <c r="Q80" s="331">
        <v>0</v>
      </c>
      <c r="R80" s="331">
        <v>0</v>
      </c>
      <c r="S80" s="331">
        <v>0</v>
      </c>
      <c r="T80" s="331">
        <v>0</v>
      </c>
      <c r="U80" s="331">
        <v>0</v>
      </c>
      <c r="V80" s="331">
        <v>0</v>
      </c>
      <c r="W80" s="331">
        <v>0</v>
      </c>
      <c r="X80" s="331">
        <v>0</v>
      </c>
      <c r="Y80" s="331">
        <v>0</v>
      </c>
      <c r="Z80" s="331">
        <v>0</v>
      </c>
      <c r="AA80" s="331">
        <v>0</v>
      </c>
      <c r="AB80" s="331">
        <v>0</v>
      </c>
      <c r="AC80" s="331">
        <v>0</v>
      </c>
      <c r="AD80" s="331">
        <v>0</v>
      </c>
      <c r="AE80" s="331">
        <v>0</v>
      </c>
      <c r="AF80" s="331">
        <v>0</v>
      </c>
      <c r="AG80" s="331">
        <v>0</v>
      </c>
      <c r="AH80" s="331">
        <v>0</v>
      </c>
      <c r="AI80" s="331">
        <v>0</v>
      </c>
      <c r="AJ80" s="331">
        <v>0</v>
      </c>
      <c r="AK80" s="331">
        <v>0</v>
      </c>
      <c r="AL80" s="331">
        <v>0</v>
      </c>
      <c r="AM80" s="331">
        <v>0</v>
      </c>
      <c r="AN80" s="331">
        <v>0</v>
      </c>
      <c r="AO80" s="331">
        <v>0</v>
      </c>
      <c r="AP80" s="331">
        <v>0</v>
      </c>
      <c r="AQ80" s="331">
        <v>0</v>
      </c>
      <c r="AR80" s="331">
        <v>0</v>
      </c>
      <c r="AS80" s="331">
        <v>0</v>
      </c>
      <c r="AT80" s="331">
        <v>0</v>
      </c>
      <c r="AU80" s="331">
        <v>0</v>
      </c>
      <c r="AV80" s="331">
        <v>0</v>
      </c>
      <c r="AW80" s="331">
        <v>0</v>
      </c>
      <c r="AX80" s="331">
        <v>0</v>
      </c>
      <c r="AY80" s="331">
        <v>0</v>
      </c>
      <c r="AZ80" s="331">
        <v>0</v>
      </c>
      <c r="BA80" s="331">
        <v>0</v>
      </c>
      <c r="BB80" s="331">
        <v>0</v>
      </c>
      <c r="BC80" s="331">
        <v>0</v>
      </c>
      <c r="BD80" s="331">
        <v>0</v>
      </c>
      <c r="BE80" s="331">
        <v>0</v>
      </c>
      <c r="BF80" s="331">
        <v>0</v>
      </c>
      <c r="BG80" s="331">
        <v>0</v>
      </c>
      <c r="BH80" s="331">
        <v>0</v>
      </c>
      <c r="BI80" s="331">
        <v>0</v>
      </c>
      <c r="BJ80" s="331">
        <v>0</v>
      </c>
      <c r="BK80" s="331">
        <v>0</v>
      </c>
      <c r="BL80" s="331">
        <v>0</v>
      </c>
      <c r="BM80" s="331">
        <v>0</v>
      </c>
      <c r="BN80" s="331">
        <v>0</v>
      </c>
      <c r="BO80" s="331">
        <v>0</v>
      </c>
      <c r="BP80" s="331">
        <v>0</v>
      </c>
      <c r="BQ80" s="331">
        <v>0</v>
      </c>
      <c r="BR80" s="331">
        <v>0</v>
      </c>
      <c r="BS80" s="331">
        <v>0</v>
      </c>
      <c r="BT80" s="331">
        <v>0</v>
      </c>
      <c r="BU80" s="331">
        <v>0</v>
      </c>
      <c r="BV80" s="331">
        <v>0</v>
      </c>
      <c r="BW80" s="331">
        <v>0</v>
      </c>
      <c r="BX80" s="331">
        <v>0</v>
      </c>
      <c r="BY80" s="331">
        <v>0</v>
      </c>
      <c r="BZ80" s="331">
        <v>0</v>
      </c>
      <c r="CA80" s="331">
        <v>0</v>
      </c>
      <c r="CB80" s="331">
        <v>0</v>
      </c>
      <c r="CC80" s="331">
        <v>0</v>
      </c>
      <c r="CD80" s="331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331">
        <v>0</v>
      </c>
      <c r="D81" s="331">
        <v>0</v>
      </c>
      <c r="E81" s="331">
        <v>0</v>
      </c>
      <c r="F81" s="331">
        <v>0</v>
      </c>
      <c r="G81" s="331">
        <v>0</v>
      </c>
      <c r="H81" s="331">
        <v>0</v>
      </c>
      <c r="I81" s="331">
        <v>0</v>
      </c>
      <c r="J81" s="331">
        <v>0</v>
      </c>
      <c r="K81" s="331">
        <v>0</v>
      </c>
      <c r="L81" s="331">
        <v>0</v>
      </c>
      <c r="M81" s="331">
        <v>0</v>
      </c>
      <c r="N81" s="331">
        <v>0</v>
      </c>
      <c r="O81" s="331">
        <v>0</v>
      </c>
      <c r="P81" s="331">
        <v>28992</v>
      </c>
      <c r="Q81" s="331">
        <v>0</v>
      </c>
      <c r="R81" s="331">
        <v>0</v>
      </c>
      <c r="S81" s="331">
        <v>0</v>
      </c>
      <c r="T81" s="331">
        <v>0</v>
      </c>
      <c r="U81" s="331">
        <v>13319</v>
      </c>
      <c r="V81" s="331">
        <v>0</v>
      </c>
      <c r="W81" s="331">
        <v>0</v>
      </c>
      <c r="X81" s="331">
        <v>0</v>
      </c>
      <c r="Y81" s="331">
        <v>55745</v>
      </c>
      <c r="Z81" s="331">
        <v>0</v>
      </c>
      <c r="AA81" s="331">
        <v>0</v>
      </c>
      <c r="AB81" s="331">
        <v>0</v>
      </c>
      <c r="AC81" s="331">
        <v>0</v>
      </c>
      <c r="AD81" s="331">
        <v>0</v>
      </c>
      <c r="AE81" s="331">
        <v>0</v>
      </c>
      <c r="AF81" s="331">
        <v>0</v>
      </c>
      <c r="AG81" s="331">
        <v>0</v>
      </c>
      <c r="AH81" s="331">
        <v>0</v>
      </c>
      <c r="AI81" s="331">
        <v>0</v>
      </c>
      <c r="AJ81" s="331">
        <v>7490</v>
      </c>
      <c r="AK81" s="331">
        <v>0</v>
      </c>
      <c r="AL81" s="331">
        <v>0</v>
      </c>
      <c r="AM81" s="331">
        <v>0</v>
      </c>
      <c r="AN81" s="331">
        <v>0</v>
      </c>
      <c r="AO81" s="331">
        <v>0</v>
      </c>
      <c r="AP81" s="331">
        <v>249671</v>
      </c>
      <c r="AQ81" s="331">
        <v>0</v>
      </c>
      <c r="AR81" s="331">
        <v>57768</v>
      </c>
      <c r="AS81" s="331">
        <v>0</v>
      </c>
      <c r="AT81" s="331">
        <v>0</v>
      </c>
      <c r="AU81" s="331">
        <v>0</v>
      </c>
      <c r="AV81" s="331">
        <v>25333</v>
      </c>
      <c r="AW81" s="331">
        <v>0</v>
      </c>
      <c r="AX81" s="331">
        <v>0</v>
      </c>
      <c r="AY81" s="331">
        <v>0</v>
      </c>
      <c r="AZ81" s="331">
        <v>0</v>
      </c>
      <c r="BA81" s="331">
        <v>0</v>
      </c>
      <c r="BB81" s="331">
        <v>0</v>
      </c>
      <c r="BC81" s="331">
        <v>0</v>
      </c>
      <c r="BD81" s="331">
        <v>0</v>
      </c>
      <c r="BE81" s="331">
        <v>0</v>
      </c>
      <c r="BF81" s="331">
        <v>0</v>
      </c>
      <c r="BG81" s="331">
        <v>0</v>
      </c>
      <c r="BH81" s="331">
        <v>0</v>
      </c>
      <c r="BI81" s="331">
        <v>0</v>
      </c>
      <c r="BJ81" s="331">
        <v>-2368</v>
      </c>
      <c r="BK81" s="331">
        <v>0</v>
      </c>
      <c r="BL81" s="331">
        <v>0</v>
      </c>
      <c r="BM81" s="331">
        <v>0</v>
      </c>
      <c r="BN81" s="331">
        <v>9956427</v>
      </c>
      <c r="BO81" s="331">
        <v>0</v>
      </c>
      <c r="BP81" s="331">
        <v>0</v>
      </c>
      <c r="BQ81" s="331">
        <v>0</v>
      </c>
      <c r="BR81" s="331">
        <v>0</v>
      </c>
      <c r="BS81" s="331">
        <v>0</v>
      </c>
      <c r="BT81" s="331">
        <v>0</v>
      </c>
      <c r="BU81" s="331">
        <v>0</v>
      </c>
      <c r="BV81" s="331">
        <v>0</v>
      </c>
      <c r="BW81" s="331">
        <v>0</v>
      </c>
      <c r="BX81" s="331">
        <v>2198</v>
      </c>
      <c r="BY81" s="331">
        <v>0</v>
      </c>
      <c r="BZ81" s="331">
        <v>0</v>
      </c>
      <c r="CA81" s="331">
        <v>0</v>
      </c>
      <c r="CB81" s="331">
        <v>0</v>
      </c>
      <c r="CC81" s="331">
        <v>69326</v>
      </c>
      <c r="CD81" s="331">
        <v>2865271</v>
      </c>
      <c r="CE81" s="28">
        <f t="shared" si="16"/>
        <v>13329172</v>
      </c>
    </row>
    <row r="82" spans="1:84" x14ac:dyDescent="0.35">
      <c r="A82" s="29" t="s">
        <v>282</v>
      </c>
      <c r="B82" s="16"/>
      <c r="C82" s="331">
        <v>0</v>
      </c>
      <c r="D82" s="331">
        <v>0</v>
      </c>
      <c r="E82" s="331">
        <v>0</v>
      </c>
      <c r="F82" s="331">
        <v>0</v>
      </c>
      <c r="G82" s="331">
        <v>0</v>
      </c>
      <c r="H82" s="331">
        <v>0</v>
      </c>
      <c r="I82" s="331">
        <v>0</v>
      </c>
      <c r="J82" s="331">
        <v>0</v>
      </c>
      <c r="K82" s="331">
        <v>0</v>
      </c>
      <c r="L82" s="331">
        <v>0</v>
      </c>
      <c r="M82" s="331">
        <v>0</v>
      </c>
      <c r="N82" s="331">
        <v>0</v>
      </c>
      <c r="O82" s="331">
        <v>0</v>
      </c>
      <c r="P82" s="331">
        <v>0</v>
      </c>
      <c r="Q82" s="331">
        <v>0</v>
      </c>
      <c r="R82" s="331">
        <v>0</v>
      </c>
      <c r="S82" s="331">
        <v>0</v>
      </c>
      <c r="T82" s="331">
        <v>0</v>
      </c>
      <c r="U82" s="331">
        <v>0</v>
      </c>
      <c r="V82" s="331">
        <v>0</v>
      </c>
      <c r="W82" s="331">
        <v>0</v>
      </c>
      <c r="X82" s="331">
        <v>0</v>
      </c>
      <c r="Y82" s="331">
        <v>0</v>
      </c>
      <c r="Z82" s="331">
        <v>0</v>
      </c>
      <c r="AA82" s="331">
        <v>0</v>
      </c>
      <c r="AB82" s="331">
        <v>0</v>
      </c>
      <c r="AC82" s="331">
        <v>0</v>
      </c>
      <c r="AD82" s="331">
        <v>0</v>
      </c>
      <c r="AE82" s="331">
        <v>0</v>
      </c>
      <c r="AF82" s="331">
        <v>0</v>
      </c>
      <c r="AG82" s="331">
        <v>0</v>
      </c>
      <c r="AH82" s="331">
        <v>0</v>
      </c>
      <c r="AI82" s="331">
        <v>0</v>
      </c>
      <c r="AJ82" s="331">
        <v>0</v>
      </c>
      <c r="AK82" s="331">
        <v>0</v>
      </c>
      <c r="AL82" s="331">
        <v>0</v>
      </c>
      <c r="AM82" s="331">
        <v>0</v>
      </c>
      <c r="AN82" s="331">
        <v>0</v>
      </c>
      <c r="AO82" s="331">
        <v>0</v>
      </c>
      <c r="AP82" s="331">
        <v>0</v>
      </c>
      <c r="AQ82" s="331">
        <v>0</v>
      </c>
      <c r="AR82" s="331">
        <v>0</v>
      </c>
      <c r="AS82" s="331">
        <v>0</v>
      </c>
      <c r="AT82" s="331">
        <v>0</v>
      </c>
      <c r="AU82" s="331">
        <v>0</v>
      </c>
      <c r="AV82" s="331">
        <v>0</v>
      </c>
      <c r="AW82" s="331">
        <v>0</v>
      </c>
      <c r="AX82" s="331">
        <v>0</v>
      </c>
      <c r="AY82" s="331">
        <v>0</v>
      </c>
      <c r="AZ82" s="331">
        <v>0</v>
      </c>
      <c r="BA82" s="331">
        <v>0</v>
      </c>
      <c r="BB82" s="331">
        <v>0</v>
      </c>
      <c r="BC82" s="331">
        <v>0</v>
      </c>
      <c r="BD82" s="331">
        <v>0</v>
      </c>
      <c r="BE82" s="331">
        <v>0</v>
      </c>
      <c r="BF82" s="331">
        <v>0</v>
      </c>
      <c r="BG82" s="331">
        <v>0</v>
      </c>
      <c r="BH82" s="331">
        <v>0</v>
      </c>
      <c r="BI82" s="331">
        <v>0</v>
      </c>
      <c r="BJ82" s="331">
        <v>0</v>
      </c>
      <c r="BK82" s="331">
        <v>0</v>
      </c>
      <c r="BL82" s="331">
        <v>0</v>
      </c>
      <c r="BM82" s="331">
        <v>0</v>
      </c>
      <c r="BN82" s="331">
        <v>0</v>
      </c>
      <c r="BO82" s="331">
        <v>0</v>
      </c>
      <c r="BP82" s="331">
        <v>0</v>
      </c>
      <c r="BQ82" s="331">
        <v>0</v>
      </c>
      <c r="BR82" s="331">
        <v>0</v>
      </c>
      <c r="BS82" s="331">
        <v>0</v>
      </c>
      <c r="BT82" s="331">
        <v>0</v>
      </c>
      <c r="BU82" s="331">
        <v>0</v>
      </c>
      <c r="BV82" s="331">
        <v>0</v>
      </c>
      <c r="BW82" s="331">
        <v>0</v>
      </c>
      <c r="BX82" s="331">
        <v>0</v>
      </c>
      <c r="BY82" s="331">
        <v>0</v>
      </c>
      <c r="BZ82" s="331">
        <v>0</v>
      </c>
      <c r="CA82" s="331">
        <v>0</v>
      </c>
      <c r="CB82" s="331">
        <v>0</v>
      </c>
      <c r="CC82" s="331">
        <v>0</v>
      </c>
      <c r="CD82" s="331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321">
        <v>137107</v>
      </c>
      <c r="D83" s="321">
        <v>0</v>
      </c>
      <c r="E83" s="323">
        <v>33662.71</v>
      </c>
      <c r="F83" s="323">
        <v>39216</v>
      </c>
      <c r="G83" s="321">
        <v>0</v>
      </c>
      <c r="H83" s="321">
        <v>9969</v>
      </c>
      <c r="I83" s="323">
        <v>0</v>
      </c>
      <c r="J83" s="323">
        <v>0</v>
      </c>
      <c r="K83" s="323">
        <v>0</v>
      </c>
      <c r="L83" s="323">
        <v>0</v>
      </c>
      <c r="M83" s="321">
        <v>0</v>
      </c>
      <c r="N83" s="321">
        <v>0</v>
      </c>
      <c r="O83" s="321">
        <v>22221</v>
      </c>
      <c r="P83" s="323">
        <v>243527</v>
      </c>
      <c r="Q83" s="323">
        <v>146</v>
      </c>
      <c r="R83" s="324">
        <v>5554</v>
      </c>
      <c r="S83" s="323">
        <v>3710</v>
      </c>
      <c r="T83" s="321">
        <v>7600</v>
      </c>
      <c r="U83" s="323">
        <v>152995</v>
      </c>
      <c r="V83" s="323">
        <v>0</v>
      </c>
      <c r="W83" s="321">
        <v>180</v>
      </c>
      <c r="X83" s="323">
        <v>1336</v>
      </c>
      <c r="Y83" s="323">
        <v>143522</v>
      </c>
      <c r="Z83" s="323">
        <v>29423</v>
      </c>
      <c r="AA83" s="323">
        <v>17550</v>
      </c>
      <c r="AB83" s="323">
        <v>286162</v>
      </c>
      <c r="AC83" s="323">
        <v>4716</v>
      </c>
      <c r="AD83" s="323">
        <v>0</v>
      </c>
      <c r="AE83" s="323">
        <v>39936</v>
      </c>
      <c r="AF83" s="323">
        <v>0</v>
      </c>
      <c r="AG83" s="323">
        <v>8954</v>
      </c>
      <c r="AH83" s="323">
        <v>0</v>
      </c>
      <c r="AI83" s="323">
        <v>0</v>
      </c>
      <c r="AJ83" s="323">
        <v>627018</v>
      </c>
      <c r="AK83" s="323">
        <v>0</v>
      </c>
      <c r="AL83" s="323">
        <v>0</v>
      </c>
      <c r="AM83" s="323">
        <v>0</v>
      </c>
      <c r="AN83" s="323">
        <v>0</v>
      </c>
      <c r="AO83" s="321">
        <v>0</v>
      </c>
      <c r="AP83" s="323">
        <v>1519773</v>
      </c>
      <c r="AQ83" s="321">
        <v>0</v>
      </c>
      <c r="AR83" s="321">
        <v>287020</v>
      </c>
      <c r="AS83" s="321">
        <v>0</v>
      </c>
      <c r="AT83" s="321">
        <v>0</v>
      </c>
      <c r="AU83" s="323">
        <v>0</v>
      </c>
      <c r="AV83" s="323">
        <v>312526</v>
      </c>
      <c r="AW83" s="323">
        <v>0</v>
      </c>
      <c r="AX83" s="323">
        <v>0</v>
      </c>
      <c r="AY83" s="323">
        <v>18807</v>
      </c>
      <c r="AZ83" s="323">
        <v>179985</v>
      </c>
      <c r="BA83" s="323">
        <v>205</v>
      </c>
      <c r="BB83" s="323">
        <v>0</v>
      </c>
      <c r="BC83" s="323">
        <v>0</v>
      </c>
      <c r="BD83" s="323">
        <v>1771672</v>
      </c>
      <c r="BE83" s="323">
        <v>71379</v>
      </c>
      <c r="BF83" s="323">
        <v>1043324</v>
      </c>
      <c r="BG83" s="323">
        <v>189673</v>
      </c>
      <c r="BH83" s="324">
        <v>353604</v>
      </c>
      <c r="BI83" s="323">
        <v>113686</v>
      </c>
      <c r="BJ83" s="323">
        <v>22710</v>
      </c>
      <c r="BK83" s="323">
        <v>355069</v>
      </c>
      <c r="BL83" s="323">
        <v>462</v>
      </c>
      <c r="BM83" s="323">
        <v>10875</v>
      </c>
      <c r="BN83" s="323">
        <v>3825147</v>
      </c>
      <c r="BO83" s="323">
        <v>13311</v>
      </c>
      <c r="BP83" s="323">
        <v>69480</v>
      </c>
      <c r="BQ83" s="323">
        <v>0</v>
      </c>
      <c r="BR83" s="323">
        <v>11766</v>
      </c>
      <c r="BS83" s="323">
        <v>8733</v>
      </c>
      <c r="BT83" s="323">
        <v>712</v>
      </c>
      <c r="BU83" s="323">
        <v>0</v>
      </c>
      <c r="BV83" s="323">
        <v>20395</v>
      </c>
      <c r="BW83" s="323">
        <v>143943</v>
      </c>
      <c r="BX83" s="323">
        <v>316969</v>
      </c>
      <c r="BY83" s="323">
        <v>559</v>
      </c>
      <c r="BZ83" s="323">
        <v>1821</v>
      </c>
      <c r="CA83" s="323">
        <v>12626</v>
      </c>
      <c r="CB83" s="323">
        <v>0</v>
      </c>
      <c r="CC83" s="323">
        <v>2628553</v>
      </c>
      <c r="CD83" s="331">
        <v>-168445003</v>
      </c>
      <c r="CE83" s="28">
        <f t="shared" si="16"/>
        <v>-153325713.28999999</v>
      </c>
    </row>
    <row r="84" spans="1:84" x14ac:dyDescent="0.35">
      <c r="A84" s="35" t="s">
        <v>284</v>
      </c>
      <c r="B84" s="16"/>
      <c r="C84" s="321">
        <v>122462</v>
      </c>
      <c r="D84" s="321">
        <v>0</v>
      </c>
      <c r="E84" s="321">
        <v>1664</v>
      </c>
      <c r="F84" s="321">
        <v>37900</v>
      </c>
      <c r="G84" s="321">
        <v>0</v>
      </c>
      <c r="H84" s="321">
        <v>87235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11287</v>
      </c>
      <c r="P84" s="321">
        <v>6000</v>
      </c>
      <c r="Q84" s="321">
        <v>0</v>
      </c>
      <c r="R84" s="321">
        <v>0</v>
      </c>
      <c r="S84" s="321">
        <v>0</v>
      </c>
      <c r="T84" s="321">
        <v>0</v>
      </c>
      <c r="U84" s="321">
        <v>33322</v>
      </c>
      <c r="V84" s="321">
        <v>0</v>
      </c>
      <c r="W84" s="321">
        <v>0</v>
      </c>
      <c r="X84" s="321">
        <v>0</v>
      </c>
      <c r="Y84" s="321">
        <v>2283</v>
      </c>
      <c r="Z84" s="321">
        <v>47</v>
      </c>
      <c r="AA84" s="321">
        <v>0</v>
      </c>
      <c r="AB84" s="321">
        <v>236060</v>
      </c>
      <c r="AC84" s="321">
        <v>0</v>
      </c>
      <c r="AD84" s="321">
        <v>0</v>
      </c>
      <c r="AE84" s="321">
        <v>162298</v>
      </c>
      <c r="AF84" s="321">
        <v>0</v>
      </c>
      <c r="AG84" s="321">
        <v>72903</v>
      </c>
      <c r="AH84" s="321">
        <v>0</v>
      </c>
      <c r="AI84" s="321">
        <v>0</v>
      </c>
      <c r="AJ84" s="321">
        <v>605942</v>
      </c>
      <c r="AK84" s="321">
        <v>0</v>
      </c>
      <c r="AL84" s="321">
        <v>0</v>
      </c>
      <c r="AM84" s="321">
        <v>0</v>
      </c>
      <c r="AN84" s="321">
        <v>0</v>
      </c>
      <c r="AO84" s="321">
        <v>0</v>
      </c>
      <c r="AP84" s="321">
        <v>226096</v>
      </c>
      <c r="AQ84" s="321">
        <v>0</v>
      </c>
      <c r="AR84" s="321">
        <v>125706</v>
      </c>
      <c r="AS84" s="321">
        <v>0</v>
      </c>
      <c r="AT84" s="321">
        <v>0</v>
      </c>
      <c r="AU84" s="321">
        <v>0</v>
      </c>
      <c r="AV84" s="321">
        <v>6592838</v>
      </c>
      <c r="AW84" s="321">
        <v>0</v>
      </c>
      <c r="AX84" s="321">
        <v>0</v>
      </c>
      <c r="AY84" s="321">
        <v>3047</v>
      </c>
      <c r="AZ84" s="321">
        <v>2269848</v>
      </c>
      <c r="BA84" s="321">
        <v>0</v>
      </c>
      <c r="BB84" s="321">
        <v>0</v>
      </c>
      <c r="BC84" s="321">
        <v>0</v>
      </c>
      <c r="BD84" s="321">
        <v>67826</v>
      </c>
      <c r="BE84" s="321">
        <v>0</v>
      </c>
      <c r="BF84" s="321">
        <v>0</v>
      </c>
      <c r="BG84" s="321">
        <v>0</v>
      </c>
      <c r="BH84" s="321">
        <v>10</v>
      </c>
      <c r="BI84" s="321">
        <v>2342</v>
      </c>
      <c r="BJ84" s="321">
        <v>88185</v>
      </c>
      <c r="BK84" s="321">
        <v>55068</v>
      </c>
      <c r="BL84" s="321">
        <v>55</v>
      </c>
      <c r="BM84" s="321">
        <v>0</v>
      </c>
      <c r="BN84" s="321">
        <v>2516995</v>
      </c>
      <c r="BO84" s="321">
        <v>6205</v>
      </c>
      <c r="BP84" s="321">
        <v>0</v>
      </c>
      <c r="BQ84" s="321">
        <v>0</v>
      </c>
      <c r="BR84" s="321">
        <v>0</v>
      </c>
      <c r="BS84" s="321">
        <v>0</v>
      </c>
      <c r="BT84" s="321">
        <v>0</v>
      </c>
      <c r="BU84" s="321">
        <v>0</v>
      </c>
      <c r="BV84" s="321">
        <v>16020</v>
      </c>
      <c r="BW84" s="321">
        <v>138214</v>
      </c>
      <c r="BX84" s="321">
        <v>9000</v>
      </c>
      <c r="BY84" s="321">
        <v>0</v>
      </c>
      <c r="BZ84" s="321">
        <v>0</v>
      </c>
      <c r="CA84" s="321">
        <v>0</v>
      </c>
      <c r="CB84" s="321">
        <v>0</v>
      </c>
      <c r="CC84" s="321">
        <v>4929715</v>
      </c>
      <c r="CD84" s="331">
        <v>8813547</v>
      </c>
      <c r="CE84" s="28">
        <f t="shared" si="16"/>
        <v>27240120</v>
      </c>
    </row>
    <row r="85" spans="1:84" x14ac:dyDescent="0.35">
      <c r="A85" s="35" t="s">
        <v>285</v>
      </c>
      <c r="B85" s="28"/>
      <c r="C85" s="28">
        <f t="shared" ref="C85:AH85" si="17">SUM(C61:C69)-C84</f>
        <v>8925783</v>
      </c>
      <c r="D85" s="28">
        <f t="shared" si="17"/>
        <v>0</v>
      </c>
      <c r="E85" s="28">
        <f t="shared" si="17"/>
        <v>30271929.710000001</v>
      </c>
      <c r="F85" s="28">
        <f t="shared" si="17"/>
        <v>5986724</v>
      </c>
      <c r="G85" s="28">
        <f t="shared" si="17"/>
        <v>0</v>
      </c>
      <c r="H85" s="28">
        <f t="shared" si="17"/>
        <v>5780652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7279075</v>
      </c>
      <c r="P85" s="28">
        <f t="shared" si="17"/>
        <v>35996440</v>
      </c>
      <c r="Q85" s="28">
        <f t="shared" si="17"/>
        <v>6503304</v>
      </c>
      <c r="R85" s="28">
        <f t="shared" si="17"/>
        <v>478110</v>
      </c>
      <c r="S85" s="28">
        <f t="shared" si="17"/>
        <v>3144649</v>
      </c>
      <c r="T85" s="28">
        <f t="shared" si="17"/>
        <v>5946808</v>
      </c>
      <c r="U85" s="28">
        <f t="shared" si="17"/>
        <v>12655374</v>
      </c>
      <c r="V85" s="28">
        <f t="shared" si="17"/>
        <v>132111</v>
      </c>
      <c r="W85" s="28">
        <f t="shared" si="17"/>
        <v>1987618</v>
      </c>
      <c r="X85" s="28">
        <f t="shared" si="17"/>
        <v>2597874</v>
      </c>
      <c r="Y85" s="28">
        <f t="shared" si="17"/>
        <v>19781500</v>
      </c>
      <c r="Z85" s="28">
        <f t="shared" si="17"/>
        <v>3931815</v>
      </c>
      <c r="AA85" s="28">
        <f t="shared" si="17"/>
        <v>1323641</v>
      </c>
      <c r="AB85" s="28">
        <f t="shared" si="17"/>
        <v>19895283</v>
      </c>
      <c r="AC85" s="28">
        <f t="shared" si="17"/>
        <v>3224297</v>
      </c>
      <c r="AD85" s="28">
        <f t="shared" si="17"/>
        <v>1783639</v>
      </c>
      <c r="AE85" s="28">
        <f t="shared" si="17"/>
        <v>3498215</v>
      </c>
      <c r="AF85" s="28">
        <f t="shared" si="17"/>
        <v>0</v>
      </c>
      <c r="AG85" s="28">
        <f t="shared" si="17"/>
        <v>30896184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39418010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114996969</v>
      </c>
      <c r="AQ85" s="28">
        <f t="shared" si="18"/>
        <v>0</v>
      </c>
      <c r="AR85" s="28">
        <f t="shared" si="18"/>
        <v>13002919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34336187.780000001</v>
      </c>
      <c r="AW85" s="28">
        <f t="shared" si="18"/>
        <v>0</v>
      </c>
      <c r="AX85" s="28">
        <f t="shared" si="18"/>
        <v>0</v>
      </c>
      <c r="AY85" s="28">
        <f t="shared" si="18"/>
        <v>3024346</v>
      </c>
      <c r="AZ85" s="28">
        <f t="shared" si="18"/>
        <v>181400</v>
      </c>
      <c r="BA85" s="28">
        <f t="shared" si="18"/>
        <v>1886501.19</v>
      </c>
      <c r="BB85" s="28">
        <f t="shared" si="18"/>
        <v>0</v>
      </c>
      <c r="BC85" s="28">
        <f t="shared" si="18"/>
        <v>0</v>
      </c>
      <c r="BD85" s="28">
        <f t="shared" si="18"/>
        <v>3037618</v>
      </c>
      <c r="BE85" s="28">
        <f t="shared" si="18"/>
        <v>15815856</v>
      </c>
      <c r="BF85" s="28">
        <f t="shared" si="18"/>
        <v>4661806</v>
      </c>
      <c r="BG85" s="28">
        <f t="shared" si="18"/>
        <v>356549</v>
      </c>
      <c r="BH85" s="28">
        <f t="shared" si="18"/>
        <v>14854847</v>
      </c>
      <c r="BI85" s="28">
        <f t="shared" si="18"/>
        <v>2580902</v>
      </c>
      <c r="BJ85" s="28">
        <f t="shared" si="18"/>
        <v>1309671</v>
      </c>
      <c r="BK85" s="28">
        <f t="shared" si="18"/>
        <v>6373127</v>
      </c>
      <c r="BL85" s="28">
        <f t="shared" si="18"/>
        <v>4696969</v>
      </c>
      <c r="BM85" s="28">
        <f t="shared" si="18"/>
        <v>4612136</v>
      </c>
      <c r="BN85" s="28">
        <f t="shared" si="18"/>
        <v>35802782</v>
      </c>
      <c r="BO85" s="28">
        <f t="shared" ref="BO85:CD85" si="19">SUM(BO61:BO69)-BO84</f>
        <v>861743</v>
      </c>
      <c r="BP85" s="28">
        <f t="shared" si="19"/>
        <v>419575</v>
      </c>
      <c r="BQ85" s="28">
        <f t="shared" si="19"/>
        <v>0</v>
      </c>
      <c r="BR85" s="28">
        <f t="shared" si="19"/>
        <v>4206584</v>
      </c>
      <c r="BS85" s="28">
        <f t="shared" si="19"/>
        <v>115849</v>
      </c>
      <c r="BT85" s="28">
        <f t="shared" si="19"/>
        <v>195637</v>
      </c>
      <c r="BU85" s="28">
        <f t="shared" si="19"/>
        <v>0</v>
      </c>
      <c r="BV85" s="28">
        <f t="shared" si="19"/>
        <v>5206085</v>
      </c>
      <c r="BW85" s="28">
        <f t="shared" si="19"/>
        <v>632424</v>
      </c>
      <c r="BX85" s="28">
        <f t="shared" si="19"/>
        <v>8359134</v>
      </c>
      <c r="BY85" s="28">
        <f t="shared" si="19"/>
        <v>1532667</v>
      </c>
      <c r="BZ85" s="28">
        <f t="shared" si="19"/>
        <v>3658944</v>
      </c>
      <c r="CA85" s="28">
        <f t="shared" si="19"/>
        <v>367245</v>
      </c>
      <c r="CB85" s="28">
        <f t="shared" si="19"/>
        <v>0</v>
      </c>
      <c r="CC85" s="28">
        <f t="shared" si="19"/>
        <v>10619484</v>
      </c>
      <c r="CD85" s="28">
        <f t="shared" si="19"/>
        <v>-171359897.15000001</v>
      </c>
      <c r="CE85" s="28">
        <f t="shared" si="16"/>
        <v>377785095.53000009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1">
        <v>0</v>
      </c>
    </row>
    <row r="87" spans="1:84" x14ac:dyDescent="0.35">
      <c r="A87" s="22" t="s">
        <v>287</v>
      </c>
      <c r="B87" s="16"/>
      <c r="C87" s="321">
        <v>30892760</v>
      </c>
      <c r="D87" s="321">
        <v>0</v>
      </c>
      <c r="E87" s="321">
        <v>147718026</v>
      </c>
      <c r="F87" s="321">
        <v>27309691</v>
      </c>
      <c r="G87" s="321">
        <v>0</v>
      </c>
      <c r="H87" s="321">
        <v>25805668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0</v>
      </c>
      <c r="O87" s="321">
        <v>17497582</v>
      </c>
      <c r="P87" s="321">
        <v>30023608</v>
      </c>
      <c r="Q87" s="321">
        <v>2351547</v>
      </c>
      <c r="R87" s="321">
        <v>1503892</v>
      </c>
      <c r="S87" s="321">
        <v>-50</v>
      </c>
      <c r="T87" s="321">
        <v>1512289</v>
      </c>
      <c r="U87" s="321">
        <v>46352571</v>
      </c>
      <c r="V87" s="321">
        <v>3161469</v>
      </c>
      <c r="W87" s="321">
        <v>3027386</v>
      </c>
      <c r="X87" s="321">
        <v>26523275</v>
      </c>
      <c r="Y87" s="321">
        <v>33590364</v>
      </c>
      <c r="Z87" s="321">
        <v>252021</v>
      </c>
      <c r="AA87" s="321">
        <v>197467</v>
      </c>
      <c r="AB87" s="321">
        <v>39228897</v>
      </c>
      <c r="AC87" s="321">
        <v>17905762</v>
      </c>
      <c r="AD87" s="321">
        <v>3645702</v>
      </c>
      <c r="AE87" s="321">
        <v>4067405</v>
      </c>
      <c r="AF87" s="321">
        <v>0</v>
      </c>
      <c r="AG87" s="321">
        <v>44122370</v>
      </c>
      <c r="AH87" s="321">
        <v>0</v>
      </c>
      <c r="AI87" s="321">
        <v>0</v>
      </c>
      <c r="AJ87" s="321">
        <v>1040150</v>
      </c>
      <c r="AK87" s="321">
        <v>0</v>
      </c>
      <c r="AL87" s="321">
        <v>0</v>
      </c>
      <c r="AM87" s="321">
        <v>0</v>
      </c>
      <c r="AN87" s="321">
        <v>0</v>
      </c>
      <c r="AO87" s="321">
        <v>0</v>
      </c>
      <c r="AP87" s="321">
        <v>17390819</v>
      </c>
      <c r="AQ87" s="321">
        <v>0</v>
      </c>
      <c r="AR87" s="321">
        <v>0</v>
      </c>
      <c r="AS87" s="321">
        <v>0</v>
      </c>
      <c r="AT87" s="321">
        <v>0</v>
      </c>
      <c r="AU87" s="321">
        <v>0</v>
      </c>
      <c r="AV87" s="321">
        <v>20548514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545669185</v>
      </c>
    </row>
    <row r="88" spans="1:84" x14ac:dyDescent="0.35">
      <c r="A88" s="22" t="s">
        <v>288</v>
      </c>
      <c r="B88" s="16"/>
      <c r="C88" s="321">
        <v>820915</v>
      </c>
      <c r="D88" s="321">
        <v>0</v>
      </c>
      <c r="E88" s="321">
        <v>12184065</v>
      </c>
      <c r="F88" s="321">
        <v>477914</v>
      </c>
      <c r="G88" s="321">
        <v>0</v>
      </c>
      <c r="H88" s="321">
        <v>27881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v>1205077</v>
      </c>
      <c r="P88" s="321">
        <v>129528817</v>
      </c>
      <c r="Q88" s="321">
        <v>10226431</v>
      </c>
      <c r="R88" s="321">
        <v>5429197</v>
      </c>
      <c r="S88" s="321">
        <v>50</v>
      </c>
      <c r="T88" s="321">
        <v>642838</v>
      </c>
      <c r="U88" s="321">
        <v>86125119</v>
      </c>
      <c r="V88" s="321">
        <v>6152195</v>
      </c>
      <c r="W88" s="321">
        <v>33688829</v>
      </c>
      <c r="X88" s="321">
        <v>83461265</v>
      </c>
      <c r="Y88" s="321">
        <v>106712674</v>
      </c>
      <c r="Z88" s="321">
        <v>24039612</v>
      </c>
      <c r="AA88" s="321">
        <v>8863252</v>
      </c>
      <c r="AB88" s="321">
        <v>39175624</v>
      </c>
      <c r="AC88" s="321">
        <v>5295575</v>
      </c>
      <c r="AD88" s="321">
        <v>165015</v>
      </c>
      <c r="AE88" s="321">
        <v>2942134</v>
      </c>
      <c r="AF88" s="321">
        <v>0</v>
      </c>
      <c r="AG88" s="321">
        <v>177788901</v>
      </c>
      <c r="AH88" s="321">
        <v>0</v>
      </c>
      <c r="AI88" s="321">
        <v>0</v>
      </c>
      <c r="AJ88" s="321">
        <v>190216286</v>
      </c>
      <c r="AK88" s="321">
        <v>0</v>
      </c>
      <c r="AL88" s="321">
        <v>0</v>
      </c>
      <c r="AM88" s="321">
        <v>0</v>
      </c>
      <c r="AN88" s="321">
        <v>0</v>
      </c>
      <c r="AO88" s="321">
        <v>0</v>
      </c>
      <c r="AP88" s="321">
        <v>262834691</v>
      </c>
      <c r="AQ88" s="321">
        <v>0</v>
      </c>
      <c r="AR88" s="321">
        <v>25425180</v>
      </c>
      <c r="AS88" s="321">
        <v>0</v>
      </c>
      <c r="AT88" s="321">
        <v>0</v>
      </c>
      <c r="AU88" s="321">
        <v>0</v>
      </c>
      <c r="AV88" s="321">
        <v>31262205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1244691742</v>
      </c>
    </row>
    <row r="89" spans="1:84" x14ac:dyDescent="0.35">
      <c r="A89" s="22" t="s">
        <v>289</v>
      </c>
      <c r="B89" s="16"/>
      <c r="C89" s="28">
        <f t="shared" ref="C89:AV89" si="21">C87+C88</f>
        <v>31713675</v>
      </c>
      <c r="D89" s="28">
        <f t="shared" si="21"/>
        <v>0</v>
      </c>
      <c r="E89" s="28">
        <f t="shared" si="21"/>
        <v>159902091</v>
      </c>
      <c r="F89" s="28">
        <f t="shared" si="21"/>
        <v>27787605</v>
      </c>
      <c r="G89" s="28">
        <f t="shared" si="21"/>
        <v>0</v>
      </c>
      <c r="H89" s="28">
        <f t="shared" si="21"/>
        <v>25833549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18702659</v>
      </c>
      <c r="P89" s="28">
        <f t="shared" si="21"/>
        <v>159552425</v>
      </c>
      <c r="Q89" s="28">
        <f t="shared" si="21"/>
        <v>12577978</v>
      </c>
      <c r="R89" s="28">
        <f t="shared" si="21"/>
        <v>6933089</v>
      </c>
      <c r="S89" s="28">
        <f t="shared" si="21"/>
        <v>0</v>
      </c>
      <c r="T89" s="28">
        <f t="shared" si="21"/>
        <v>2155127</v>
      </c>
      <c r="U89" s="28">
        <f t="shared" si="21"/>
        <v>132477690</v>
      </c>
      <c r="V89" s="28">
        <f t="shared" si="21"/>
        <v>9313664</v>
      </c>
      <c r="W89" s="28">
        <f t="shared" si="21"/>
        <v>36716215</v>
      </c>
      <c r="X89" s="28">
        <f t="shared" si="21"/>
        <v>109984540</v>
      </c>
      <c r="Y89" s="28">
        <f t="shared" si="21"/>
        <v>140303038</v>
      </c>
      <c r="Z89" s="28">
        <f t="shared" si="21"/>
        <v>24291633</v>
      </c>
      <c r="AA89" s="28">
        <f t="shared" si="21"/>
        <v>9060719</v>
      </c>
      <c r="AB89" s="28">
        <f t="shared" si="21"/>
        <v>78404521</v>
      </c>
      <c r="AC89" s="28">
        <f t="shared" si="21"/>
        <v>23201337</v>
      </c>
      <c r="AD89" s="28">
        <f t="shared" si="21"/>
        <v>3810717</v>
      </c>
      <c r="AE89" s="28">
        <f t="shared" si="21"/>
        <v>7009539</v>
      </c>
      <c r="AF89" s="28">
        <f t="shared" si="21"/>
        <v>0</v>
      </c>
      <c r="AG89" s="28">
        <f t="shared" si="21"/>
        <v>221911271</v>
      </c>
      <c r="AH89" s="28">
        <f t="shared" si="21"/>
        <v>0</v>
      </c>
      <c r="AI89" s="28">
        <f t="shared" si="21"/>
        <v>0</v>
      </c>
      <c r="AJ89" s="28">
        <f t="shared" si="21"/>
        <v>191256436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280225510</v>
      </c>
      <c r="AQ89" s="28">
        <f t="shared" si="21"/>
        <v>0</v>
      </c>
      <c r="AR89" s="28">
        <f t="shared" si="21"/>
        <v>25425180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51810719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1790360927</v>
      </c>
    </row>
    <row r="90" spans="1:84" x14ac:dyDescent="0.35">
      <c r="A90" s="35" t="s">
        <v>290</v>
      </c>
      <c r="B90" s="28"/>
      <c r="C90" s="321">
        <v>11357</v>
      </c>
      <c r="D90" s="321">
        <v>0</v>
      </c>
      <c r="E90" s="321">
        <v>63645</v>
      </c>
      <c r="F90" s="321">
        <v>18753</v>
      </c>
      <c r="G90" s="321">
        <v>0</v>
      </c>
      <c r="H90" s="321">
        <v>13336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1">
        <v>10598</v>
      </c>
      <c r="P90" s="321">
        <v>42665</v>
      </c>
      <c r="Q90" s="321">
        <v>3129</v>
      </c>
      <c r="R90" s="321">
        <v>626</v>
      </c>
      <c r="S90" s="321">
        <v>34343</v>
      </c>
      <c r="T90" s="321">
        <v>292</v>
      </c>
      <c r="U90" s="321">
        <v>11821</v>
      </c>
      <c r="V90" s="321">
        <v>226</v>
      </c>
      <c r="W90" s="321">
        <v>2276</v>
      </c>
      <c r="X90" s="321">
        <v>2391</v>
      </c>
      <c r="Y90" s="321">
        <v>40446</v>
      </c>
      <c r="Z90" s="321">
        <v>12695</v>
      </c>
      <c r="AA90" s="321">
        <v>2288</v>
      </c>
      <c r="AB90" s="321">
        <v>10303</v>
      </c>
      <c r="AC90" s="321">
        <v>3076</v>
      </c>
      <c r="AD90" s="321">
        <v>267</v>
      </c>
      <c r="AE90" s="321">
        <v>11031</v>
      </c>
      <c r="AF90" s="321">
        <v>0</v>
      </c>
      <c r="AG90" s="321">
        <v>20644</v>
      </c>
      <c r="AH90" s="321">
        <v>0</v>
      </c>
      <c r="AI90" s="321">
        <v>0</v>
      </c>
      <c r="AJ90" s="321">
        <v>16982</v>
      </c>
      <c r="AK90" s="321">
        <v>0</v>
      </c>
      <c r="AL90" s="321">
        <v>0</v>
      </c>
      <c r="AM90" s="321">
        <v>0</v>
      </c>
      <c r="AN90" s="321">
        <v>0</v>
      </c>
      <c r="AO90" s="321">
        <v>0</v>
      </c>
      <c r="AP90" s="321">
        <v>172950</v>
      </c>
      <c r="AQ90" s="321">
        <v>0</v>
      </c>
      <c r="AR90" s="321">
        <v>26125</v>
      </c>
      <c r="AS90" s="321">
        <v>0</v>
      </c>
      <c r="AT90" s="321">
        <v>0</v>
      </c>
      <c r="AU90" s="321">
        <v>0</v>
      </c>
      <c r="AV90" s="321">
        <v>10888</v>
      </c>
      <c r="AW90" s="321">
        <v>0</v>
      </c>
      <c r="AX90" s="321">
        <v>0</v>
      </c>
      <c r="AY90" s="321">
        <v>6631</v>
      </c>
      <c r="AZ90" s="321">
        <v>5471</v>
      </c>
      <c r="BA90" s="321">
        <v>2626</v>
      </c>
      <c r="BB90" s="321">
        <v>0</v>
      </c>
      <c r="BC90" s="321">
        <v>0</v>
      </c>
      <c r="BD90" s="321">
        <v>6662</v>
      </c>
      <c r="BE90" s="321">
        <v>426711</v>
      </c>
      <c r="BF90" s="321">
        <v>1419</v>
      </c>
      <c r="BG90" s="321">
        <v>196</v>
      </c>
      <c r="BH90" s="321">
        <v>6332</v>
      </c>
      <c r="BI90" s="321">
        <v>951</v>
      </c>
      <c r="BJ90" s="321">
        <v>3309</v>
      </c>
      <c r="BK90" s="321">
        <v>8469</v>
      </c>
      <c r="BL90" s="321">
        <v>3941</v>
      </c>
      <c r="BM90" s="321">
        <v>2249</v>
      </c>
      <c r="BN90" s="321">
        <v>1763</v>
      </c>
      <c r="BO90" s="321">
        <v>2514</v>
      </c>
      <c r="BP90" s="321">
        <v>3702</v>
      </c>
      <c r="BQ90" s="321">
        <v>0</v>
      </c>
      <c r="BR90" s="321">
        <v>3550</v>
      </c>
      <c r="BS90" s="321">
        <v>506</v>
      </c>
      <c r="BT90" s="321">
        <v>299</v>
      </c>
      <c r="BU90" s="321">
        <v>0</v>
      </c>
      <c r="BV90" s="321">
        <v>3702</v>
      </c>
      <c r="BW90" s="321">
        <v>1737</v>
      </c>
      <c r="BX90" s="321">
        <v>4254</v>
      </c>
      <c r="BY90" s="321">
        <v>300</v>
      </c>
      <c r="BZ90" s="321">
        <v>423</v>
      </c>
      <c r="CA90" s="321">
        <v>1583</v>
      </c>
      <c r="CB90" s="321">
        <v>0</v>
      </c>
      <c r="CC90" s="321">
        <v>18344</v>
      </c>
      <c r="CD90" s="235" t="s">
        <v>248</v>
      </c>
      <c r="CE90" s="28">
        <f t="shared" si="20"/>
        <v>1060797</v>
      </c>
      <c r="CF90" s="28">
        <f>BE59-CE90</f>
        <v>0</v>
      </c>
    </row>
    <row r="91" spans="1:84" x14ac:dyDescent="0.35">
      <c r="A91" s="22" t="s">
        <v>291</v>
      </c>
      <c r="B91" s="16"/>
      <c r="C91" s="321">
        <v>2451</v>
      </c>
      <c r="D91" s="321">
        <v>0</v>
      </c>
      <c r="E91" s="321">
        <v>136410</v>
      </c>
      <c r="F91" s="321">
        <v>12546</v>
      </c>
      <c r="G91" s="321">
        <v>0</v>
      </c>
      <c r="H91" s="321">
        <v>20620</v>
      </c>
      <c r="I91" s="321">
        <v>0</v>
      </c>
      <c r="J91" s="321">
        <v>0</v>
      </c>
      <c r="K91" s="321">
        <v>0</v>
      </c>
      <c r="L91" s="321">
        <v>0</v>
      </c>
      <c r="M91" s="321">
        <v>0</v>
      </c>
      <c r="N91" s="321">
        <v>0</v>
      </c>
      <c r="O91" s="321">
        <v>0</v>
      </c>
      <c r="P91" s="321">
        <v>196</v>
      </c>
      <c r="Q91" s="321">
        <v>166</v>
      </c>
      <c r="R91" s="321">
        <v>0</v>
      </c>
      <c r="S91" s="321">
        <v>0</v>
      </c>
      <c r="T91" s="321">
        <v>0</v>
      </c>
      <c r="U91" s="321">
        <v>0</v>
      </c>
      <c r="V91" s="321">
        <v>0</v>
      </c>
      <c r="W91" s="321">
        <v>0</v>
      </c>
      <c r="X91" s="321">
        <v>0</v>
      </c>
      <c r="Y91" s="321">
        <v>1125</v>
      </c>
      <c r="Z91" s="321">
        <v>0</v>
      </c>
      <c r="AA91" s="321">
        <v>0</v>
      </c>
      <c r="AB91" s="321">
        <v>0</v>
      </c>
      <c r="AC91" s="321">
        <v>0</v>
      </c>
      <c r="AD91" s="321">
        <v>0</v>
      </c>
      <c r="AE91" s="321">
        <v>0</v>
      </c>
      <c r="AF91" s="321">
        <v>0</v>
      </c>
      <c r="AG91" s="321">
        <v>9367</v>
      </c>
      <c r="AH91" s="321">
        <v>0</v>
      </c>
      <c r="AI91" s="321">
        <v>0</v>
      </c>
      <c r="AJ91" s="321">
        <v>0</v>
      </c>
      <c r="AK91" s="321">
        <v>0</v>
      </c>
      <c r="AL91" s="321">
        <v>0</v>
      </c>
      <c r="AM91" s="321">
        <v>0</v>
      </c>
      <c r="AN91" s="321">
        <v>0</v>
      </c>
      <c r="AO91" s="321">
        <v>0</v>
      </c>
      <c r="AP91" s="321">
        <v>0</v>
      </c>
      <c r="AQ91" s="321">
        <v>0</v>
      </c>
      <c r="AR91" s="321">
        <v>1249</v>
      </c>
      <c r="AS91" s="321">
        <v>0</v>
      </c>
      <c r="AT91" s="321">
        <v>0</v>
      </c>
      <c r="AU91" s="321">
        <v>0</v>
      </c>
      <c r="AV91" s="321">
        <v>0</v>
      </c>
      <c r="AW91" s="321">
        <v>0</v>
      </c>
      <c r="AX91" s="286" t="s">
        <v>248</v>
      </c>
      <c r="AY91" s="286" t="s">
        <v>248</v>
      </c>
      <c r="AZ91" s="321">
        <v>0</v>
      </c>
      <c r="BA91" s="321">
        <v>0</v>
      </c>
      <c r="BB91" s="321">
        <v>0</v>
      </c>
      <c r="BC91" s="321">
        <v>0</v>
      </c>
      <c r="BD91" s="25" t="s">
        <v>248</v>
      </c>
      <c r="BE91" s="25" t="s">
        <v>248</v>
      </c>
      <c r="BF91" s="321">
        <v>0</v>
      </c>
      <c r="BG91" s="25" t="s">
        <v>248</v>
      </c>
      <c r="BH91" s="321">
        <v>0</v>
      </c>
      <c r="BI91" s="321">
        <v>0</v>
      </c>
      <c r="BJ91" s="25" t="s">
        <v>248</v>
      </c>
      <c r="BK91" s="321">
        <v>0</v>
      </c>
      <c r="BL91" s="321">
        <v>0</v>
      </c>
      <c r="BM91" s="321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1">
        <v>0</v>
      </c>
      <c r="BS91" s="321">
        <v>0</v>
      </c>
      <c r="BT91" s="321">
        <v>0</v>
      </c>
      <c r="BU91" s="321">
        <v>0</v>
      </c>
      <c r="BV91" s="321">
        <v>0</v>
      </c>
      <c r="BW91" s="321">
        <v>0</v>
      </c>
      <c r="BX91" s="321">
        <v>0</v>
      </c>
      <c r="BY91" s="321">
        <v>0</v>
      </c>
      <c r="BZ91" s="321">
        <v>0</v>
      </c>
      <c r="CA91" s="321">
        <v>0</v>
      </c>
      <c r="CB91" s="321">
        <v>0</v>
      </c>
      <c r="CC91" s="25" t="s">
        <v>248</v>
      </c>
      <c r="CD91" s="25" t="s">
        <v>248</v>
      </c>
      <c r="CE91" s="28">
        <f t="shared" si="20"/>
        <v>184130</v>
      </c>
      <c r="CF91" s="28">
        <f>AY59-CE91</f>
        <v>0</v>
      </c>
    </row>
    <row r="92" spans="1:84" x14ac:dyDescent="0.35">
      <c r="A92" s="22" t="s">
        <v>292</v>
      </c>
      <c r="B92" s="16"/>
      <c r="C92" s="321">
        <v>4004</v>
      </c>
      <c r="D92" s="321">
        <v>0</v>
      </c>
      <c r="E92" s="321">
        <v>20800</v>
      </c>
      <c r="F92" s="321">
        <v>5408</v>
      </c>
      <c r="G92" s="321">
        <v>0</v>
      </c>
      <c r="H92" s="321">
        <v>2496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v>5408</v>
      </c>
      <c r="P92" s="321">
        <v>9867</v>
      </c>
      <c r="Q92" s="321">
        <v>884</v>
      </c>
      <c r="R92" s="321">
        <v>91</v>
      </c>
      <c r="S92" s="321">
        <v>3042</v>
      </c>
      <c r="T92" s="321">
        <v>26</v>
      </c>
      <c r="U92" s="321">
        <v>1261</v>
      </c>
      <c r="V92" s="321">
        <v>637</v>
      </c>
      <c r="W92" s="321">
        <v>195</v>
      </c>
      <c r="X92" s="321">
        <v>377</v>
      </c>
      <c r="Y92" s="321">
        <v>7631</v>
      </c>
      <c r="Z92" s="321">
        <v>2132</v>
      </c>
      <c r="AA92" s="321">
        <v>1326</v>
      </c>
      <c r="AB92" s="321">
        <v>1339</v>
      </c>
      <c r="AC92" s="321">
        <v>234</v>
      </c>
      <c r="AD92" s="321">
        <v>0</v>
      </c>
      <c r="AE92" s="321">
        <v>2002</v>
      </c>
      <c r="AF92" s="321">
        <v>0</v>
      </c>
      <c r="AG92" s="321">
        <v>17940</v>
      </c>
      <c r="AH92" s="321">
        <v>0</v>
      </c>
      <c r="AI92" s="321">
        <v>0</v>
      </c>
      <c r="AJ92" s="321">
        <v>5746</v>
      </c>
      <c r="AK92" s="321">
        <v>0</v>
      </c>
      <c r="AL92" s="321">
        <v>0</v>
      </c>
      <c r="AM92" s="321">
        <v>0</v>
      </c>
      <c r="AN92" s="321">
        <v>0</v>
      </c>
      <c r="AO92" s="321">
        <v>0</v>
      </c>
      <c r="AP92" s="321">
        <v>8281</v>
      </c>
      <c r="AQ92" s="321">
        <v>0</v>
      </c>
      <c r="AR92" s="321">
        <v>6747</v>
      </c>
      <c r="AS92" s="321">
        <v>0</v>
      </c>
      <c r="AT92" s="321">
        <v>0</v>
      </c>
      <c r="AU92" s="321">
        <v>0</v>
      </c>
      <c r="AV92" s="321">
        <v>5447</v>
      </c>
      <c r="AW92" s="321">
        <v>0</v>
      </c>
      <c r="AX92" s="286" t="s">
        <v>248</v>
      </c>
      <c r="AY92" s="286" t="s">
        <v>248</v>
      </c>
      <c r="AZ92" s="25" t="s">
        <v>248</v>
      </c>
      <c r="BA92" s="321">
        <v>0</v>
      </c>
      <c r="BB92" s="321">
        <v>0</v>
      </c>
      <c r="BC92" s="321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1">
        <v>195</v>
      </c>
      <c r="BI92" s="321">
        <v>286</v>
      </c>
      <c r="BJ92" s="25" t="s">
        <v>248</v>
      </c>
      <c r="BK92" s="321">
        <v>0</v>
      </c>
      <c r="BL92" s="321">
        <v>260</v>
      </c>
      <c r="BM92" s="321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1">
        <v>65</v>
      </c>
      <c r="BT92" s="321">
        <v>0</v>
      </c>
      <c r="BU92" s="321">
        <v>0</v>
      </c>
      <c r="BV92" s="321">
        <v>0</v>
      </c>
      <c r="BW92" s="321">
        <v>52</v>
      </c>
      <c r="BX92" s="321">
        <v>338</v>
      </c>
      <c r="BY92" s="321">
        <v>195</v>
      </c>
      <c r="BZ92" s="321">
        <v>2262</v>
      </c>
      <c r="CA92" s="321">
        <v>130</v>
      </c>
      <c r="CB92" s="321">
        <v>0</v>
      </c>
      <c r="CC92" s="25" t="s">
        <v>248</v>
      </c>
      <c r="CD92" s="25" t="s">
        <v>248</v>
      </c>
      <c r="CE92" s="28">
        <f t="shared" si="20"/>
        <v>117104</v>
      </c>
      <c r="CF92" s="16"/>
    </row>
    <row r="93" spans="1:84" x14ac:dyDescent="0.35">
      <c r="A93" s="22" t="s">
        <v>293</v>
      </c>
      <c r="B93" s="16"/>
      <c r="C93" s="321">
        <v>45995.61</v>
      </c>
      <c r="D93" s="321">
        <v>0</v>
      </c>
      <c r="E93" s="321">
        <v>509189.36800000002</v>
      </c>
      <c r="F93" s="321">
        <v>120566.13</v>
      </c>
      <c r="G93" s="321">
        <v>0</v>
      </c>
      <c r="H93" s="321">
        <v>43234.35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v>153153.1</v>
      </c>
      <c r="P93" s="321">
        <v>329512.02</v>
      </c>
      <c r="Q93" s="321">
        <v>68150.7</v>
      </c>
      <c r="R93" s="321">
        <v>0</v>
      </c>
      <c r="S93" s="321">
        <v>18032.95</v>
      </c>
      <c r="T93" s="321">
        <v>0</v>
      </c>
      <c r="U93" s="321">
        <v>0</v>
      </c>
      <c r="V93" s="321">
        <v>0</v>
      </c>
      <c r="W93" s="321">
        <v>12048.5</v>
      </c>
      <c r="X93" s="321">
        <v>33043.71</v>
      </c>
      <c r="Y93" s="321">
        <v>78481.490000000005</v>
      </c>
      <c r="Z93" s="321">
        <v>0</v>
      </c>
      <c r="AA93" s="321">
        <v>4436.7</v>
      </c>
      <c r="AB93" s="321">
        <v>1299.82</v>
      </c>
      <c r="AC93" s="321">
        <v>0</v>
      </c>
      <c r="AD93" s="321">
        <v>0</v>
      </c>
      <c r="AE93" s="321">
        <v>0</v>
      </c>
      <c r="AF93" s="321">
        <v>0</v>
      </c>
      <c r="AG93" s="321">
        <v>370247.37</v>
      </c>
      <c r="AH93" s="321">
        <v>0</v>
      </c>
      <c r="AI93" s="321">
        <v>0</v>
      </c>
      <c r="AJ93" s="321">
        <v>0</v>
      </c>
      <c r="AK93" s="321">
        <v>0</v>
      </c>
      <c r="AL93" s="321">
        <v>0</v>
      </c>
      <c r="AM93" s="321">
        <v>0</v>
      </c>
      <c r="AN93" s="321">
        <v>0</v>
      </c>
      <c r="AO93" s="321">
        <v>0</v>
      </c>
      <c r="AP93" s="321">
        <v>3907.12</v>
      </c>
      <c r="AQ93" s="321">
        <v>0</v>
      </c>
      <c r="AR93" s="321">
        <v>0</v>
      </c>
      <c r="AS93" s="321">
        <v>0</v>
      </c>
      <c r="AT93" s="321">
        <v>0</v>
      </c>
      <c r="AU93" s="321">
        <v>0</v>
      </c>
      <c r="AV93" s="321">
        <v>168.59</v>
      </c>
      <c r="AW93" s="321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21">
        <v>0</v>
      </c>
      <c r="BC93" s="321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1">
        <v>0</v>
      </c>
      <c r="BI93" s="321">
        <v>0</v>
      </c>
      <c r="BJ93" s="25" t="s">
        <v>248</v>
      </c>
      <c r="BK93" s="321">
        <v>0</v>
      </c>
      <c r="BL93" s="321">
        <v>0</v>
      </c>
      <c r="BM93" s="321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1">
        <v>0</v>
      </c>
      <c r="BT93" s="321">
        <v>0</v>
      </c>
      <c r="BU93" s="321">
        <v>0</v>
      </c>
      <c r="BV93" s="321">
        <v>0</v>
      </c>
      <c r="BW93" s="321">
        <v>0</v>
      </c>
      <c r="BX93" s="321">
        <v>0</v>
      </c>
      <c r="BY93" s="321">
        <v>0</v>
      </c>
      <c r="BZ93" s="321">
        <v>0</v>
      </c>
      <c r="CA93" s="321">
        <v>0</v>
      </c>
      <c r="CB93" s="321">
        <v>0</v>
      </c>
      <c r="CC93" s="25" t="s">
        <v>248</v>
      </c>
      <c r="CD93" s="25" t="s">
        <v>248</v>
      </c>
      <c r="CE93" s="28">
        <f t="shared" si="20"/>
        <v>1791467.5280000002</v>
      </c>
      <c r="CF93" s="28">
        <f>BA59</f>
        <v>0</v>
      </c>
    </row>
    <row r="94" spans="1:84" x14ac:dyDescent="0.35">
      <c r="A94" s="22" t="s">
        <v>294</v>
      </c>
      <c r="B94" s="16"/>
      <c r="C94" s="325">
        <v>18.440000000000001</v>
      </c>
      <c r="D94" s="325">
        <v>0</v>
      </c>
      <c r="E94" s="325">
        <v>0</v>
      </c>
      <c r="F94" s="325">
        <v>0</v>
      </c>
      <c r="G94" s="325">
        <v>0</v>
      </c>
      <c r="H94" s="325">
        <v>0</v>
      </c>
      <c r="I94" s="325">
        <v>0</v>
      </c>
      <c r="J94" s="325">
        <v>0</v>
      </c>
      <c r="K94" s="325">
        <v>0</v>
      </c>
      <c r="L94" s="325">
        <v>0</v>
      </c>
      <c r="M94" s="325">
        <v>0</v>
      </c>
      <c r="N94" s="325">
        <v>0</v>
      </c>
      <c r="O94" s="325">
        <v>0</v>
      </c>
      <c r="P94" s="326">
        <v>0</v>
      </c>
      <c r="Q94" s="326">
        <v>0</v>
      </c>
      <c r="R94" s="326">
        <v>0</v>
      </c>
      <c r="S94" s="327">
        <v>0</v>
      </c>
      <c r="T94" s="327">
        <v>0</v>
      </c>
      <c r="U94" s="328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7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>
        <v>0</v>
      </c>
      <c r="AI94" s="326">
        <v>0</v>
      </c>
      <c r="AJ94" s="326">
        <v>0</v>
      </c>
      <c r="AK94" s="326">
        <v>0</v>
      </c>
      <c r="AL94" s="326">
        <v>0</v>
      </c>
      <c r="AM94" s="326">
        <v>0</v>
      </c>
      <c r="AN94" s="326">
        <v>0</v>
      </c>
      <c r="AO94" s="326">
        <v>0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327">
        <v>0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18.440000000000001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2" t="s">
        <v>1361</v>
      </c>
      <c r="D96" s="333" t="s">
        <v>5</v>
      </c>
      <c r="E96" s="334" t="s">
        <v>5</v>
      </c>
      <c r="F96" s="12"/>
    </row>
    <row r="97" spans="1:6" x14ac:dyDescent="0.35">
      <c r="A97" s="28" t="s">
        <v>298</v>
      </c>
      <c r="B97" s="36" t="s">
        <v>299</v>
      </c>
      <c r="C97" s="335" t="s">
        <v>300</v>
      </c>
      <c r="D97" s="333" t="s">
        <v>5</v>
      </c>
      <c r="E97" s="334" t="s">
        <v>5</v>
      </c>
      <c r="F97" s="12"/>
    </row>
    <row r="98" spans="1:6" x14ac:dyDescent="0.35">
      <c r="A98" s="28" t="s">
        <v>301</v>
      </c>
      <c r="B98" s="36" t="s">
        <v>299</v>
      </c>
      <c r="C98" s="336" t="s">
        <v>302</v>
      </c>
      <c r="D98" s="333" t="s">
        <v>5</v>
      </c>
      <c r="E98" s="334" t="s">
        <v>5</v>
      </c>
      <c r="F98" s="12"/>
    </row>
    <row r="99" spans="1:6" x14ac:dyDescent="0.35">
      <c r="A99" s="28" t="s">
        <v>303</v>
      </c>
      <c r="B99" s="36" t="s">
        <v>299</v>
      </c>
      <c r="C99" s="337" t="s">
        <v>304</v>
      </c>
      <c r="D99" s="333" t="s">
        <v>5</v>
      </c>
      <c r="E99" s="334" t="s">
        <v>5</v>
      </c>
      <c r="F99" s="12"/>
    </row>
    <row r="100" spans="1:6" x14ac:dyDescent="0.35">
      <c r="A100" s="28" t="s">
        <v>305</v>
      </c>
      <c r="B100" s="36" t="s">
        <v>299</v>
      </c>
      <c r="C100" s="336" t="s">
        <v>306</v>
      </c>
      <c r="D100" s="333" t="s">
        <v>5</v>
      </c>
      <c r="E100" s="334" t="s">
        <v>5</v>
      </c>
      <c r="F100" s="12"/>
    </row>
    <row r="101" spans="1:6" x14ac:dyDescent="0.35">
      <c r="A101" s="28" t="s">
        <v>307</v>
      </c>
      <c r="B101" s="36" t="s">
        <v>299</v>
      </c>
      <c r="C101" s="336" t="s">
        <v>308</v>
      </c>
      <c r="D101" s="333" t="s">
        <v>5</v>
      </c>
      <c r="E101" s="334" t="s">
        <v>5</v>
      </c>
      <c r="F101" s="12"/>
    </row>
    <row r="102" spans="1:6" x14ac:dyDescent="0.35">
      <c r="A102" s="28" t="s">
        <v>309</v>
      </c>
      <c r="B102" s="36" t="s">
        <v>299</v>
      </c>
      <c r="C102" s="338">
        <v>98902</v>
      </c>
      <c r="D102" s="333" t="s">
        <v>5</v>
      </c>
      <c r="E102" s="334" t="s">
        <v>5</v>
      </c>
      <c r="F102" s="12"/>
    </row>
    <row r="103" spans="1:6" x14ac:dyDescent="0.35">
      <c r="A103" s="28" t="s">
        <v>310</v>
      </c>
      <c r="B103" s="36" t="s">
        <v>299</v>
      </c>
      <c r="C103" s="336" t="s">
        <v>306</v>
      </c>
      <c r="D103" s="333" t="s">
        <v>5</v>
      </c>
      <c r="E103" s="334" t="s">
        <v>5</v>
      </c>
      <c r="F103" s="12"/>
    </row>
    <row r="104" spans="1:6" x14ac:dyDescent="0.35">
      <c r="A104" s="28" t="s">
        <v>311</v>
      </c>
      <c r="B104" s="36" t="s">
        <v>299</v>
      </c>
      <c r="C104" s="339" t="s">
        <v>312</v>
      </c>
      <c r="D104" s="333" t="s">
        <v>5</v>
      </c>
      <c r="E104" s="334" t="s">
        <v>5</v>
      </c>
      <c r="F104" s="12"/>
    </row>
    <row r="105" spans="1:6" x14ac:dyDescent="0.35">
      <c r="A105" s="28" t="s">
        <v>313</v>
      </c>
      <c r="B105" s="36" t="s">
        <v>299</v>
      </c>
      <c r="C105" s="339" t="s">
        <v>1362</v>
      </c>
      <c r="D105" s="333" t="s">
        <v>5</v>
      </c>
      <c r="E105" s="334" t="s">
        <v>5</v>
      </c>
      <c r="F105" s="12"/>
    </row>
    <row r="106" spans="1:6" x14ac:dyDescent="0.35">
      <c r="A106" s="28" t="s">
        <v>315</v>
      </c>
      <c r="B106" s="36" t="s">
        <v>299</v>
      </c>
      <c r="C106" s="340" t="s">
        <v>316</v>
      </c>
      <c r="D106" s="333" t="s">
        <v>5</v>
      </c>
      <c r="E106" s="334" t="s">
        <v>5</v>
      </c>
      <c r="F106" s="12"/>
    </row>
    <row r="107" spans="1:6" x14ac:dyDescent="0.35">
      <c r="A107" s="28" t="s">
        <v>317</v>
      </c>
      <c r="B107" s="36" t="s">
        <v>299</v>
      </c>
      <c r="C107" s="341" t="s">
        <v>318</v>
      </c>
      <c r="D107" s="333" t="s">
        <v>5</v>
      </c>
      <c r="E107" s="334" t="s">
        <v>5</v>
      </c>
      <c r="F107" s="12"/>
    </row>
    <row r="108" spans="1:6" x14ac:dyDescent="0.35">
      <c r="A108" s="28" t="s">
        <v>319</v>
      </c>
      <c r="B108" s="36" t="s">
        <v>299</v>
      </c>
      <c r="C108" s="341" t="s">
        <v>320</v>
      </c>
      <c r="D108" s="333" t="s">
        <v>5</v>
      </c>
      <c r="E108" s="334" t="s">
        <v>5</v>
      </c>
      <c r="F108" s="12"/>
    </row>
    <row r="109" spans="1:6" x14ac:dyDescent="0.35">
      <c r="A109" s="40" t="s">
        <v>321</v>
      </c>
      <c r="B109" s="36" t="s">
        <v>299</v>
      </c>
      <c r="C109" s="336" t="s">
        <v>322</v>
      </c>
      <c r="D109" s="333" t="s">
        <v>5</v>
      </c>
      <c r="E109" s="334" t="s">
        <v>5</v>
      </c>
      <c r="F109" s="12"/>
    </row>
    <row r="110" spans="1:6" x14ac:dyDescent="0.35">
      <c r="A110" s="40" t="s">
        <v>323</v>
      </c>
      <c r="B110" s="36" t="s">
        <v>299</v>
      </c>
      <c r="C110" s="342" t="s">
        <v>324</v>
      </c>
      <c r="D110" s="333" t="s">
        <v>5</v>
      </c>
      <c r="E110" s="334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4">
        <v>1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43">
        <v>14397</v>
      </c>
      <c r="D127" s="345">
        <v>58013</v>
      </c>
      <c r="E127" s="16"/>
    </row>
    <row r="128" spans="1:5" x14ac:dyDescent="0.35">
      <c r="A128" s="16" t="s">
        <v>338</v>
      </c>
      <c r="B128" s="42" t="s">
        <v>299</v>
      </c>
      <c r="C128" s="343">
        <v>0</v>
      </c>
      <c r="D128" s="345">
        <v>0</v>
      </c>
      <c r="E128" s="16"/>
    </row>
    <row r="129" spans="1:5" x14ac:dyDescent="0.35">
      <c r="A129" s="16" t="s">
        <v>339</v>
      </c>
      <c r="B129" s="42" t="s">
        <v>299</v>
      </c>
      <c r="C129" s="343">
        <v>0</v>
      </c>
      <c r="D129" s="345">
        <v>0</v>
      </c>
      <c r="E129" s="16"/>
    </row>
    <row r="130" spans="1:5" x14ac:dyDescent="0.35">
      <c r="A130" s="16" t="s">
        <v>340</v>
      </c>
      <c r="B130" s="42" t="s">
        <v>299</v>
      </c>
      <c r="C130" s="343">
        <v>2516</v>
      </c>
      <c r="D130" s="345">
        <v>4854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43">
        <v>18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43">
        <v>20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43">
        <v>122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43">
        <v>16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43">
        <v>32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3">
        <v>18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43">
        <v>0</v>
      </c>
      <c r="D139" s="16"/>
      <c r="E139" s="16"/>
    </row>
    <row r="140" spans="1:5" x14ac:dyDescent="0.35">
      <c r="A140" s="16" t="s">
        <v>349</v>
      </c>
      <c r="B140" s="42"/>
      <c r="C140" s="3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226</v>
      </c>
    </row>
    <row r="144" spans="1:5" x14ac:dyDescent="0.35">
      <c r="A144" s="16" t="s">
        <v>352</v>
      </c>
      <c r="B144" s="42" t="s">
        <v>299</v>
      </c>
      <c r="C144" s="343">
        <v>226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43">
        <v>32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45">
        <v>5377</v>
      </c>
      <c r="C154" s="345">
        <v>3660</v>
      </c>
      <c r="D154" s="345">
        <v>2644</v>
      </c>
      <c r="E154" s="28">
        <f>SUM(B154:D154)</f>
        <v>11681</v>
      </c>
    </row>
    <row r="155" spans="1:6" x14ac:dyDescent="0.35">
      <c r="A155" s="16" t="s">
        <v>242</v>
      </c>
      <c r="B155" s="345">
        <v>29609</v>
      </c>
      <c r="C155" s="345">
        <v>13788</v>
      </c>
      <c r="D155" s="345">
        <v>9324</v>
      </c>
      <c r="E155" s="28">
        <f>SUM(B155:D155)</f>
        <v>52721</v>
      </c>
    </row>
    <row r="156" spans="1:6" x14ac:dyDescent="0.35">
      <c r="A156" s="16" t="s">
        <v>359</v>
      </c>
      <c r="B156" s="345">
        <v>148973</v>
      </c>
      <c r="C156" s="345">
        <v>77779</v>
      </c>
      <c r="D156" s="345">
        <v>107660</v>
      </c>
      <c r="E156" s="28">
        <f>SUM(B156:D156)</f>
        <v>334412</v>
      </c>
    </row>
    <row r="157" spans="1:6" x14ac:dyDescent="0.35">
      <c r="A157" s="16" t="s">
        <v>287</v>
      </c>
      <c r="B157" s="345">
        <v>285311510</v>
      </c>
      <c r="C157" s="345">
        <v>157489205</v>
      </c>
      <c r="D157" s="345">
        <v>102868468</v>
      </c>
      <c r="E157" s="28">
        <f>SUM(B157:D157)</f>
        <v>545669183</v>
      </c>
      <c r="F157" s="14"/>
    </row>
    <row r="158" spans="1:6" x14ac:dyDescent="0.35">
      <c r="A158" s="16" t="s">
        <v>288</v>
      </c>
      <c r="B158" s="345">
        <v>554483295</v>
      </c>
      <c r="C158" s="345">
        <v>289689260</v>
      </c>
      <c r="D158" s="345">
        <v>400519189</v>
      </c>
      <c r="E158" s="28">
        <f>SUM(B158:D158)</f>
        <v>1244691744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45">
        <v>0</v>
      </c>
      <c r="C160" s="345">
        <v>0</v>
      </c>
      <c r="D160" s="345">
        <v>0</v>
      </c>
      <c r="E160" s="28">
        <f>SUM(B160:D160)</f>
        <v>0</v>
      </c>
    </row>
    <row r="161" spans="1:5" x14ac:dyDescent="0.35">
      <c r="A161" s="16" t="s">
        <v>242</v>
      </c>
      <c r="B161" s="345">
        <v>0</v>
      </c>
      <c r="C161" s="345">
        <v>0</v>
      </c>
      <c r="D161" s="345">
        <v>0</v>
      </c>
      <c r="E161" s="28">
        <f>SUM(B161:D161)</f>
        <v>0</v>
      </c>
    </row>
    <row r="162" spans="1:5" x14ac:dyDescent="0.35">
      <c r="A162" s="16" t="s">
        <v>359</v>
      </c>
      <c r="B162" s="345">
        <v>0</v>
      </c>
      <c r="C162" s="345">
        <v>0</v>
      </c>
      <c r="D162" s="345">
        <v>0</v>
      </c>
      <c r="E162" s="28">
        <f>SUM(B162:D162)</f>
        <v>0</v>
      </c>
    </row>
    <row r="163" spans="1:5" x14ac:dyDescent="0.35">
      <c r="A163" s="16" t="s">
        <v>287</v>
      </c>
      <c r="B163" s="345">
        <v>0</v>
      </c>
      <c r="C163" s="345">
        <v>0</v>
      </c>
      <c r="D163" s="345">
        <v>0</v>
      </c>
      <c r="E163" s="28">
        <f>SUM(B163:D163)</f>
        <v>0</v>
      </c>
    </row>
    <row r="164" spans="1:5" x14ac:dyDescent="0.35">
      <c r="A164" s="16" t="s">
        <v>288</v>
      </c>
      <c r="B164" s="345">
        <v>0</v>
      </c>
      <c r="C164" s="345">
        <v>0</v>
      </c>
      <c r="D164" s="345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45">
        <v>0</v>
      </c>
      <c r="C166" s="345">
        <v>0</v>
      </c>
      <c r="D166" s="345">
        <v>0</v>
      </c>
      <c r="E166" s="28">
        <f>SUM(B166:D166)</f>
        <v>0</v>
      </c>
    </row>
    <row r="167" spans="1:5" x14ac:dyDescent="0.35">
      <c r="A167" s="16" t="s">
        <v>242</v>
      </c>
      <c r="B167" s="345">
        <v>0</v>
      </c>
      <c r="C167" s="345">
        <v>0</v>
      </c>
      <c r="D167" s="345">
        <v>0</v>
      </c>
      <c r="E167" s="28">
        <f>SUM(B167:D167)</f>
        <v>0</v>
      </c>
    </row>
    <row r="168" spans="1:5" x14ac:dyDescent="0.35">
      <c r="A168" s="16" t="s">
        <v>359</v>
      </c>
      <c r="B168" s="345">
        <v>0</v>
      </c>
      <c r="C168" s="345">
        <v>0</v>
      </c>
      <c r="D168" s="345">
        <v>0</v>
      </c>
      <c r="E168" s="28">
        <f>SUM(B168:D168)</f>
        <v>0</v>
      </c>
    </row>
    <row r="169" spans="1:5" x14ac:dyDescent="0.35">
      <c r="A169" s="16" t="s">
        <v>287</v>
      </c>
      <c r="B169" s="345">
        <v>0</v>
      </c>
      <c r="C169" s="345">
        <v>0</v>
      </c>
      <c r="D169" s="345">
        <v>0</v>
      </c>
      <c r="E169" s="28">
        <f>SUM(B169:D169)</f>
        <v>0</v>
      </c>
    </row>
    <row r="170" spans="1:5" x14ac:dyDescent="0.35">
      <c r="A170" s="16" t="s">
        <v>288</v>
      </c>
      <c r="B170" s="345">
        <v>0</v>
      </c>
      <c r="C170" s="345">
        <v>0</v>
      </c>
      <c r="D170" s="345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45">
        <v>0</v>
      </c>
      <c r="C173" s="345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43">
        <v>15333404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43">
        <v>540865</v>
      </c>
      <c r="D182" s="16"/>
      <c r="E182" s="16"/>
    </row>
    <row r="183" spans="1:5" x14ac:dyDescent="0.35">
      <c r="A183" s="21" t="s">
        <v>370</v>
      </c>
      <c r="B183" s="42" t="s">
        <v>299</v>
      </c>
      <c r="C183" s="343">
        <v>1122833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43">
        <f>11667119+178842+3395830+1858316</f>
        <v>17100107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43">
        <v>1011832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43">
        <f>268434+12252436</f>
        <v>12520870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43">
        <f>126101+17682+5012711+109769+55363+432661</f>
        <v>5754287</v>
      </c>
      <c r="D187" s="16"/>
      <c r="E187" s="16"/>
    </row>
    <row r="188" spans="1:5" x14ac:dyDescent="0.35">
      <c r="A188" s="16" t="s">
        <v>374</v>
      </c>
      <c r="B188" s="42" t="s">
        <v>299</v>
      </c>
      <c r="C188" s="3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53384198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43">
        <f>89704+6261249</f>
        <v>6350953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43">
        <f>250613+897307+930320</f>
        <v>2078240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8429193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43">
        <f>113800+1157300+1212773+10850</f>
        <v>2494723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43">
        <v>265638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2760361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43">
        <v>343575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43">
        <v>540793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3">
        <v>12788379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13672747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43">
        <v>0</v>
      </c>
      <c r="D204" s="16"/>
      <c r="E204" s="16"/>
    </row>
    <row r="205" spans="1:5" x14ac:dyDescent="0.35">
      <c r="A205" s="16" t="s">
        <v>386</v>
      </c>
      <c r="B205" s="42" t="s">
        <v>299</v>
      </c>
      <c r="C205" s="343">
        <v>3071193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3071193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45">
        <v>12075579</v>
      </c>
      <c r="C211" s="343">
        <v>5428832</v>
      </c>
      <c r="D211" s="345">
        <v>0</v>
      </c>
      <c r="E211" s="28">
        <f t="shared" ref="E211:E219" si="22">SUM(B211:C211)-D211</f>
        <v>17504411</v>
      </c>
    </row>
    <row r="212" spans="1:5" x14ac:dyDescent="0.35">
      <c r="A212" s="16" t="s">
        <v>394</v>
      </c>
      <c r="B212" s="345">
        <v>2770751</v>
      </c>
      <c r="C212" s="343">
        <v>6565859</v>
      </c>
      <c r="D212" s="345">
        <v>0</v>
      </c>
      <c r="E212" s="28">
        <f t="shared" si="22"/>
        <v>9336610</v>
      </c>
    </row>
    <row r="213" spans="1:5" x14ac:dyDescent="0.35">
      <c r="A213" s="16" t="s">
        <v>395</v>
      </c>
      <c r="B213" s="345">
        <v>108492708</v>
      </c>
      <c r="C213" s="343">
        <v>28617075</v>
      </c>
      <c r="D213" s="345">
        <v>0</v>
      </c>
      <c r="E213" s="28">
        <f t="shared" si="22"/>
        <v>137109783</v>
      </c>
    </row>
    <row r="214" spans="1:5" x14ac:dyDescent="0.35">
      <c r="A214" s="16" t="s">
        <v>396</v>
      </c>
      <c r="B214" s="345">
        <v>0</v>
      </c>
      <c r="C214" s="343">
        <v>0</v>
      </c>
      <c r="D214" s="345">
        <v>0</v>
      </c>
      <c r="E214" s="28">
        <f t="shared" si="22"/>
        <v>0</v>
      </c>
    </row>
    <row r="215" spans="1:5" x14ac:dyDescent="0.35">
      <c r="A215" s="16" t="s">
        <v>397</v>
      </c>
      <c r="B215" s="345">
        <v>72421252</v>
      </c>
      <c r="C215" s="343">
        <v>3546679</v>
      </c>
      <c r="D215" s="345">
        <v>0</v>
      </c>
      <c r="E215" s="28">
        <f t="shared" si="22"/>
        <v>75967931</v>
      </c>
    </row>
    <row r="216" spans="1:5" x14ac:dyDescent="0.35">
      <c r="A216" s="16" t="s">
        <v>398</v>
      </c>
      <c r="B216" s="345">
        <v>102574826</v>
      </c>
      <c r="C216" s="343">
        <v>6045342</v>
      </c>
      <c r="D216" s="345">
        <v>90000</v>
      </c>
      <c r="E216" s="28">
        <f t="shared" si="22"/>
        <v>108530168</v>
      </c>
    </row>
    <row r="217" spans="1:5" x14ac:dyDescent="0.35">
      <c r="A217" s="16" t="s">
        <v>399</v>
      </c>
      <c r="B217" s="345">
        <v>0</v>
      </c>
      <c r="C217" s="343">
        <v>0</v>
      </c>
      <c r="D217" s="345">
        <v>0</v>
      </c>
      <c r="E217" s="28">
        <f t="shared" si="22"/>
        <v>0</v>
      </c>
    </row>
    <row r="218" spans="1:5" x14ac:dyDescent="0.35">
      <c r="A218" s="16" t="s">
        <v>400</v>
      </c>
      <c r="B218" s="345">
        <v>6785018</v>
      </c>
      <c r="C218" s="343">
        <v>593074</v>
      </c>
      <c r="D218" s="345">
        <v>0</v>
      </c>
      <c r="E218" s="28">
        <f t="shared" si="22"/>
        <v>7378092</v>
      </c>
    </row>
    <row r="219" spans="1:5" x14ac:dyDescent="0.35">
      <c r="A219" s="16" t="s">
        <v>401</v>
      </c>
      <c r="B219" s="345">
        <v>14365765</v>
      </c>
      <c r="C219" s="343">
        <v>-1641317</v>
      </c>
      <c r="D219" s="345">
        <v>0</v>
      </c>
      <c r="E219" s="28">
        <f t="shared" si="22"/>
        <v>12724448</v>
      </c>
    </row>
    <row r="220" spans="1:5" x14ac:dyDescent="0.35">
      <c r="A220" s="16" t="s">
        <v>230</v>
      </c>
      <c r="B220" s="28">
        <f>SUM(B211:B219)</f>
        <v>319485899</v>
      </c>
      <c r="C220" s="236">
        <f>SUM(C211:C219)</f>
        <v>49155544</v>
      </c>
      <c r="D220" s="28">
        <f>SUM(D211:D219)</f>
        <v>90000</v>
      </c>
      <c r="E220" s="28">
        <f>SUM(E211:E219)</f>
        <v>368551443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345">
        <v>1867768</v>
      </c>
      <c r="C225" s="343">
        <v>-679803</v>
      </c>
      <c r="D225" s="345">
        <v>0</v>
      </c>
      <c r="E225" s="28">
        <f t="shared" ref="E225:E232" si="23">SUM(B225:C225)-D225</f>
        <v>1187965</v>
      </c>
    </row>
    <row r="226" spans="1:6" x14ac:dyDescent="0.35">
      <c r="A226" s="16" t="s">
        <v>395</v>
      </c>
      <c r="B226" s="345">
        <v>26592879</v>
      </c>
      <c r="C226" s="343">
        <v>-20212767</v>
      </c>
      <c r="D226" s="345">
        <v>0</v>
      </c>
      <c r="E226" s="28">
        <f t="shared" si="23"/>
        <v>6380112</v>
      </c>
    </row>
    <row r="227" spans="1:6" x14ac:dyDescent="0.35">
      <c r="A227" s="16" t="s">
        <v>396</v>
      </c>
      <c r="B227" s="345">
        <v>0</v>
      </c>
      <c r="C227" s="343">
        <v>0</v>
      </c>
      <c r="D227" s="345">
        <v>0</v>
      </c>
      <c r="E227" s="28">
        <f t="shared" si="23"/>
        <v>0</v>
      </c>
    </row>
    <row r="228" spans="1:6" x14ac:dyDescent="0.35">
      <c r="A228" s="16" t="s">
        <v>397</v>
      </c>
      <c r="B228" s="345">
        <v>31464472</v>
      </c>
      <c r="C228" s="343">
        <v>5093786</v>
      </c>
      <c r="D228" s="345">
        <v>0</v>
      </c>
      <c r="E228" s="28">
        <f t="shared" si="23"/>
        <v>36558258</v>
      </c>
    </row>
    <row r="229" spans="1:6" x14ac:dyDescent="0.35">
      <c r="A229" s="16" t="s">
        <v>398</v>
      </c>
      <c r="B229" s="345">
        <v>71063299</v>
      </c>
      <c r="C229" s="343">
        <v>8230539</v>
      </c>
      <c r="D229" s="345">
        <v>0</v>
      </c>
      <c r="E229" s="28">
        <f t="shared" si="23"/>
        <v>79293838</v>
      </c>
    </row>
    <row r="230" spans="1:6" x14ac:dyDescent="0.35">
      <c r="A230" s="16" t="s">
        <v>399</v>
      </c>
      <c r="B230" s="345">
        <v>0</v>
      </c>
      <c r="C230" s="343">
        <v>0</v>
      </c>
      <c r="D230" s="345">
        <v>0</v>
      </c>
      <c r="E230" s="28">
        <f t="shared" si="23"/>
        <v>0</v>
      </c>
    </row>
    <row r="231" spans="1:6" x14ac:dyDescent="0.35">
      <c r="A231" s="16" t="s">
        <v>400</v>
      </c>
      <c r="B231" s="345">
        <v>3641678</v>
      </c>
      <c r="C231" s="343">
        <v>656527</v>
      </c>
      <c r="D231" s="345">
        <v>0</v>
      </c>
      <c r="E231" s="28">
        <f t="shared" si="23"/>
        <v>4298205</v>
      </c>
    </row>
    <row r="232" spans="1:6" x14ac:dyDescent="0.35">
      <c r="A232" s="16" t="s">
        <v>401</v>
      </c>
      <c r="B232" s="345">
        <v>0</v>
      </c>
      <c r="C232" s="343">
        <v>0</v>
      </c>
      <c r="D232" s="345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134630096</v>
      </c>
      <c r="C233" s="236">
        <f>SUM(C224:C232)</f>
        <v>-6911718</v>
      </c>
      <c r="D233" s="28">
        <f>SUM(D224:D232)</f>
        <v>0</v>
      </c>
      <c r="E233" s="28">
        <f>SUM(E224:E232)</f>
        <v>127718378</v>
      </c>
    </row>
    <row r="234" spans="1:6" x14ac:dyDescent="0.35">
      <c r="A234" s="16"/>
      <c r="B234" s="16"/>
      <c r="C234" s="23"/>
      <c r="D234" s="16"/>
      <c r="E234" s="16"/>
      <c r="F234" s="11">
        <f>E220-E233</f>
        <v>240833065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49" t="s">
        <v>404</v>
      </c>
      <c r="C236" s="349"/>
      <c r="D236" s="34"/>
      <c r="E236" s="34"/>
    </row>
    <row r="237" spans="1:6" x14ac:dyDescent="0.35">
      <c r="A237" s="52" t="s">
        <v>404</v>
      </c>
      <c r="B237" s="34"/>
      <c r="C237" s="343">
        <v>9299679</v>
      </c>
      <c r="D237" s="36">
        <f>C237</f>
        <v>9299679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343">
        <f>613788115+3953331-11769991</f>
        <v>605971455</v>
      </c>
      <c r="D239" s="16"/>
      <c r="E239" s="16"/>
    </row>
    <row r="240" spans="1:6" x14ac:dyDescent="0.35">
      <c r="A240" s="16" t="s">
        <v>407</v>
      </c>
      <c r="B240" s="42" t="s">
        <v>299</v>
      </c>
      <c r="C240" s="343">
        <f>373124713+958010-14106098</f>
        <v>359976625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43">
        <v>14281445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43">
        <v>0</v>
      </c>
      <c r="D242" s="16"/>
      <c r="E242" s="16"/>
    </row>
    <row r="243" spans="1:5" x14ac:dyDescent="0.35">
      <c r="A243" s="16" t="s">
        <v>410</v>
      </c>
      <c r="B243" s="42" t="s">
        <v>299</v>
      </c>
      <c r="C243" s="343">
        <v>221592467</v>
      </c>
      <c r="D243" s="16"/>
      <c r="E243" s="16"/>
    </row>
    <row r="244" spans="1:5" x14ac:dyDescent="0.35">
      <c r="A244" s="16" t="s">
        <v>411</v>
      </c>
      <c r="B244" s="42" t="s">
        <v>299</v>
      </c>
      <c r="C244" s="343">
        <v>0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1201821992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43">
        <v>36550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43">
        <v>0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43">
        <f>40611848+238263</f>
        <v>40850111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40850111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43">
        <v>14794862</v>
      </c>
      <c r="D254" s="16"/>
      <c r="E254" s="16"/>
    </row>
    <row r="255" spans="1:5" x14ac:dyDescent="0.35">
      <c r="A255" s="16" t="s">
        <v>418</v>
      </c>
      <c r="B255" s="42" t="s">
        <v>299</v>
      </c>
      <c r="C255" s="343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14794862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1266766644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43">
        <v>79464025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343">
        <f>258141381-14045170-546269+23158901</f>
        <v>266708843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43">
        <v>193606087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43">
        <v>1957894</v>
      </c>
      <c r="D270" s="16"/>
      <c r="E270" s="16"/>
    </row>
    <row r="271" spans="1:5" x14ac:dyDescent="0.35">
      <c r="A271" s="16" t="s">
        <v>429</v>
      </c>
      <c r="B271" s="42" t="s">
        <v>299</v>
      </c>
      <c r="C271" s="343">
        <f>23402024-1957894</f>
        <v>21444130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343">
        <v>9412250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43">
        <v>3782600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43"/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189163655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43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43">
        <v>4510608</v>
      </c>
      <c r="D279" s="16"/>
      <c r="E279" s="16"/>
    </row>
    <row r="280" spans="1:5" x14ac:dyDescent="0.35">
      <c r="A280" s="16" t="s">
        <v>436</v>
      </c>
      <c r="B280" s="42" t="s">
        <v>299</v>
      </c>
      <c r="C280" s="343">
        <f>2976110+922336</f>
        <v>3898446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8409054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43">
        <v>17504411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43">
        <v>9336610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43">
        <v>137109783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43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43">
        <v>75967931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43">
        <v>108530168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43">
        <v>7378092</v>
      </c>
      <c r="D289" s="16"/>
      <c r="E289" s="16"/>
    </row>
    <row r="290" spans="1:5" x14ac:dyDescent="0.35">
      <c r="A290" s="16" t="s">
        <v>401</v>
      </c>
      <c r="B290" s="42" t="s">
        <v>299</v>
      </c>
      <c r="C290" s="343">
        <f>12375917+348531+4323+235515</f>
        <v>12964286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368791281</v>
      </c>
      <c r="E291" s="16"/>
    </row>
    <row r="292" spans="1:5" x14ac:dyDescent="0.35">
      <c r="A292" s="16" t="s">
        <v>443</v>
      </c>
      <c r="B292" s="42" t="s">
        <v>299</v>
      </c>
      <c r="C292" s="343">
        <v>127718378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241072903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3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343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43">
        <v>24463143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24463143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43">
        <v>92006000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3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3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343">
        <v>7439467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99445467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562554222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562554222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343">
        <v>0</v>
      </c>
      <c r="D314" s="16"/>
      <c r="E314" s="16"/>
    </row>
    <row r="315" spans="1:6" x14ac:dyDescent="0.35">
      <c r="A315" s="16" t="s">
        <v>460</v>
      </c>
      <c r="B315" s="42" t="s">
        <v>299</v>
      </c>
      <c r="C315" s="343">
        <f>38431539+4851</f>
        <v>38436390</v>
      </c>
      <c r="D315" s="16"/>
      <c r="E315" s="16"/>
    </row>
    <row r="316" spans="1:6" x14ac:dyDescent="0.35">
      <c r="A316" s="16" t="s">
        <v>461</v>
      </c>
      <c r="B316" s="42" t="s">
        <v>299</v>
      </c>
      <c r="C316" s="343">
        <f>44594541-693</f>
        <v>44593848</v>
      </c>
      <c r="D316" s="16"/>
      <c r="E316" s="16"/>
    </row>
    <row r="317" spans="1:6" x14ac:dyDescent="0.35">
      <c r="A317" s="16" t="s">
        <v>462</v>
      </c>
      <c r="B317" s="42" t="s">
        <v>299</v>
      </c>
      <c r="C317" s="343">
        <v>6407903</v>
      </c>
      <c r="D317" s="16"/>
      <c r="E317" s="16"/>
    </row>
    <row r="318" spans="1:6" x14ac:dyDescent="0.35">
      <c r="A318" s="16" t="s">
        <v>463</v>
      </c>
      <c r="B318" s="42" t="s">
        <v>299</v>
      </c>
      <c r="C318" s="3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343">
        <v>0</v>
      </c>
      <c r="D319" s="16"/>
      <c r="E319" s="16"/>
    </row>
    <row r="320" spans="1:6" x14ac:dyDescent="0.35">
      <c r="A320" s="16" t="s">
        <v>465</v>
      </c>
      <c r="B320" s="42" t="s">
        <v>299</v>
      </c>
      <c r="C320" s="3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3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343">
        <f>6029172+18+618791+3041709</f>
        <v>9689690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99127831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343">
        <v>6056000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343">
        <f>-19536+22728+551</f>
        <v>3743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6059743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43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3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3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343">
        <f>19469488-352</f>
        <v>19469136</v>
      </c>
      <c r="D334" s="16"/>
      <c r="E334" s="16"/>
    </row>
    <row r="335" spans="1:5" x14ac:dyDescent="0.35">
      <c r="A335" s="16" t="s">
        <v>480</v>
      </c>
      <c r="B335" s="42" t="s">
        <v>299</v>
      </c>
      <c r="C335" s="343">
        <v>0</v>
      </c>
      <c r="D335" s="16"/>
      <c r="E335" s="16"/>
    </row>
    <row r="336" spans="1:5" x14ac:dyDescent="0.35">
      <c r="A336" s="22" t="s">
        <v>481</v>
      </c>
      <c r="B336" s="42" t="s">
        <v>299</v>
      </c>
      <c r="C336" s="343">
        <v>61463951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46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343">
        <f>1274340+518518</f>
        <v>1792858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82725945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82725945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47">
        <f>133033035+68803821+259240+22983308+149444472+116827</f>
        <v>374640703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44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344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344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344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344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562554222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562554222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344">
        <v>545669185</v>
      </c>
      <c r="D358" s="16"/>
      <c r="E358" s="16"/>
    </row>
    <row r="359" spans="1:5" x14ac:dyDescent="0.35">
      <c r="A359" s="16" t="s">
        <v>497</v>
      </c>
      <c r="B359" s="42" t="s">
        <v>299</v>
      </c>
      <c r="C359" s="344">
        <f>1244691743-28600143</f>
        <v>1216091600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1761760785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43">
        <v>9299679</v>
      </c>
      <c r="D362" s="16"/>
      <c r="E362" s="41"/>
    </row>
    <row r="363" spans="1:5" x14ac:dyDescent="0.35">
      <c r="A363" s="16" t="s">
        <v>500</v>
      </c>
      <c r="B363" s="42" t="s">
        <v>299</v>
      </c>
      <c r="C363" s="343">
        <f>1202060255-238263</f>
        <v>1201821992</v>
      </c>
      <c r="D363" s="16"/>
      <c r="E363" s="16"/>
    </row>
    <row r="364" spans="1:5" x14ac:dyDescent="0.35">
      <c r="A364" s="16" t="s">
        <v>501</v>
      </c>
      <c r="B364" s="42" t="s">
        <v>299</v>
      </c>
      <c r="C364" s="343">
        <f>40611848+238263</f>
        <v>40850111</v>
      </c>
      <c r="D364" s="16"/>
      <c r="E364" s="16"/>
    </row>
    <row r="365" spans="1:5" x14ac:dyDescent="0.35">
      <c r="A365" s="16" t="s">
        <v>502</v>
      </c>
      <c r="B365" s="42" t="s">
        <v>299</v>
      </c>
      <c r="C365" s="343">
        <v>14794861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1266766643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494994142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343">
        <v>9488300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343">
        <v>9379143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343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343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343">
        <v>28600143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343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343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343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343">
        <v>134885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343">
        <v>2269848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348">
        <v>5967944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55840263</v>
      </c>
      <c r="E381" s="28"/>
      <c r="F381" s="56"/>
    </row>
    <row r="382" spans="1:6" x14ac:dyDescent="0.35">
      <c r="A382" s="52" t="s">
        <v>518</v>
      </c>
      <c r="B382" s="42" t="s">
        <v>299</v>
      </c>
      <c r="C382" s="3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55840263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550834405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48">
        <v>236787162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8">
        <v>53384198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8">
        <v>36228291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48">
        <v>99004258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48">
        <v>3524012</v>
      </c>
      <c r="D393" s="16"/>
      <c r="E393" s="16"/>
    </row>
    <row r="394" spans="1:5" x14ac:dyDescent="0.35">
      <c r="A394" s="16" t="s">
        <v>525</v>
      </c>
      <c r="B394" s="42" t="s">
        <v>299</v>
      </c>
      <c r="C394" s="348">
        <v>25040090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8">
        <v>21976671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48">
        <v>8856289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48">
        <v>1157330</v>
      </c>
      <c r="D397" s="16"/>
      <c r="E397" s="16"/>
    </row>
    <row r="398" spans="1:5" x14ac:dyDescent="0.35">
      <c r="A398" s="16" t="s">
        <v>528</v>
      </c>
      <c r="B398" s="42" t="s">
        <v>299</v>
      </c>
      <c r="C398" s="348">
        <v>13672747</v>
      </c>
      <c r="D398" s="16"/>
      <c r="E398" s="16"/>
    </row>
    <row r="399" spans="1:5" x14ac:dyDescent="0.35">
      <c r="A399" s="16" t="s">
        <v>529</v>
      </c>
      <c r="B399" s="42" t="s">
        <v>299</v>
      </c>
      <c r="C399" s="348">
        <v>3071193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3">
        <v>1360151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3">
        <v>6789053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43">
        <v>22779612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3">
        <v>1603061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3">
        <v>2075010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3">
        <v>9527475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3">
        <v>1622641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3">
        <v>2946091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3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3">
        <v>415885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3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3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3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8">
        <v>14287596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63406575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566108816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-15274411</v>
      </c>
      <c r="E417" s="28"/>
    </row>
    <row r="418" spans="1:13" x14ac:dyDescent="0.35">
      <c r="A418" s="28" t="s">
        <v>535</v>
      </c>
      <c r="B418" s="16"/>
      <c r="C418" s="348">
        <v>170949394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43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170949394</v>
      </c>
      <c r="E420" s="28"/>
      <c r="F420" s="11">
        <f>D420-C399</f>
        <v>167878201</v>
      </c>
    </row>
    <row r="421" spans="1:13" x14ac:dyDescent="0.35">
      <c r="A421" s="28" t="s">
        <v>538</v>
      </c>
      <c r="B421" s="16"/>
      <c r="C421" s="23"/>
      <c r="D421" s="28">
        <f>D417+D420</f>
        <v>155674983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155674983</v>
      </c>
      <c r="E424" s="16"/>
    </row>
    <row r="426" spans="1:13" ht="28.5" customHeight="1" x14ac:dyDescent="0.35">
      <c r="A426" s="350" t="s">
        <v>1405</v>
      </c>
      <c r="B426" s="350"/>
      <c r="C426" s="350"/>
      <c r="D426" s="350"/>
      <c r="E426" s="350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3"/>
      <c r="C612" s="221" t="s">
        <v>542</v>
      </c>
      <c r="D612" s="228">
        <f>CE90-(BE90+CD90)</f>
        <v>634086</v>
      </c>
      <c r="E612" s="230">
        <f>SUM(C624:D647)+SUM(C668:D713)</f>
        <v>335977276.98917913</v>
      </c>
      <c r="F612" s="230">
        <f>CE64-(AX64+BD64+BE64+BG64+BJ64+BN64+BP64+BQ64+CB64+CC64+CD64)</f>
        <v>98725669.189999998</v>
      </c>
      <c r="G612" s="228">
        <f>CE91-(AX91+AY91+BD91+BE91+BG91+BJ91+BN91+BP91+BQ91+CB91+CC91+CD91)</f>
        <v>184130</v>
      </c>
      <c r="H612" s="233">
        <f>CE60-(AX60+AY60+AZ60+BD60+BE60+BG60+BJ60+BN60+BO60+BP60+BQ60+BR60+CB60+CC60+CD60)</f>
        <v>2025.9699999999998</v>
      </c>
      <c r="I612" s="228">
        <f>CE92-(AX92+AY92+AZ92+BD92+BE92+BF92+BG92+BJ92+BN92+BO92+BP92+BQ92+BR92+CB92+CC92+CD92)</f>
        <v>117104</v>
      </c>
      <c r="J612" s="228">
        <f>CE93-(AX93+AY93+AZ93+BA93+BD93+BE93+BF93+BG93+BJ93+BN93+BO93+BP93+BQ93+BR93+CB93+CC93+CD93)</f>
        <v>1791467.5280000002</v>
      </c>
      <c r="K612" s="228">
        <f>CE89-(AW89+AX89+AY89+AZ89+BA89+BB89+BC89+BD89+BE89+BF89+BG89+BH89+BI89+BJ89+BK89+BL89+BM89+BN89+BO89+BP89+BQ89+BR89+BS89+BT89+BU89+BV89+BW89+BX89+CB89+CC89+CD89)</f>
        <v>1790360927</v>
      </c>
      <c r="L612" s="234">
        <f>CE94-(AW94+AX94+AY94+AZ94+BA94+BB94+BC94+BD94+BE94+BF94+BG94+BH94+BI94+BJ94+BK94+BL94+BM94+BN94+BO94+BP94+BQ94+BR94+BS94+BT94+BU94+BV94+BW94+BX94+BY94+BZ94+CA94+CB94+CC94+CD94)</f>
        <v>18.440000000000001</v>
      </c>
    </row>
    <row r="613" spans="1:14" s="212" customFormat="1" ht="12.65" customHeight="1" x14ac:dyDescent="0.3">
      <c r="A613" s="223"/>
      <c r="C613" s="221" t="s">
        <v>543</v>
      </c>
      <c r="D613" s="229" t="s">
        <v>544</v>
      </c>
      <c r="E613" s="231" t="s">
        <v>545</v>
      </c>
      <c r="F613" s="232" t="s">
        <v>546</v>
      </c>
      <c r="G613" s="229" t="s">
        <v>547</v>
      </c>
      <c r="H613" s="232" t="s">
        <v>548</v>
      </c>
      <c r="I613" s="229" t="s">
        <v>549</v>
      </c>
      <c r="J613" s="229" t="s">
        <v>550</v>
      </c>
      <c r="K613" s="221" t="s">
        <v>551</v>
      </c>
      <c r="L613" s="222" t="s">
        <v>552</v>
      </c>
    </row>
    <row r="614" spans="1:14" s="212" customFormat="1" ht="12.65" customHeight="1" x14ac:dyDescent="0.3">
      <c r="A614" s="223">
        <v>8430</v>
      </c>
      <c r="B614" s="222" t="s">
        <v>167</v>
      </c>
      <c r="C614" s="228">
        <f>BE85</f>
        <v>15815856</v>
      </c>
      <c r="D614" s="228"/>
      <c r="E614" s="230"/>
      <c r="F614" s="230"/>
      <c r="G614" s="228"/>
      <c r="H614" s="230"/>
      <c r="I614" s="228"/>
      <c r="J614" s="228"/>
      <c r="N614" s="224" t="s">
        <v>553</v>
      </c>
    </row>
    <row r="615" spans="1:14" s="212" customFormat="1" ht="12.65" customHeight="1" x14ac:dyDescent="0.3">
      <c r="A615" s="223"/>
      <c r="B615" s="222" t="s">
        <v>554</v>
      </c>
      <c r="C615" s="228">
        <f>CD69-CD84</f>
        <v>-171359897.15000001</v>
      </c>
      <c r="D615" s="228">
        <f>SUM(C614:C615)</f>
        <v>-155544041.15000001</v>
      </c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5" customHeight="1" x14ac:dyDescent="0.3">
      <c r="A616" s="223">
        <v>8310</v>
      </c>
      <c r="B616" s="227" t="s">
        <v>556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5" customHeight="1" x14ac:dyDescent="0.3">
      <c r="A617" s="223">
        <v>8510</v>
      </c>
      <c r="B617" s="227" t="s">
        <v>172</v>
      </c>
      <c r="C617" s="228">
        <f>BJ85</f>
        <v>1309671</v>
      </c>
      <c r="D617" s="228">
        <f>(D615/D612)*BJ90</f>
        <v>-811712.02670513152</v>
      </c>
      <c r="E617" s="230"/>
      <c r="F617" s="230"/>
      <c r="G617" s="228"/>
      <c r="H617" s="230"/>
      <c r="I617" s="228"/>
      <c r="J617" s="228"/>
      <c r="N617" s="224" t="s">
        <v>558</v>
      </c>
    </row>
    <row r="618" spans="1:14" s="212" customFormat="1" ht="12.65" customHeight="1" x14ac:dyDescent="0.3">
      <c r="A618" s="223">
        <v>8470</v>
      </c>
      <c r="B618" s="227" t="s">
        <v>559</v>
      </c>
      <c r="C618" s="228">
        <f>BG85</f>
        <v>356549</v>
      </c>
      <c r="D618" s="228">
        <f>(D615/D612)*BG90</f>
        <v>-48079.648605078808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5" customHeight="1" x14ac:dyDescent="0.3">
      <c r="A619" s="223">
        <v>8610</v>
      </c>
      <c r="B619" s="227" t="s">
        <v>561</v>
      </c>
      <c r="C619" s="228">
        <f>BN85</f>
        <v>35802782</v>
      </c>
      <c r="D619" s="228">
        <f>(D615/D612)*BN90</f>
        <v>-432471.53311609157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5" customHeight="1" x14ac:dyDescent="0.3">
      <c r="A620" s="223">
        <v>8790</v>
      </c>
      <c r="B620" s="227" t="s">
        <v>563</v>
      </c>
      <c r="C620" s="228">
        <f>CC85</f>
        <v>10619484</v>
      </c>
      <c r="D620" s="228">
        <f>(D615/D612)*CC90</f>
        <v>-4499862.6225079885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5" customHeight="1" x14ac:dyDescent="0.3">
      <c r="A621" s="223">
        <v>8630</v>
      </c>
      <c r="B621" s="227" t="s">
        <v>565</v>
      </c>
      <c r="C621" s="228">
        <f>BP85</f>
        <v>419575</v>
      </c>
      <c r="D621" s="228">
        <f>(D615/D612)*BP90</f>
        <v>-908116.6282449069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5" customHeight="1" x14ac:dyDescent="0.3">
      <c r="A622" s="223">
        <v>8770</v>
      </c>
      <c r="B622" s="222" t="s">
        <v>567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5" customHeight="1" x14ac:dyDescent="0.3">
      <c r="A623" s="223">
        <v>8640</v>
      </c>
      <c r="B623" s="227" t="s">
        <v>569</v>
      </c>
      <c r="C623" s="228">
        <f>BQ85</f>
        <v>0</v>
      </c>
      <c r="D623" s="228">
        <f>(D615/D612)*BQ90</f>
        <v>0</v>
      </c>
      <c r="E623" s="230">
        <f>SUM(C616:D623)</f>
        <v>41807818.5408208</v>
      </c>
      <c r="F623" s="230"/>
      <c r="G623" s="228"/>
      <c r="H623" s="230"/>
      <c r="I623" s="228"/>
      <c r="J623" s="228"/>
      <c r="N623" s="224" t="s">
        <v>570</v>
      </c>
    </row>
    <row r="624" spans="1:14" s="212" customFormat="1" ht="12.65" customHeight="1" x14ac:dyDescent="0.3">
      <c r="A624" s="223">
        <v>8420</v>
      </c>
      <c r="B624" s="227" t="s">
        <v>166</v>
      </c>
      <c r="C624" s="228">
        <f>BD85</f>
        <v>3037618</v>
      </c>
      <c r="D624" s="228">
        <f>(D615/D612)*BD90</f>
        <v>-1634217.4439134439</v>
      </c>
      <c r="E624" s="230">
        <f>(E623/E612)*SUM(C624:D624)</f>
        <v>174634.17858120039</v>
      </c>
      <c r="F624" s="230">
        <f>SUM(C624:E624)</f>
        <v>1578034.7346677564</v>
      </c>
      <c r="G624" s="228"/>
      <c r="H624" s="230"/>
      <c r="I624" s="228"/>
      <c r="J624" s="228"/>
      <c r="N624" s="224" t="s">
        <v>571</v>
      </c>
    </row>
    <row r="625" spans="1:14" s="212" customFormat="1" ht="12.65" customHeight="1" x14ac:dyDescent="0.3">
      <c r="A625" s="223">
        <v>8320</v>
      </c>
      <c r="B625" s="227" t="s">
        <v>162</v>
      </c>
      <c r="C625" s="228">
        <f>AY85</f>
        <v>3024346</v>
      </c>
      <c r="D625" s="228">
        <f>(D615/D612)*AY90</f>
        <v>-1626613.0096952938</v>
      </c>
      <c r="E625" s="230">
        <f>(E623/E612)*SUM(C625:D625)</f>
        <v>173928.92683352527</v>
      </c>
      <c r="F625" s="230">
        <f>(F624/F612)*AY64</f>
        <v>9318.9811979488277</v>
      </c>
      <c r="G625" s="228">
        <f>SUM(C625:F625)</f>
        <v>1580980.8983361803</v>
      </c>
      <c r="H625" s="230"/>
      <c r="I625" s="228"/>
      <c r="J625" s="228"/>
      <c r="N625" s="224" t="s">
        <v>572</v>
      </c>
    </row>
    <row r="626" spans="1:14" s="212" customFormat="1" ht="12.65" customHeight="1" x14ac:dyDescent="0.3">
      <c r="A626" s="223">
        <v>8650</v>
      </c>
      <c r="B626" s="227" t="s">
        <v>179</v>
      </c>
      <c r="C626" s="228">
        <f>BR85</f>
        <v>4206584</v>
      </c>
      <c r="D626" s="228">
        <f>(D615/D612)*BR90</f>
        <v>-870830.37014300912</v>
      </c>
      <c r="E626" s="230">
        <f>(E623/E612)*SUM(C626:D626)</f>
        <v>415089.32896803314</v>
      </c>
      <c r="F626" s="230">
        <f>(F624/F612)*BR64</f>
        <v>26.965070170971863</v>
      </c>
      <c r="G626" s="228">
        <f>(G625/G612)*BR91</f>
        <v>0</v>
      </c>
      <c r="H626" s="230"/>
      <c r="I626" s="228"/>
      <c r="J626" s="228"/>
      <c r="N626" s="224" t="s">
        <v>573</v>
      </c>
    </row>
    <row r="627" spans="1:14" s="212" customFormat="1" ht="12.65" customHeight="1" x14ac:dyDescent="0.3">
      <c r="A627" s="223">
        <v>8620</v>
      </c>
      <c r="B627" s="222" t="s">
        <v>574</v>
      </c>
      <c r="C627" s="228">
        <f>BO85</f>
        <v>861743</v>
      </c>
      <c r="D627" s="228">
        <f>(D615/D612)*BO90</f>
        <v>-616695.08465902111</v>
      </c>
      <c r="E627" s="230">
        <f>(E623/E612)*SUM(C627:D627)</f>
        <v>30492.891871113123</v>
      </c>
      <c r="F627" s="230">
        <f>(F624/F612)*BO64</f>
        <v>1636.5256131920296</v>
      </c>
      <c r="G627" s="228">
        <f>(G625/G612)*BO91</f>
        <v>0</v>
      </c>
      <c r="H627" s="230"/>
      <c r="I627" s="228"/>
      <c r="J627" s="228"/>
      <c r="N627" s="224" t="s">
        <v>575</v>
      </c>
    </row>
    <row r="628" spans="1:14" s="212" customFormat="1" ht="12.65" customHeight="1" x14ac:dyDescent="0.3">
      <c r="A628" s="223">
        <v>8330</v>
      </c>
      <c r="B628" s="227" t="s">
        <v>163</v>
      </c>
      <c r="C628" s="228">
        <f>AZ85</f>
        <v>181400</v>
      </c>
      <c r="D628" s="228">
        <f>(D615/D612)*AZ90</f>
        <v>-1342059.987338705</v>
      </c>
      <c r="E628" s="230">
        <f>(E623/E612)*SUM(C628:D628)</f>
        <v>-144428.40472158117</v>
      </c>
      <c r="F628" s="230">
        <f>(F624/F612)*AZ64</f>
        <v>14134.795677345355</v>
      </c>
      <c r="G628" s="228">
        <f>(G625/G612)*AZ91</f>
        <v>0</v>
      </c>
      <c r="H628" s="230">
        <f>SUM(C626:G628)</f>
        <v>2737093.6603375385</v>
      </c>
      <c r="I628" s="228"/>
      <c r="J628" s="228"/>
      <c r="N628" s="224" t="s">
        <v>576</v>
      </c>
    </row>
    <row r="629" spans="1:14" s="212" customFormat="1" ht="12.65" customHeight="1" x14ac:dyDescent="0.3">
      <c r="A629" s="223">
        <v>8460</v>
      </c>
      <c r="B629" s="227" t="s">
        <v>168</v>
      </c>
      <c r="C629" s="228">
        <f>BF85</f>
        <v>4661806</v>
      </c>
      <c r="D629" s="228">
        <f>(D615/D612)*BF90</f>
        <v>-348086.84372758586</v>
      </c>
      <c r="E629" s="230">
        <f>(E623/E612)*SUM(C629:D629)</f>
        <v>536783.88412948581</v>
      </c>
      <c r="F629" s="230">
        <f>(F624/F612)*BF64</f>
        <v>4862.4718829703661</v>
      </c>
      <c r="G629" s="228">
        <f>(G625/G612)*BF91</f>
        <v>0</v>
      </c>
      <c r="H629" s="230">
        <f>(H628/H612)*BF60</f>
        <v>89017.656371831967</v>
      </c>
      <c r="I629" s="228">
        <f>SUM(C629:H629)</f>
        <v>4944383.1686567022</v>
      </c>
      <c r="J629" s="228"/>
      <c r="N629" s="224" t="s">
        <v>577</v>
      </c>
    </row>
    <row r="630" spans="1:14" s="212" customFormat="1" ht="12.65" customHeight="1" x14ac:dyDescent="0.3">
      <c r="A630" s="223">
        <v>8350</v>
      </c>
      <c r="B630" s="227" t="s">
        <v>578</v>
      </c>
      <c r="C630" s="228">
        <f>BA85</f>
        <v>1886501.19</v>
      </c>
      <c r="D630" s="228">
        <f>(D615/D612)*BA90</f>
        <v>-644169.16957620892</v>
      </c>
      <c r="E630" s="230">
        <f>(E623/E612)*SUM(C630:D630)</f>
        <v>154591.38231839988</v>
      </c>
      <c r="F630" s="230">
        <f>(F624/F612)*BA64</f>
        <v>5477.1570411554449</v>
      </c>
      <c r="G630" s="228">
        <f>(G625/G612)*BA91</f>
        <v>0</v>
      </c>
      <c r="H630" s="230">
        <f>(H628/H612)*BA60</f>
        <v>3620.6908343680329</v>
      </c>
      <c r="I630" s="228">
        <f>(I629/I612)*BA92</f>
        <v>0</v>
      </c>
      <c r="J630" s="228">
        <f>SUM(C630:I630)</f>
        <v>1406021.2506177144</v>
      </c>
      <c r="N630" s="224" t="s">
        <v>579</v>
      </c>
    </row>
    <row r="631" spans="1:14" s="212" customFormat="1" ht="12.65" customHeight="1" x14ac:dyDescent="0.3">
      <c r="A631" s="223">
        <v>8200</v>
      </c>
      <c r="B631" s="227" t="s">
        <v>580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581</v>
      </c>
    </row>
    <row r="632" spans="1:14" s="212" customFormat="1" ht="12.65" customHeight="1" x14ac:dyDescent="0.3">
      <c r="A632" s="223">
        <v>8360</v>
      </c>
      <c r="B632" s="227" t="s">
        <v>582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583</v>
      </c>
    </row>
    <row r="633" spans="1:14" s="212" customFormat="1" ht="12.65" customHeight="1" x14ac:dyDescent="0.3">
      <c r="A633" s="223">
        <v>8370</v>
      </c>
      <c r="B633" s="227" t="s">
        <v>584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585</v>
      </c>
    </row>
    <row r="634" spans="1:14" s="212" customFormat="1" ht="12.65" customHeight="1" x14ac:dyDescent="0.3">
      <c r="A634" s="223">
        <v>8490</v>
      </c>
      <c r="B634" s="227" t="s">
        <v>586</v>
      </c>
      <c r="C634" s="228">
        <f>BI85</f>
        <v>2580902</v>
      </c>
      <c r="D634" s="228">
        <f>(D615/D612)*BI90</f>
        <v>-233284.41746647932</v>
      </c>
      <c r="E634" s="230">
        <f>(E623/E612)*SUM(C634:D634)</f>
        <v>292129.19032307924</v>
      </c>
      <c r="F634" s="230">
        <f>(F624/F612)*BI64</f>
        <v>88.072043059902171</v>
      </c>
      <c r="G634" s="228">
        <f>(G625/G612)*BI91</f>
        <v>0</v>
      </c>
      <c r="H634" s="230">
        <f>(H628/H612)*BI60</f>
        <v>486.36145536287006</v>
      </c>
      <c r="I634" s="228">
        <f>(I629/I612)*BI92</f>
        <v>12075.536157909353</v>
      </c>
      <c r="J634" s="228">
        <f>(J630/J612)*BI93</f>
        <v>0</v>
      </c>
      <c r="N634" s="224" t="s">
        <v>587</v>
      </c>
    </row>
    <row r="635" spans="1:14" s="212" customFormat="1" ht="12.65" customHeight="1" x14ac:dyDescent="0.3">
      <c r="A635" s="223">
        <v>8530</v>
      </c>
      <c r="B635" s="227" t="s">
        <v>588</v>
      </c>
      <c r="C635" s="228">
        <f>BK85</f>
        <v>6373127</v>
      </c>
      <c r="D635" s="228">
        <f>(D615/D612)*BK90</f>
        <v>-2077482.3675327166</v>
      </c>
      <c r="E635" s="230">
        <f>(E623/E612)*SUM(C635:D635)</f>
        <v>534534.75461028621</v>
      </c>
      <c r="F635" s="230">
        <f>(F624/F612)*BK64</f>
        <v>165.62658987054562</v>
      </c>
      <c r="G635" s="228">
        <f>(G625/G612)*BK91</f>
        <v>0</v>
      </c>
      <c r="H635" s="230">
        <f>(H628/H612)*BK60</f>
        <v>86194.057922641965</v>
      </c>
      <c r="I635" s="228">
        <f>(I629/I612)*BK92</f>
        <v>0</v>
      </c>
      <c r="J635" s="228">
        <f>(J630/J612)*BK93</f>
        <v>0</v>
      </c>
      <c r="N635" s="224" t="s">
        <v>589</v>
      </c>
    </row>
    <row r="636" spans="1:14" s="212" customFormat="1" ht="12.65" customHeight="1" x14ac:dyDescent="0.3">
      <c r="A636" s="223">
        <v>8480</v>
      </c>
      <c r="B636" s="227" t="s">
        <v>590</v>
      </c>
      <c r="C636" s="228">
        <f>BH85</f>
        <v>14854847</v>
      </c>
      <c r="D636" s="228">
        <f>(D615/D612)*BH90</f>
        <v>-1553267.015139587</v>
      </c>
      <c r="E636" s="230">
        <f>(E623/E612)*SUM(C636:D636)</f>
        <v>1655201.3496173692</v>
      </c>
      <c r="F636" s="230">
        <f>(F624/F612)*BH64</f>
        <v>5.1148917929525766</v>
      </c>
      <c r="G636" s="228">
        <f>(G625/G612)*BH91</f>
        <v>0</v>
      </c>
      <c r="H636" s="230">
        <f>(H628/H612)*BH60</f>
        <v>31113.623102796941</v>
      </c>
      <c r="I636" s="228">
        <f>(I629/I612)*BH92</f>
        <v>8233.3201076654677</v>
      </c>
      <c r="J636" s="228">
        <f>(J630/J612)*BH93</f>
        <v>0</v>
      </c>
      <c r="N636" s="224" t="s">
        <v>591</v>
      </c>
    </row>
    <row r="637" spans="1:14" s="212" customFormat="1" ht="12.65" customHeight="1" x14ac:dyDescent="0.3">
      <c r="A637" s="223">
        <v>8560</v>
      </c>
      <c r="B637" s="227" t="s">
        <v>174</v>
      </c>
      <c r="C637" s="228">
        <f>BL85</f>
        <v>4696969</v>
      </c>
      <c r="D637" s="228">
        <f>(D615/D612)*BL90</f>
        <v>-966744.36302354897</v>
      </c>
      <c r="E637" s="230">
        <f>(E623/E612)*SUM(C637:D637)</f>
        <v>464175.89944403706</v>
      </c>
      <c r="F637" s="230">
        <f>(F624/F612)*BL64</f>
        <v>855.05006741314094</v>
      </c>
      <c r="G637" s="228">
        <f>(G625/G612)*BL91</f>
        <v>0</v>
      </c>
      <c r="H637" s="230">
        <f>(H628/H612)*BL60</f>
        <v>72359.776525653666</v>
      </c>
      <c r="I637" s="228">
        <f>(I629/I612)*BL92</f>
        <v>10977.760143553958</v>
      </c>
      <c r="J637" s="228">
        <f>(J630/J612)*BL93</f>
        <v>0</v>
      </c>
      <c r="N637" s="224" t="s">
        <v>592</v>
      </c>
    </row>
    <row r="638" spans="1:14" s="212" customFormat="1" ht="12.65" customHeight="1" x14ac:dyDescent="0.3">
      <c r="A638" s="223">
        <v>8590</v>
      </c>
      <c r="B638" s="227" t="s">
        <v>593</v>
      </c>
      <c r="C638" s="228">
        <f>BM85</f>
        <v>4612136</v>
      </c>
      <c r="D638" s="228">
        <f>(D615/D612)*BM90</f>
        <v>-551689.43731031753</v>
      </c>
      <c r="E638" s="230">
        <f>(E623/E612)*SUM(C638:D638)</f>
        <v>505267.54252222012</v>
      </c>
      <c r="F638" s="230">
        <f>(F624/F612)*BM64</f>
        <v>1.7902121275334015</v>
      </c>
      <c r="G638" s="228">
        <f>(G625/G612)*BM91</f>
        <v>0</v>
      </c>
      <c r="H638" s="230">
        <f>(H628/H612)*BM60</f>
        <v>12010.425939377543</v>
      </c>
      <c r="I638" s="228">
        <f>(I629/I612)*BM92</f>
        <v>0</v>
      </c>
      <c r="J638" s="228">
        <f>(J630/J612)*BM93</f>
        <v>0</v>
      </c>
      <c r="N638" s="224" t="s">
        <v>594</v>
      </c>
    </row>
    <row r="639" spans="1:14" s="212" customFormat="1" ht="12.65" customHeight="1" x14ac:dyDescent="0.3">
      <c r="A639" s="223">
        <v>8660</v>
      </c>
      <c r="B639" s="227" t="s">
        <v>595</v>
      </c>
      <c r="C639" s="228">
        <f>BS85</f>
        <v>115849</v>
      </c>
      <c r="D639" s="228">
        <f>(D615/D612)*BS90</f>
        <v>-124123.99078658101</v>
      </c>
      <c r="E639" s="230">
        <f>(E623/E612)*SUM(C639:D639)</f>
        <v>-1029.710450458485</v>
      </c>
      <c r="F639" s="230">
        <f>(F624/F612)*BS64</f>
        <v>5.9620457461603467</v>
      </c>
      <c r="G639" s="228">
        <f>(G625/G612)*BS91</f>
        <v>0</v>
      </c>
      <c r="H639" s="230">
        <f>(H628/H612)*BS60</f>
        <v>1351.0040426746391</v>
      </c>
      <c r="I639" s="228">
        <f>(I629/I612)*BS92</f>
        <v>2744.4400358884895</v>
      </c>
      <c r="J639" s="228">
        <f>(J630/J612)*BS93</f>
        <v>0</v>
      </c>
      <c r="N639" s="224" t="s">
        <v>596</v>
      </c>
    </row>
    <row r="640" spans="1:14" s="212" customFormat="1" ht="12.65" customHeight="1" x14ac:dyDescent="0.3">
      <c r="A640" s="223">
        <v>8670</v>
      </c>
      <c r="B640" s="227" t="s">
        <v>597</v>
      </c>
      <c r="C640" s="228">
        <f>BT85</f>
        <v>195637</v>
      </c>
      <c r="D640" s="228">
        <f>(D615/D612)*BT90</f>
        <v>-73345.994555706959</v>
      </c>
      <c r="E640" s="230">
        <f>(E623/E612)*SUM(C640:D640)</f>
        <v>15217.458188263719</v>
      </c>
      <c r="F640" s="230">
        <f>(F624/F612)*BT64</f>
        <v>0</v>
      </c>
      <c r="G640" s="228">
        <f>(G625/G612)*BT91</f>
        <v>0</v>
      </c>
      <c r="H640" s="230">
        <f>(H628/H612)*BT60</f>
        <v>2945.1888130307134</v>
      </c>
      <c r="I640" s="228">
        <f>(I629/I612)*BT92</f>
        <v>0</v>
      </c>
      <c r="J640" s="228">
        <f>(J630/J612)*BT93</f>
        <v>0</v>
      </c>
      <c r="N640" s="224" t="s">
        <v>598</v>
      </c>
    </row>
    <row r="641" spans="1:14" s="212" customFormat="1" ht="12.65" customHeight="1" x14ac:dyDescent="0.3">
      <c r="A641" s="223">
        <v>8680</v>
      </c>
      <c r="B641" s="227" t="s">
        <v>599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600</v>
      </c>
    </row>
    <row r="642" spans="1:14" s="212" customFormat="1" ht="12.65" customHeight="1" x14ac:dyDescent="0.3">
      <c r="A642" s="223">
        <v>8690</v>
      </c>
      <c r="B642" s="227" t="s">
        <v>601</v>
      </c>
      <c r="C642" s="228">
        <f>BV85</f>
        <v>5206085</v>
      </c>
      <c r="D642" s="228">
        <f>(D615/D612)*BV90</f>
        <v>-908116.6282449069</v>
      </c>
      <c r="E642" s="230">
        <f>(E623/E612)*SUM(C642:D642)</f>
        <v>534823.91247045924</v>
      </c>
      <c r="F642" s="230">
        <f>(F624/F612)*BV64</f>
        <v>83.180927782891274</v>
      </c>
      <c r="G642" s="228">
        <f>(G625/G612)*BV91</f>
        <v>0</v>
      </c>
      <c r="H642" s="230">
        <f>(H628/H612)*BV60</f>
        <v>80438.780700848016</v>
      </c>
      <c r="I642" s="228">
        <f>(I629/I612)*BV92</f>
        <v>0</v>
      </c>
      <c r="J642" s="228">
        <f>(J630/J612)*BV93</f>
        <v>0</v>
      </c>
      <c r="N642" s="224" t="s">
        <v>602</v>
      </c>
    </row>
    <row r="643" spans="1:14" s="212" customFormat="1" ht="12.65" customHeight="1" x14ac:dyDescent="0.3">
      <c r="A643" s="223">
        <v>8700</v>
      </c>
      <c r="B643" s="227" t="s">
        <v>603</v>
      </c>
      <c r="C643" s="228">
        <f>BW85</f>
        <v>632424</v>
      </c>
      <c r="D643" s="228">
        <f>(D615/D612)*BW90</f>
        <v>-426093.62054603006</v>
      </c>
      <c r="E643" s="230">
        <f>(E623/E612)*SUM(C643:D643)</f>
        <v>25675.019278009393</v>
      </c>
      <c r="F643" s="230">
        <f>(F624/F612)*BW64</f>
        <v>9.8461667014337095</v>
      </c>
      <c r="G643" s="228">
        <f>(G625/G612)*BW91</f>
        <v>0</v>
      </c>
      <c r="H643" s="230">
        <f>(H628/H612)*BW60</f>
        <v>4674.4739876542508</v>
      </c>
      <c r="I643" s="228">
        <f>(I629/I612)*BW92</f>
        <v>2195.5520287107915</v>
      </c>
      <c r="J643" s="228">
        <f>(J630/J612)*BW93</f>
        <v>0</v>
      </c>
      <c r="N643" s="224" t="s">
        <v>604</v>
      </c>
    </row>
    <row r="644" spans="1:14" s="212" customFormat="1" ht="12.65" customHeight="1" x14ac:dyDescent="0.3">
      <c r="A644" s="223">
        <v>8710</v>
      </c>
      <c r="B644" s="227" t="s">
        <v>605</v>
      </c>
      <c r="C644" s="228">
        <f>BX85</f>
        <v>8359134</v>
      </c>
      <c r="D644" s="228">
        <f>(D615/D612)*BX90</f>
        <v>-1043524.6181939044</v>
      </c>
      <c r="E644" s="230">
        <f>(E623/E612)*SUM(C644:D644)</f>
        <v>910328.43736014329</v>
      </c>
      <c r="F644" s="230">
        <f>(F624/F612)*BX64</f>
        <v>131.91625614761753</v>
      </c>
      <c r="G644" s="228">
        <f>(G625/G612)*BX91</f>
        <v>0</v>
      </c>
      <c r="H644" s="230">
        <f>(H628/H612)*BX60</f>
        <v>72427.326727787397</v>
      </c>
      <c r="I644" s="228">
        <f>(I629/I612)*BX92</f>
        <v>14271.088186620145</v>
      </c>
      <c r="J644" s="228">
        <f>(J630/J612)*BX93</f>
        <v>0</v>
      </c>
      <c r="K644" s="230">
        <f>SUM(C631:J644)</f>
        <v>45021606.675642453</v>
      </c>
      <c r="L644" s="230"/>
      <c r="N644" s="224" t="s">
        <v>606</v>
      </c>
    </row>
    <row r="645" spans="1:14" s="212" customFormat="1" ht="12.65" customHeight="1" x14ac:dyDescent="0.3">
      <c r="A645" s="223">
        <v>8720</v>
      </c>
      <c r="B645" s="227" t="s">
        <v>607</v>
      </c>
      <c r="C645" s="228">
        <f>BY85</f>
        <v>1532667</v>
      </c>
      <c r="D645" s="228">
        <f>(D615/D612)*BY90</f>
        <v>-73591.298885324708</v>
      </c>
      <c r="E645" s="230">
        <f>(E623/E612)*SUM(C645:D645)</f>
        <v>181562.19580137823</v>
      </c>
      <c r="F645" s="230">
        <f>(F624/F612)*BY64</f>
        <v>25.638395112174788</v>
      </c>
      <c r="G645" s="228">
        <f>(G625/G612)*BY91</f>
        <v>0</v>
      </c>
      <c r="H645" s="230">
        <f>(H628/H612)*BY60</f>
        <v>15901.317582280502</v>
      </c>
      <c r="I645" s="228">
        <f>(I629/I612)*BY92</f>
        <v>8233.3201076654677</v>
      </c>
      <c r="J645" s="228">
        <f>(J630/J612)*BY93</f>
        <v>0</v>
      </c>
      <c r="K645" s="230">
        <v>0</v>
      </c>
      <c r="L645" s="230"/>
      <c r="N645" s="224" t="s">
        <v>608</v>
      </c>
    </row>
    <row r="646" spans="1:14" s="212" customFormat="1" ht="12.65" customHeight="1" x14ac:dyDescent="0.3">
      <c r="A646" s="223">
        <v>8730</v>
      </c>
      <c r="B646" s="227" t="s">
        <v>609</v>
      </c>
      <c r="C646" s="228">
        <f>BZ85</f>
        <v>3658944</v>
      </c>
      <c r="D646" s="228">
        <f>(D615/D612)*BZ90</f>
        <v>-103763.73142830784</v>
      </c>
      <c r="E646" s="230">
        <f>(E623/E612)*SUM(C646:D646)</f>
        <v>442394.00021430303</v>
      </c>
      <c r="F646" s="230">
        <f>(F624/F612)*BZ64</f>
        <v>10215.589761179708</v>
      </c>
      <c r="G646" s="228">
        <f>(G625/G612)*BZ91</f>
        <v>0</v>
      </c>
      <c r="H646" s="230">
        <f>(H628/H612)*BZ60</f>
        <v>21548.514480660491</v>
      </c>
      <c r="I646" s="228">
        <f>(I629/I612)*BZ92</f>
        <v>95506.513248919437</v>
      </c>
      <c r="J646" s="228">
        <f>(J630/J612)*BZ93</f>
        <v>0</v>
      </c>
      <c r="K646" s="230">
        <v>0</v>
      </c>
      <c r="L646" s="230"/>
      <c r="N646" s="224" t="s">
        <v>610</v>
      </c>
    </row>
    <row r="647" spans="1:14" s="212" customFormat="1" ht="12.65" customHeight="1" x14ac:dyDescent="0.3">
      <c r="A647" s="223">
        <v>8740</v>
      </c>
      <c r="B647" s="227" t="s">
        <v>611</v>
      </c>
      <c r="C647" s="228">
        <f>CA85</f>
        <v>367245</v>
      </c>
      <c r="D647" s="228">
        <f>(D615/D612)*CA90</f>
        <v>-388316.75378489675</v>
      </c>
      <c r="E647" s="230">
        <f>(E623/E612)*SUM(C647:D647)</f>
        <v>-2622.0941680058631</v>
      </c>
      <c r="F647" s="230">
        <f>(F624/F612)*CA64</f>
        <v>179.43679771151756</v>
      </c>
      <c r="G647" s="228">
        <f>(G625/G612)*CA91</f>
        <v>0</v>
      </c>
      <c r="H647" s="230">
        <f>(H628/H612)*CA60</f>
        <v>2647.9679236422926</v>
      </c>
      <c r="I647" s="228">
        <f>(I629/I612)*CA92</f>
        <v>5488.8800717769791</v>
      </c>
      <c r="J647" s="228">
        <f>(J630/J612)*CA93</f>
        <v>0</v>
      </c>
      <c r="K647" s="230">
        <v>0</v>
      </c>
      <c r="L647" s="230">
        <f>SUM(C645:K647)</f>
        <v>5774265.4961180948</v>
      </c>
      <c r="N647" s="224" t="s">
        <v>612</v>
      </c>
    </row>
    <row r="648" spans="1:14" s="212" customFormat="1" ht="12.65" customHeight="1" x14ac:dyDescent="0.3">
      <c r="A648" s="223"/>
      <c r="B648" s="223"/>
      <c r="C648" s="212">
        <f>SUM(C614:C647)</f>
        <v>-35990015.960000008</v>
      </c>
      <c r="L648" s="226"/>
    </row>
    <row r="666" spans="1:14" s="212" customFormat="1" ht="12.65" customHeight="1" x14ac:dyDescent="0.3">
      <c r="C666" s="221" t="s">
        <v>613</v>
      </c>
      <c r="M666" s="221" t="s">
        <v>614</v>
      </c>
    </row>
    <row r="667" spans="1:14" s="212" customFormat="1" ht="12.65" customHeight="1" x14ac:dyDescent="0.3">
      <c r="C667" s="221" t="s">
        <v>543</v>
      </c>
      <c r="D667" s="221" t="s">
        <v>544</v>
      </c>
      <c r="E667" s="222" t="s">
        <v>545</v>
      </c>
      <c r="F667" s="221" t="s">
        <v>546</v>
      </c>
      <c r="G667" s="221" t="s">
        <v>547</v>
      </c>
      <c r="H667" s="221" t="s">
        <v>548</v>
      </c>
      <c r="I667" s="221" t="s">
        <v>549</v>
      </c>
      <c r="J667" s="221" t="s">
        <v>550</v>
      </c>
      <c r="K667" s="221" t="s">
        <v>551</v>
      </c>
      <c r="L667" s="222" t="s">
        <v>552</v>
      </c>
      <c r="M667" s="221" t="s">
        <v>615</v>
      </c>
    </row>
    <row r="668" spans="1:14" s="212" customFormat="1" ht="12.65" customHeight="1" x14ac:dyDescent="0.3">
      <c r="A668" s="223">
        <v>6010</v>
      </c>
      <c r="B668" s="222" t="s">
        <v>342</v>
      </c>
      <c r="C668" s="228">
        <f>C85</f>
        <v>8925783</v>
      </c>
      <c r="D668" s="228">
        <f>(D615/D612)*C90</f>
        <v>-2785921.2714687758</v>
      </c>
      <c r="E668" s="230">
        <f>(E623/E612)*SUM(C668:D668)</f>
        <v>764022.57709955529</v>
      </c>
      <c r="F668" s="230">
        <f>(F624/F612)*C64</f>
        <v>8440.258771956429</v>
      </c>
      <c r="G668" s="228">
        <f>(G625/G612)*C91</f>
        <v>21044.828011850204</v>
      </c>
      <c r="H668" s="230">
        <f>(H628/H612)*C60</f>
        <v>64145.671946191862</v>
      </c>
      <c r="I668" s="228">
        <f>(I629/I612)*C92</f>
        <v>169057.50621073093</v>
      </c>
      <c r="J668" s="228">
        <f>(J630/J612)*C93</f>
        <v>36099.345416170247</v>
      </c>
      <c r="K668" s="228">
        <f>(K644/K612)*C89</f>
        <v>797493.16495732218</v>
      </c>
      <c r="L668" s="228">
        <f>(L647/L612)*C94</f>
        <v>5774265.4961180948</v>
      </c>
      <c r="M668" s="212">
        <f t="shared" ref="M668:M713" si="24">ROUND(SUM(D668:L668),0)</f>
        <v>4848648</v>
      </c>
      <c r="N668" s="222" t="s">
        <v>616</v>
      </c>
    </row>
    <row r="669" spans="1:14" s="212" customFormat="1" ht="12.65" customHeight="1" x14ac:dyDescent="0.3">
      <c r="A669" s="223">
        <v>6030</v>
      </c>
      <c r="B669" s="222" t="s">
        <v>343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617</v>
      </c>
    </row>
    <row r="670" spans="1:14" s="212" customFormat="1" ht="12.65" customHeight="1" x14ac:dyDescent="0.3">
      <c r="A670" s="223">
        <v>6070</v>
      </c>
      <c r="B670" s="222" t="s">
        <v>618</v>
      </c>
      <c r="C670" s="228">
        <f>E85</f>
        <v>30271929.710000001</v>
      </c>
      <c r="D670" s="228">
        <f>(D615/D612)*E90</f>
        <v>-15612394.058521638</v>
      </c>
      <c r="E670" s="230">
        <f>(E623/E612)*SUM(C670:D670)</f>
        <v>1824180.5276296702</v>
      </c>
      <c r="F670" s="230">
        <f>(F624/F612)*E64</f>
        <v>24312.934840178539</v>
      </c>
      <c r="G670" s="228">
        <f>(G625/G612)*E91</f>
        <v>1171246.4255799619</v>
      </c>
      <c r="H670" s="230">
        <f>(H628/H612)*E60</f>
        <v>328226.43216780358</v>
      </c>
      <c r="I670" s="228">
        <f>(I629/I612)*E92</f>
        <v>878220.8114843166</v>
      </c>
      <c r="J670" s="228">
        <f>(J630/J612)*E93</f>
        <v>399633.85370198212</v>
      </c>
      <c r="K670" s="228">
        <f>(K644/K612)*E89</f>
        <v>4021004.3344041249</v>
      </c>
      <c r="L670" s="228">
        <f>(L647/L612)*E94</f>
        <v>0</v>
      </c>
      <c r="M670" s="212">
        <f t="shared" si="24"/>
        <v>-6965569</v>
      </c>
      <c r="N670" s="222" t="s">
        <v>619</v>
      </c>
    </row>
    <row r="671" spans="1:14" s="212" customFormat="1" ht="12.65" customHeight="1" x14ac:dyDescent="0.3">
      <c r="A671" s="223">
        <v>6100</v>
      </c>
      <c r="B671" s="222" t="s">
        <v>620</v>
      </c>
      <c r="C671" s="228">
        <f>F85</f>
        <v>5986724</v>
      </c>
      <c r="D671" s="228">
        <f>(D615/D612)*F90</f>
        <v>-4600192.0933216475</v>
      </c>
      <c r="E671" s="230">
        <f>(E623/E612)*SUM(C671:D671)</f>
        <v>172535.10378719398</v>
      </c>
      <c r="F671" s="230">
        <f>(F624/F612)*F64</f>
        <v>2595.9514412551093</v>
      </c>
      <c r="G671" s="228">
        <f>(G625/G612)*F91</f>
        <v>107722.73041071916</v>
      </c>
      <c r="H671" s="230">
        <f>(H628/H612)*F60</f>
        <v>57255.551328551206</v>
      </c>
      <c r="I671" s="228">
        <f>(I629/I612)*F92</f>
        <v>228337.41098592232</v>
      </c>
      <c r="J671" s="228">
        <f>(J630/J612)*F93</f>
        <v>94625.516921308052</v>
      </c>
      <c r="K671" s="228">
        <f>(K644/K612)*F89</f>
        <v>698765.59742867737</v>
      </c>
      <c r="L671" s="228">
        <f>(L647/L612)*F94</f>
        <v>0</v>
      </c>
      <c r="M671" s="212">
        <f t="shared" si="24"/>
        <v>-3238354</v>
      </c>
      <c r="N671" s="222" t="s">
        <v>621</v>
      </c>
    </row>
    <row r="672" spans="1:14" s="212" customFormat="1" ht="12.65" customHeight="1" x14ac:dyDescent="0.3">
      <c r="A672" s="223">
        <v>6120</v>
      </c>
      <c r="B672" s="222" t="s">
        <v>622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623</v>
      </c>
    </row>
    <row r="673" spans="1:14" s="212" customFormat="1" ht="12.65" customHeight="1" x14ac:dyDescent="0.3">
      <c r="A673" s="223">
        <v>6140</v>
      </c>
      <c r="B673" s="222" t="s">
        <v>624</v>
      </c>
      <c r="C673" s="228">
        <f>H85</f>
        <v>5780652</v>
      </c>
      <c r="D673" s="228">
        <f>(D615/D612)*H90</f>
        <v>-3271378.5397823011</v>
      </c>
      <c r="E673" s="230">
        <f>(E623/E612)*SUM(C673:D673)</f>
        <v>312245.07334005757</v>
      </c>
      <c r="F673" s="230">
        <f>(F624/F612)*H64</f>
        <v>980.90837359348029</v>
      </c>
      <c r="G673" s="228">
        <f>(G625/G612)*H91</f>
        <v>177047.8798875362</v>
      </c>
      <c r="H673" s="230">
        <f>(H628/H612)*H60</f>
        <v>49716.948770426716</v>
      </c>
      <c r="I673" s="228">
        <f>(I629/I612)*H92</f>
        <v>105386.49737811799</v>
      </c>
      <c r="J673" s="228">
        <f>(J630/J612)*H93</f>
        <v>33932.189060947341</v>
      </c>
      <c r="K673" s="228">
        <f>(K644/K612)*H89</f>
        <v>649627.60557046963</v>
      </c>
      <c r="L673" s="228">
        <f>(L647/L612)*H94</f>
        <v>0</v>
      </c>
      <c r="M673" s="212">
        <f t="shared" si="24"/>
        <v>-1942441</v>
      </c>
      <c r="N673" s="222" t="s">
        <v>625</v>
      </c>
    </row>
    <row r="674" spans="1:14" s="212" customFormat="1" ht="12.65" customHeight="1" x14ac:dyDescent="0.3">
      <c r="A674" s="223">
        <v>6150</v>
      </c>
      <c r="B674" s="222" t="s">
        <v>626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627</v>
      </c>
    </row>
    <row r="675" spans="1:14" s="212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628</v>
      </c>
    </row>
    <row r="676" spans="1:14" s="212" customFormat="1" ht="12.65" customHeight="1" x14ac:dyDescent="0.3">
      <c r="A676" s="223">
        <v>6200</v>
      </c>
      <c r="B676" s="222" t="s">
        <v>348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629</v>
      </c>
    </row>
    <row r="677" spans="1:14" s="212" customFormat="1" ht="12.65" customHeight="1" x14ac:dyDescent="0.3">
      <c r="A677" s="223">
        <v>6210</v>
      </c>
      <c r="B677" s="222" t="s">
        <v>349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630</v>
      </c>
    </row>
    <row r="678" spans="1:14" s="212" customFormat="1" ht="12.65" customHeight="1" x14ac:dyDescent="0.3">
      <c r="A678" s="223">
        <v>6330</v>
      </c>
      <c r="B678" s="222" t="s">
        <v>631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632</v>
      </c>
    </row>
    <row r="679" spans="1:14" s="212" customFormat="1" ht="12.65" customHeight="1" x14ac:dyDescent="0.3">
      <c r="A679" s="223">
        <v>6400</v>
      </c>
      <c r="B679" s="222" t="s">
        <v>633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634</v>
      </c>
    </row>
    <row r="680" spans="1:14" s="212" customFormat="1" ht="12.65" customHeight="1" x14ac:dyDescent="0.3">
      <c r="A680" s="223">
        <v>7010</v>
      </c>
      <c r="B680" s="222" t="s">
        <v>635</v>
      </c>
      <c r="C680" s="228">
        <f>O85</f>
        <v>7279075</v>
      </c>
      <c r="D680" s="228">
        <f>(D615/D612)*O90</f>
        <v>-2599735.2852889043</v>
      </c>
      <c r="E680" s="230">
        <f>(E623/E612)*SUM(C680:D680)</f>
        <v>582280.4072842059</v>
      </c>
      <c r="F680" s="230">
        <f>(F624/F612)*O64</f>
        <v>11119.119412367929</v>
      </c>
      <c r="G680" s="228">
        <f>(G625/G612)*O91</f>
        <v>0</v>
      </c>
      <c r="H680" s="230">
        <f>(H628/H612)*O60</f>
        <v>66023.567565509613</v>
      </c>
      <c r="I680" s="228">
        <f>(I629/I612)*O92</f>
        <v>228337.41098592232</v>
      </c>
      <c r="J680" s="228">
        <f>(J630/J612)*O93</f>
        <v>120201.18134007274</v>
      </c>
      <c r="K680" s="228">
        <f>(K644/K612)*O89</f>
        <v>470309.50273115764</v>
      </c>
      <c r="L680" s="228">
        <f>(L647/L612)*O94</f>
        <v>0</v>
      </c>
      <c r="M680" s="212">
        <f t="shared" si="24"/>
        <v>-1121464</v>
      </c>
      <c r="N680" s="222" t="s">
        <v>636</v>
      </c>
    </row>
    <row r="681" spans="1:14" s="212" customFormat="1" ht="12.65" customHeight="1" x14ac:dyDescent="0.3">
      <c r="A681" s="223">
        <v>7020</v>
      </c>
      <c r="B681" s="222" t="s">
        <v>637</v>
      </c>
      <c r="C681" s="228">
        <f>P85</f>
        <v>35996440</v>
      </c>
      <c r="D681" s="228">
        <f>(D615/D612)*P90</f>
        <v>-10465909.223141262</v>
      </c>
      <c r="E681" s="230">
        <f>(E623/E612)*SUM(C681:D681)</f>
        <v>3176928.5337833366</v>
      </c>
      <c r="F681" s="230">
        <f>(F624/F612)*P64</f>
        <v>310673.84418114153</v>
      </c>
      <c r="G681" s="228">
        <f>(G625/G612)*P91</f>
        <v>1682.8993432568909</v>
      </c>
      <c r="H681" s="230">
        <f>(H628/H612)*P60</f>
        <v>142652.51686601515</v>
      </c>
      <c r="I681" s="228">
        <f>(I629/I612)*P92</f>
        <v>416605.99744787271</v>
      </c>
      <c r="J681" s="228">
        <f>(J630/J612)*P93</f>
        <v>258615.29456311153</v>
      </c>
      <c r="K681" s="228">
        <f>(K644/K612)*P89</f>
        <v>4012211.4005981889</v>
      </c>
      <c r="L681" s="228">
        <f>(L647/L612)*P94</f>
        <v>0</v>
      </c>
      <c r="M681" s="212">
        <f t="shared" si="24"/>
        <v>-2146539</v>
      </c>
      <c r="N681" s="222" t="s">
        <v>638</v>
      </c>
    </row>
    <row r="682" spans="1:14" s="212" customFormat="1" ht="12.65" customHeight="1" x14ac:dyDescent="0.3">
      <c r="A682" s="223">
        <v>7030</v>
      </c>
      <c r="B682" s="222" t="s">
        <v>639</v>
      </c>
      <c r="C682" s="228">
        <f>Q85</f>
        <v>6503304</v>
      </c>
      <c r="D682" s="228">
        <f>(D615/D612)*Q90</f>
        <v>-767557.2473739367</v>
      </c>
      <c r="E682" s="230">
        <f>(E623/E612)*SUM(C682:D682)</f>
        <v>713735.94541518902</v>
      </c>
      <c r="F682" s="230">
        <f>(F624/F612)*Q64</f>
        <v>33.118924359367931</v>
      </c>
      <c r="G682" s="228">
        <f>(G625/G612)*Q91</f>
        <v>1425.312709084918</v>
      </c>
      <c r="H682" s="230">
        <f>(H628/H612)*Q60</f>
        <v>41732.514878219605</v>
      </c>
      <c r="I682" s="228">
        <f>(I629/I612)*Q92</f>
        <v>37324.384488083459</v>
      </c>
      <c r="J682" s="228">
        <f>(J630/J612)*Q93</f>
        <v>53487.618919583707</v>
      </c>
      <c r="K682" s="228">
        <f>(K644/K612)*Q89</f>
        <v>316294.20065582334</v>
      </c>
      <c r="L682" s="228">
        <f>(L647/L612)*Q94</f>
        <v>0</v>
      </c>
      <c r="M682" s="212">
        <f t="shared" si="24"/>
        <v>396476</v>
      </c>
      <c r="N682" s="222" t="s">
        <v>640</v>
      </c>
    </row>
    <row r="683" spans="1:14" s="212" customFormat="1" ht="12.65" customHeight="1" x14ac:dyDescent="0.3">
      <c r="A683" s="223">
        <v>7040</v>
      </c>
      <c r="B683" s="222" t="s">
        <v>133</v>
      </c>
      <c r="C683" s="228">
        <f>R85</f>
        <v>478110</v>
      </c>
      <c r="D683" s="228">
        <f>(D615/D612)*R90</f>
        <v>-153560.5103407109</v>
      </c>
      <c r="E683" s="230">
        <f>(E623/E612)*SUM(C683:D683)</f>
        <v>40385.785291153974</v>
      </c>
      <c r="F683" s="230">
        <f>(F624/F612)*R64</f>
        <v>-2.8131904861239168</v>
      </c>
      <c r="G683" s="228">
        <f>(G625/G612)*R91</f>
        <v>0</v>
      </c>
      <c r="H683" s="230">
        <f>(H628/H612)*R60</f>
        <v>3269.4297832726265</v>
      </c>
      <c r="I683" s="228">
        <f>(I629/I612)*R92</f>
        <v>3842.2160502438851</v>
      </c>
      <c r="J683" s="228">
        <f>(J630/J612)*R93</f>
        <v>0</v>
      </c>
      <c r="K683" s="228">
        <f>(K644/K612)*R89</f>
        <v>174344.06733186223</v>
      </c>
      <c r="L683" s="228">
        <f>(L647/L612)*R94</f>
        <v>0</v>
      </c>
      <c r="M683" s="212">
        <f t="shared" si="24"/>
        <v>68278</v>
      </c>
      <c r="N683" s="222" t="s">
        <v>641</v>
      </c>
    </row>
    <row r="684" spans="1:14" s="212" customFormat="1" ht="12.65" customHeight="1" x14ac:dyDescent="0.3">
      <c r="A684" s="223">
        <v>7050</v>
      </c>
      <c r="B684" s="222" t="s">
        <v>642</v>
      </c>
      <c r="C684" s="228">
        <f>S85</f>
        <v>3144649</v>
      </c>
      <c r="D684" s="228">
        <f>(D615/D612)*S90</f>
        <v>-8424486.592062356</v>
      </c>
      <c r="E684" s="230">
        <f>(E623/E612)*SUM(C684:D684)</f>
        <v>-657004.22942905326</v>
      </c>
      <c r="F684" s="230">
        <f>(F624/F612)*S64</f>
        <v>13123.949202726249</v>
      </c>
      <c r="G684" s="228">
        <f>(G625/G612)*S91</f>
        <v>0</v>
      </c>
      <c r="H684" s="230">
        <f>(H628/H612)*S60</f>
        <v>29397.847968600148</v>
      </c>
      <c r="I684" s="228">
        <f>(I629/I612)*S92</f>
        <v>128439.7936795813</v>
      </c>
      <c r="J684" s="228">
        <f>(J630/J612)*S93</f>
        <v>14153.039625358317</v>
      </c>
      <c r="K684" s="228">
        <f>(K644/K612)*S89</f>
        <v>0</v>
      </c>
      <c r="L684" s="228">
        <f>(L647/L612)*S94</f>
        <v>0</v>
      </c>
      <c r="M684" s="212">
        <f t="shared" si="24"/>
        <v>-8896376</v>
      </c>
      <c r="N684" s="222" t="s">
        <v>643</v>
      </c>
    </row>
    <row r="685" spans="1:14" s="212" customFormat="1" ht="12.65" customHeight="1" x14ac:dyDescent="0.3">
      <c r="A685" s="223">
        <v>7060</v>
      </c>
      <c r="B685" s="222" t="s">
        <v>644</v>
      </c>
      <c r="C685" s="228">
        <f>T85</f>
        <v>5946808</v>
      </c>
      <c r="D685" s="228">
        <f>(D615/D612)*T90</f>
        <v>-71628.864248382713</v>
      </c>
      <c r="E685" s="230">
        <f>(E623/E612)*SUM(C685:D685)</f>
        <v>731086.41573468957</v>
      </c>
      <c r="F685" s="230">
        <f>(F624/F612)*T64</f>
        <v>72573.057789265804</v>
      </c>
      <c r="G685" s="228">
        <f>(G625/G612)*T91</f>
        <v>0</v>
      </c>
      <c r="H685" s="230">
        <f>(H628/H612)*T60</f>
        <v>12699.438001141609</v>
      </c>
      <c r="I685" s="228">
        <f>(I629/I612)*T92</f>
        <v>1097.7760143553958</v>
      </c>
      <c r="J685" s="228">
        <f>(J630/J612)*T93</f>
        <v>0</v>
      </c>
      <c r="K685" s="228">
        <f>(K644/K612)*T89</f>
        <v>54194.256960600716</v>
      </c>
      <c r="L685" s="228">
        <f>(L647/L612)*T94</f>
        <v>0</v>
      </c>
      <c r="M685" s="212">
        <f t="shared" si="24"/>
        <v>800022</v>
      </c>
      <c r="N685" s="222" t="s">
        <v>645</v>
      </c>
    </row>
    <row r="686" spans="1:14" s="212" customFormat="1" ht="12.65" customHeight="1" x14ac:dyDescent="0.3">
      <c r="A686" s="223">
        <v>7070</v>
      </c>
      <c r="B686" s="222" t="s">
        <v>136</v>
      </c>
      <c r="C686" s="228">
        <f>U85</f>
        <v>12655374</v>
      </c>
      <c r="D686" s="228">
        <f>(D615/D612)*U90</f>
        <v>-2899742.4804114113</v>
      </c>
      <c r="E686" s="230">
        <f>(E623/E612)*SUM(C686:D686)</f>
        <v>1213956.1222028944</v>
      </c>
      <c r="F686" s="230">
        <f>(F624/F612)*U64</f>
        <v>246.74557689940286</v>
      </c>
      <c r="G686" s="228">
        <f>(G625/G612)*U91</f>
        <v>0</v>
      </c>
      <c r="H686" s="230">
        <f>(H628/H612)*U60</f>
        <v>99433.897540853432</v>
      </c>
      <c r="I686" s="228">
        <f>(I629/I612)*U92</f>
        <v>53242.136696236696</v>
      </c>
      <c r="J686" s="228">
        <f>(J630/J612)*U93</f>
        <v>0</v>
      </c>
      <c r="K686" s="228">
        <f>(K644/K612)*U89</f>
        <v>3331372.1063337815</v>
      </c>
      <c r="L686" s="228">
        <f>(L647/L612)*U94</f>
        <v>0</v>
      </c>
      <c r="M686" s="212">
        <f t="shared" si="24"/>
        <v>1798509</v>
      </c>
      <c r="N686" s="222" t="s">
        <v>646</v>
      </c>
    </row>
    <row r="687" spans="1:14" s="212" customFormat="1" ht="12.65" customHeight="1" x14ac:dyDescent="0.3">
      <c r="A687" s="223">
        <v>7110</v>
      </c>
      <c r="B687" s="222" t="s">
        <v>647</v>
      </c>
      <c r="C687" s="228">
        <f>V85</f>
        <v>132111</v>
      </c>
      <c r="D687" s="228">
        <f>(D615/D612)*V90</f>
        <v>-55438.77849361128</v>
      </c>
      <c r="E687" s="230">
        <f>(E623/E612)*SUM(C687:D687)</f>
        <v>9540.8188094933485</v>
      </c>
      <c r="F687" s="230">
        <f>(F624/F612)*V64</f>
        <v>27.780256050473678</v>
      </c>
      <c r="G687" s="228">
        <f>(G625/G612)*V91</f>
        <v>0</v>
      </c>
      <c r="H687" s="230">
        <f>(H628/H612)*V60</f>
        <v>2999.228974737699</v>
      </c>
      <c r="I687" s="228">
        <f>(I629/I612)*V92</f>
        <v>26895.512351707195</v>
      </c>
      <c r="J687" s="228">
        <f>(J630/J612)*V93</f>
        <v>0</v>
      </c>
      <c r="K687" s="228">
        <f>(K644/K612)*V89</f>
        <v>234207.58965049218</v>
      </c>
      <c r="L687" s="228">
        <f>(L647/L612)*V94</f>
        <v>0</v>
      </c>
      <c r="M687" s="212">
        <f t="shared" si="24"/>
        <v>218232</v>
      </c>
      <c r="N687" s="222" t="s">
        <v>648</v>
      </c>
    </row>
    <row r="688" spans="1:14" s="212" customFormat="1" ht="12.65" customHeight="1" x14ac:dyDescent="0.3">
      <c r="A688" s="223">
        <v>7120</v>
      </c>
      <c r="B688" s="222" t="s">
        <v>649</v>
      </c>
      <c r="C688" s="228">
        <f>W85</f>
        <v>1987618</v>
      </c>
      <c r="D688" s="228">
        <f>(D615/D612)*W90</f>
        <v>-558312.65420999681</v>
      </c>
      <c r="E688" s="230">
        <f>(E623/E612)*SUM(C688:D688)</f>
        <v>177857.67856597682</v>
      </c>
      <c r="F688" s="230">
        <f>(F624/F612)*W64</f>
        <v>647.09774795591284</v>
      </c>
      <c r="G688" s="228">
        <f>(G625/G612)*W91</f>
        <v>0</v>
      </c>
      <c r="H688" s="230">
        <f>(H628/H612)*W60</f>
        <v>14874.554509847776</v>
      </c>
      <c r="I688" s="228">
        <f>(I629/I612)*W92</f>
        <v>8233.3201076654677</v>
      </c>
      <c r="J688" s="228">
        <f>(J630/J612)*W93</f>
        <v>9456.1842586004877</v>
      </c>
      <c r="K688" s="228">
        <f>(K644/K612)*W89</f>
        <v>923290.36308795831</v>
      </c>
      <c r="L688" s="228">
        <f>(L647/L612)*W94</f>
        <v>0</v>
      </c>
      <c r="M688" s="212">
        <f t="shared" si="24"/>
        <v>576047</v>
      </c>
      <c r="N688" s="222" t="s">
        <v>650</v>
      </c>
    </row>
    <row r="689" spans="1:14" s="212" customFormat="1" ht="12.65" customHeight="1" x14ac:dyDescent="0.3">
      <c r="A689" s="223">
        <v>7130</v>
      </c>
      <c r="B689" s="222" t="s">
        <v>651</v>
      </c>
      <c r="C689" s="228">
        <f>X85</f>
        <v>2597874</v>
      </c>
      <c r="D689" s="228">
        <f>(D615/D612)*X90</f>
        <v>-586522.65211603791</v>
      </c>
      <c r="E689" s="230">
        <f>(E623/E612)*SUM(C689:D689)</f>
        <v>250285.41491773661</v>
      </c>
      <c r="F689" s="230">
        <f>(F624/F612)*X64</f>
        <v>6029.1147647954376</v>
      </c>
      <c r="G689" s="228">
        <f>(G625/G612)*X91</f>
        <v>0</v>
      </c>
      <c r="H689" s="230">
        <f>(H628/H612)*X60</f>
        <v>21467.454238100017</v>
      </c>
      <c r="I689" s="228">
        <f>(I629/I612)*X92</f>
        <v>15917.752208153239</v>
      </c>
      <c r="J689" s="228">
        <f>(J630/J612)*X93</f>
        <v>25934.133738453711</v>
      </c>
      <c r="K689" s="228">
        <f>(K644/K612)*X89</f>
        <v>2765744.3957843171</v>
      </c>
      <c r="L689" s="228">
        <f>(L647/L612)*X94</f>
        <v>0</v>
      </c>
      <c r="M689" s="212">
        <f t="shared" si="24"/>
        <v>2498856</v>
      </c>
      <c r="N689" s="222" t="s">
        <v>652</v>
      </c>
    </row>
    <row r="690" spans="1:14" s="212" customFormat="1" ht="12.65" customHeight="1" x14ac:dyDescent="0.3">
      <c r="A690" s="223">
        <v>7140</v>
      </c>
      <c r="B690" s="222" t="s">
        <v>653</v>
      </c>
      <c r="C690" s="228">
        <f>Y85</f>
        <v>19781500</v>
      </c>
      <c r="D690" s="228">
        <f>(D615/D612)*Y90</f>
        <v>-9921578.9157194775</v>
      </c>
      <c r="E690" s="230">
        <f>(E623/E612)*SUM(C690:D690)</f>
        <v>1226933.5450673637</v>
      </c>
      <c r="F690" s="230">
        <f>(F624/F612)*Y64</f>
        <v>152053.40931206645</v>
      </c>
      <c r="G690" s="228">
        <f>(G625/G612)*Y91</f>
        <v>9659.4987814489923</v>
      </c>
      <c r="H690" s="230">
        <f>(H628/H612)*Y60</f>
        <v>99623.03810682788</v>
      </c>
      <c r="I690" s="228">
        <f>(I629/I612)*Y92</f>
        <v>322197.26021330868</v>
      </c>
      <c r="J690" s="228">
        <f>(J630/J612)*Y93</f>
        <v>61595.670027763765</v>
      </c>
      <c r="K690" s="228">
        <f>(K644/K612)*Y89</f>
        <v>3528153.5119391694</v>
      </c>
      <c r="L690" s="228">
        <f>(L647/L612)*Y94</f>
        <v>0</v>
      </c>
      <c r="M690" s="212">
        <f t="shared" si="24"/>
        <v>-4521363</v>
      </c>
      <c r="N690" s="222" t="s">
        <v>654</v>
      </c>
    </row>
    <row r="691" spans="1:14" s="212" customFormat="1" ht="12.65" customHeight="1" x14ac:dyDescent="0.3">
      <c r="A691" s="223">
        <v>7150</v>
      </c>
      <c r="B691" s="222" t="s">
        <v>655</v>
      </c>
      <c r="C691" s="228">
        <f>Z85</f>
        <v>3931815</v>
      </c>
      <c r="D691" s="228">
        <f>(D615/D612)*Z90</f>
        <v>-3114138.4644973241</v>
      </c>
      <c r="E691" s="230">
        <f>(E623/E612)*SUM(C691:D691)</f>
        <v>101748.76267743518</v>
      </c>
      <c r="F691" s="230">
        <f>(F624/F612)*Z64</f>
        <v>979.64563468209508</v>
      </c>
      <c r="G691" s="228">
        <f>(G625/G612)*Z91</f>
        <v>0</v>
      </c>
      <c r="H691" s="230">
        <f>(H628/H612)*Z60</f>
        <v>15995.887865267727</v>
      </c>
      <c r="I691" s="228">
        <f>(I629/I612)*Z92</f>
        <v>90017.633177142459</v>
      </c>
      <c r="J691" s="228">
        <f>(J630/J612)*Z93</f>
        <v>0</v>
      </c>
      <c r="K691" s="228">
        <f>(K644/K612)*Z89</f>
        <v>610853.56027492019</v>
      </c>
      <c r="L691" s="228">
        <f>(L647/L612)*Z94</f>
        <v>0</v>
      </c>
      <c r="M691" s="212">
        <f t="shared" si="24"/>
        <v>-2294543</v>
      </c>
      <c r="N691" s="222" t="s">
        <v>656</v>
      </c>
    </row>
    <row r="692" spans="1:14" s="212" customFormat="1" ht="12.65" customHeight="1" x14ac:dyDescent="0.3">
      <c r="A692" s="223">
        <v>7160</v>
      </c>
      <c r="B692" s="222" t="s">
        <v>657</v>
      </c>
      <c r="C692" s="228">
        <f>AA85</f>
        <v>1323641</v>
      </c>
      <c r="D692" s="228">
        <f>(D615/D612)*AA90</f>
        <v>-561256.30616540974</v>
      </c>
      <c r="E692" s="230">
        <f>(E623/E612)*SUM(C692:D692)</f>
        <v>94868.442365411305</v>
      </c>
      <c r="F692" s="230">
        <f>(F624/F612)*AA64</f>
        <v>9054.2695636266799</v>
      </c>
      <c r="G692" s="228">
        <f>(G625/G612)*AA91</f>
        <v>0</v>
      </c>
      <c r="H692" s="230">
        <f>(H628/H612)*AA60</f>
        <v>7079.2611836151091</v>
      </c>
      <c r="I692" s="228">
        <f>(I629/I612)*AA92</f>
        <v>55986.576732125184</v>
      </c>
      <c r="J692" s="228">
        <f>(J630/J612)*AA93</f>
        <v>3482.1141801994258</v>
      </c>
      <c r="K692" s="228">
        <f>(K644/K612)*AA89</f>
        <v>227846.86644165154</v>
      </c>
      <c r="L692" s="228">
        <f>(L647/L612)*AA94</f>
        <v>0</v>
      </c>
      <c r="M692" s="212">
        <f t="shared" si="24"/>
        <v>-162939</v>
      </c>
      <c r="N692" s="222" t="s">
        <v>658</v>
      </c>
    </row>
    <row r="693" spans="1:14" s="212" customFormat="1" ht="12.65" customHeight="1" x14ac:dyDescent="0.3">
      <c r="A693" s="223">
        <v>7170</v>
      </c>
      <c r="B693" s="222" t="s">
        <v>142</v>
      </c>
      <c r="C693" s="228">
        <f>AB85</f>
        <v>19895283</v>
      </c>
      <c r="D693" s="228">
        <f>(D615/D612)*AB90</f>
        <v>-2527370.5080516683</v>
      </c>
      <c r="E693" s="230">
        <f>(E623/E612)*SUM(C693:D693)</f>
        <v>2161201.3181463364</v>
      </c>
      <c r="F693" s="230">
        <f>(F624/F612)*AB64</f>
        <v>196362.94968064566</v>
      </c>
      <c r="G693" s="228">
        <f>(G625/G612)*AB91</f>
        <v>0</v>
      </c>
      <c r="H693" s="230">
        <f>(H628/H612)*AB60</f>
        <v>84072.981575642785</v>
      </c>
      <c r="I693" s="228">
        <f>(I629/I612)*AB92</f>
        <v>56535.464739302879</v>
      </c>
      <c r="J693" s="228">
        <f>(J630/J612)*AB93</f>
        <v>1020.1549921578691</v>
      </c>
      <c r="K693" s="228">
        <f>(K644/K612)*AB89</f>
        <v>1971612.2335003065</v>
      </c>
      <c r="L693" s="228">
        <f>(L647/L612)*AB94</f>
        <v>0</v>
      </c>
      <c r="M693" s="212">
        <f t="shared" si="24"/>
        <v>1943435</v>
      </c>
      <c r="N693" s="222" t="s">
        <v>659</v>
      </c>
    </row>
    <row r="694" spans="1:14" s="212" customFormat="1" ht="12.65" customHeight="1" x14ac:dyDescent="0.3">
      <c r="A694" s="223">
        <v>7180</v>
      </c>
      <c r="B694" s="222" t="s">
        <v>660</v>
      </c>
      <c r="C694" s="228">
        <f>AC85</f>
        <v>3224297</v>
      </c>
      <c r="D694" s="228">
        <f>(D615/D612)*AC90</f>
        <v>-754556.11790419603</v>
      </c>
      <c r="E694" s="230">
        <f>(E623/E612)*SUM(C694:D694)</f>
        <v>307325.77978728485</v>
      </c>
      <c r="F694" s="230">
        <f>(F624/F612)*AC64</f>
        <v>7846.084170020722</v>
      </c>
      <c r="G694" s="228">
        <f>(G625/G612)*AC91</f>
        <v>0</v>
      </c>
      <c r="H694" s="230">
        <f>(H628/H612)*AC60</f>
        <v>24318.072768143502</v>
      </c>
      <c r="I694" s="228">
        <f>(I629/I612)*AC92</f>
        <v>9879.9841291985613</v>
      </c>
      <c r="J694" s="228">
        <f>(J630/J612)*AC93</f>
        <v>0</v>
      </c>
      <c r="K694" s="228">
        <f>(K644/K612)*AC89</f>
        <v>583436.25188097637</v>
      </c>
      <c r="L694" s="228">
        <f>(L647/L612)*AC94</f>
        <v>0</v>
      </c>
      <c r="M694" s="212">
        <f t="shared" si="24"/>
        <v>178250</v>
      </c>
      <c r="N694" s="222" t="s">
        <v>661</v>
      </c>
    </row>
    <row r="695" spans="1:14" s="212" customFormat="1" ht="12.65" customHeight="1" x14ac:dyDescent="0.3">
      <c r="A695" s="223">
        <v>7190</v>
      </c>
      <c r="B695" s="222" t="s">
        <v>144</v>
      </c>
      <c r="C695" s="228">
        <f>AD85</f>
        <v>1783639</v>
      </c>
      <c r="D695" s="228">
        <f>(D615/D612)*AD90</f>
        <v>-65496.256007938995</v>
      </c>
      <c r="E695" s="230">
        <f>(E623/E612)*SUM(C695:D695)</f>
        <v>213799.57808980488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95826.824267029035</v>
      </c>
      <c r="L695" s="228">
        <f>(L647/L612)*AD94</f>
        <v>0</v>
      </c>
      <c r="M695" s="212">
        <f t="shared" si="24"/>
        <v>244130</v>
      </c>
      <c r="N695" s="222" t="s">
        <v>662</v>
      </c>
    </row>
    <row r="696" spans="1:14" s="212" customFormat="1" ht="12.65" customHeight="1" x14ac:dyDescent="0.3">
      <c r="A696" s="223">
        <v>7200</v>
      </c>
      <c r="B696" s="222" t="s">
        <v>663</v>
      </c>
      <c r="C696" s="228">
        <f>AE85</f>
        <v>3498215</v>
      </c>
      <c r="D696" s="228">
        <f>(D615/D612)*AE90</f>
        <v>-2705952.0600133897</v>
      </c>
      <c r="E696" s="230">
        <f>(E623/E612)*SUM(C696:D696)</f>
        <v>98586.385152005954</v>
      </c>
      <c r="F696" s="230">
        <f>(F624/F612)*AE64</f>
        <v>253.42690430394717</v>
      </c>
      <c r="G696" s="228">
        <f>(G625/G612)*AE91</f>
        <v>0</v>
      </c>
      <c r="H696" s="230">
        <f>(H628/H612)*AE60</f>
        <v>35072.064947833635</v>
      </c>
      <c r="I696" s="228">
        <f>(I629/I612)*AE92</f>
        <v>84528.753105365467</v>
      </c>
      <c r="J696" s="228">
        <f>(J630/J612)*AE93</f>
        <v>0</v>
      </c>
      <c r="K696" s="228">
        <f>(K644/K612)*AE89</f>
        <v>176266.52988030505</v>
      </c>
      <c r="L696" s="228">
        <f>(L647/L612)*AE94</f>
        <v>0</v>
      </c>
      <c r="M696" s="212">
        <f t="shared" si="24"/>
        <v>-2311245</v>
      </c>
      <c r="N696" s="222" t="s">
        <v>664</v>
      </c>
    </row>
    <row r="697" spans="1:14" s="212" customFormat="1" ht="12.65" customHeight="1" x14ac:dyDescent="0.3">
      <c r="A697" s="223">
        <v>7220</v>
      </c>
      <c r="B697" s="222" t="s">
        <v>665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666</v>
      </c>
    </row>
    <row r="698" spans="1:14" s="212" customFormat="1" ht="12.65" customHeight="1" x14ac:dyDescent="0.3">
      <c r="A698" s="223">
        <v>7230</v>
      </c>
      <c r="B698" s="222" t="s">
        <v>667</v>
      </c>
      <c r="C698" s="228">
        <f>AG85</f>
        <v>30896184</v>
      </c>
      <c r="D698" s="228">
        <f>(D615/D612)*AG90</f>
        <v>-5064062.5806288114</v>
      </c>
      <c r="E698" s="230">
        <f>(E623/E612)*SUM(C698:D698)</f>
        <v>3214457.4017138188</v>
      </c>
      <c r="F698" s="230">
        <f>(F624/F612)*AG64</f>
        <v>28774.207398139188</v>
      </c>
      <c r="G698" s="228">
        <f>(G625/G612)*AG91</f>
        <v>80427.133409629067</v>
      </c>
      <c r="H698" s="230">
        <f>(H628/H612)*AG60</f>
        <v>140990.78189352533</v>
      </c>
      <c r="I698" s="228">
        <f>(I629/I612)*AG92</f>
        <v>757465.4499052231</v>
      </c>
      <c r="J698" s="228">
        <f>(J630/J612)*AG93</f>
        <v>290586.16026743833</v>
      </c>
      <c r="K698" s="228">
        <f>(K644/K612)*AG89</f>
        <v>5580328.4182451898</v>
      </c>
      <c r="L698" s="228">
        <f>(L647/L612)*AG94</f>
        <v>0</v>
      </c>
      <c r="M698" s="212">
        <f t="shared" si="24"/>
        <v>5028967</v>
      </c>
      <c r="N698" s="222" t="s">
        <v>668</v>
      </c>
    </row>
    <row r="699" spans="1:14" s="212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669</v>
      </c>
    </row>
    <row r="700" spans="1:14" s="212" customFormat="1" ht="12.65" customHeight="1" x14ac:dyDescent="0.3">
      <c r="A700" s="223">
        <v>7250</v>
      </c>
      <c r="B700" s="222" t="s">
        <v>670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671</v>
      </c>
    </row>
    <row r="701" spans="1:14" s="212" customFormat="1" ht="12.65" customHeight="1" x14ac:dyDescent="0.3">
      <c r="A701" s="223">
        <v>7260</v>
      </c>
      <c r="B701" s="222" t="s">
        <v>148</v>
      </c>
      <c r="C701" s="228">
        <f>AJ85</f>
        <v>39418010</v>
      </c>
      <c r="D701" s="228">
        <f>(D615/D612)*AJ90</f>
        <v>-4165758.1255686139</v>
      </c>
      <c r="E701" s="230">
        <f>(E623/E612)*SUM(C701:D701)</f>
        <v>4386664.9635624159</v>
      </c>
      <c r="F701" s="230">
        <f>(F624/F612)*AJ64</f>
        <v>442801.5211842134</v>
      </c>
      <c r="G701" s="228">
        <f>(G625/G612)*AJ91</f>
        <v>0</v>
      </c>
      <c r="H701" s="230">
        <f>(H628/H612)*AJ60</f>
        <v>89382.427463354121</v>
      </c>
      <c r="I701" s="228">
        <f>(I629/I612)*AJ92</f>
        <v>242608.49917254248</v>
      </c>
      <c r="J701" s="228">
        <f>(J630/J612)*AJ93</f>
        <v>0</v>
      </c>
      <c r="K701" s="228">
        <f>(K644/K612)*AJ89</f>
        <v>4809461.5481837895</v>
      </c>
      <c r="L701" s="228">
        <f>(L647/L612)*AJ94</f>
        <v>0</v>
      </c>
      <c r="M701" s="212">
        <f t="shared" si="24"/>
        <v>5805161</v>
      </c>
      <c r="N701" s="222" t="s">
        <v>672</v>
      </c>
    </row>
    <row r="702" spans="1:14" s="212" customFormat="1" ht="12.65" customHeight="1" x14ac:dyDescent="0.3">
      <c r="A702" s="223">
        <v>7310</v>
      </c>
      <c r="B702" s="222" t="s">
        <v>673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>
        <f>(G625/G612)*AK91</f>
        <v>0</v>
      </c>
      <c r="H702" s="230">
        <f>(H628/H612)*AK60</f>
        <v>0</v>
      </c>
      <c r="I702" s="228">
        <f>(I629/I612)*AK92</f>
        <v>0</v>
      </c>
      <c r="J702" s="228">
        <f>(J630/J612)*AK93</f>
        <v>0</v>
      </c>
      <c r="K702" s="228">
        <f>(K644/K612)*AK89</f>
        <v>0</v>
      </c>
      <c r="L702" s="228">
        <f>(L647/L612)*AK94</f>
        <v>0</v>
      </c>
      <c r="M702" s="212">
        <f t="shared" si="24"/>
        <v>0</v>
      </c>
      <c r="N702" s="222" t="s">
        <v>674</v>
      </c>
    </row>
    <row r="703" spans="1:14" s="212" customFormat="1" ht="12.65" customHeight="1" x14ac:dyDescent="0.3">
      <c r="A703" s="223">
        <v>7320</v>
      </c>
      <c r="B703" s="222" t="s">
        <v>675</v>
      </c>
      <c r="C703" s="228">
        <f>AL85</f>
        <v>0</v>
      </c>
      <c r="D703" s="228">
        <f>(D615/D612)*AL90</f>
        <v>0</v>
      </c>
      <c r="E703" s="230">
        <f>(E623/E612)*SUM(C703:D703)</f>
        <v>0</v>
      </c>
      <c r="F703" s="230">
        <f>(F624/F612)*AL64</f>
        <v>0</v>
      </c>
      <c r="G703" s="228">
        <f>(G625/G612)*AL91</f>
        <v>0</v>
      </c>
      <c r="H703" s="230">
        <f>(H628/H612)*AL60</f>
        <v>0</v>
      </c>
      <c r="I703" s="228">
        <f>(I629/I612)*AL92</f>
        <v>0</v>
      </c>
      <c r="J703" s="228">
        <f>(J630/J612)*AL93</f>
        <v>0</v>
      </c>
      <c r="K703" s="228">
        <f>(K644/K612)*AL89</f>
        <v>0</v>
      </c>
      <c r="L703" s="228">
        <f>(L647/L612)*AL94</f>
        <v>0</v>
      </c>
      <c r="M703" s="212">
        <f t="shared" si="24"/>
        <v>0</v>
      </c>
      <c r="N703" s="222" t="s">
        <v>676</v>
      </c>
    </row>
    <row r="704" spans="1:14" s="212" customFormat="1" ht="12.65" customHeight="1" x14ac:dyDescent="0.3">
      <c r="A704" s="223">
        <v>7330</v>
      </c>
      <c r="B704" s="222" t="s">
        <v>677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678</v>
      </c>
    </row>
    <row r="705" spans="1:14" s="212" customFormat="1" ht="12.65" customHeight="1" x14ac:dyDescent="0.3">
      <c r="A705" s="223">
        <v>7340</v>
      </c>
      <c r="B705" s="222" t="s">
        <v>679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680</v>
      </c>
    </row>
    <row r="706" spans="1:14" s="212" customFormat="1" ht="12.65" customHeight="1" x14ac:dyDescent="0.3">
      <c r="A706" s="223">
        <v>7350</v>
      </c>
      <c r="B706" s="222" t="s">
        <v>681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682</v>
      </c>
    </row>
    <row r="707" spans="1:14" s="212" customFormat="1" ht="12.65" customHeight="1" x14ac:dyDescent="0.3">
      <c r="A707" s="223">
        <v>7380</v>
      </c>
      <c r="B707" s="222" t="s">
        <v>683</v>
      </c>
      <c r="C707" s="228">
        <f>AP85</f>
        <v>114996969</v>
      </c>
      <c r="D707" s="228">
        <f>(D615/D612)*AP90</f>
        <v>-42425383.807389699</v>
      </c>
      <c r="E707" s="230">
        <f>(E623/E612)*SUM(C707:D707)</f>
        <v>9030550.1971494555</v>
      </c>
      <c r="F707" s="230">
        <f>(F624/F612)*AP64</f>
        <v>53249.396196412294</v>
      </c>
      <c r="G707" s="228">
        <f>(G625/G612)*AP91</f>
        <v>0</v>
      </c>
      <c r="H707" s="230">
        <f>(H628/H612)*AP60</f>
        <v>527540.05858359311</v>
      </c>
      <c r="I707" s="228">
        <f>(I629/I612)*AP92</f>
        <v>349641.66057219356</v>
      </c>
      <c r="J707" s="228">
        <f>(J630/J612)*AP93</f>
        <v>3066.4768759981025</v>
      </c>
      <c r="K707" s="228">
        <f>(K644/K612)*AP89</f>
        <v>7046737.0581201874</v>
      </c>
      <c r="L707" s="228">
        <f>(L647/L612)*AP94</f>
        <v>0</v>
      </c>
      <c r="M707" s="212">
        <f t="shared" si="24"/>
        <v>-25414599</v>
      </c>
      <c r="N707" s="222" t="s">
        <v>684</v>
      </c>
    </row>
    <row r="708" spans="1:14" s="212" customFormat="1" ht="12.65" customHeight="1" x14ac:dyDescent="0.3">
      <c r="A708" s="223">
        <v>7390</v>
      </c>
      <c r="B708" s="222" t="s">
        <v>685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686</v>
      </c>
    </row>
    <row r="709" spans="1:14" s="212" customFormat="1" ht="12.65" customHeight="1" x14ac:dyDescent="0.3">
      <c r="A709" s="223">
        <v>7400</v>
      </c>
      <c r="B709" s="222" t="s">
        <v>687</v>
      </c>
      <c r="C709" s="228">
        <f>AR85</f>
        <v>13002919</v>
      </c>
      <c r="D709" s="228">
        <f>(D615/D612)*AR90</f>
        <v>-6408575.6112636933</v>
      </c>
      <c r="E709" s="230">
        <f>(E623/E612)*SUM(C709:D709)</f>
        <v>820576.66001331445</v>
      </c>
      <c r="F709" s="230">
        <f>(F624/F612)*AR64</f>
        <v>21330.265611302511</v>
      </c>
      <c r="G709" s="228">
        <f>(G625/G612)*AR91</f>
        <v>10724.190202693148</v>
      </c>
      <c r="H709" s="230">
        <f>(H628/H612)*AR60</f>
        <v>106229.44787550687</v>
      </c>
      <c r="I709" s="228">
        <f>(I629/I612)*AR92</f>
        <v>284872.8757252252</v>
      </c>
      <c r="J709" s="228">
        <f>(J630/J612)*AR93</f>
        <v>0</v>
      </c>
      <c r="K709" s="228">
        <f>(K644/K612)*AR89</f>
        <v>639358.48708197987</v>
      </c>
      <c r="L709" s="228">
        <f>(L647/L612)*AR94</f>
        <v>0</v>
      </c>
      <c r="M709" s="212">
        <f t="shared" si="24"/>
        <v>-4525484</v>
      </c>
      <c r="N709" s="222" t="s">
        <v>688</v>
      </c>
    </row>
    <row r="710" spans="1:14" s="212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689</v>
      </c>
    </row>
    <row r="711" spans="1:14" s="212" customFormat="1" ht="12.65" customHeight="1" x14ac:dyDescent="0.3">
      <c r="A711" s="223">
        <v>7420</v>
      </c>
      <c r="B711" s="222" t="s">
        <v>690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691</v>
      </c>
    </row>
    <row r="712" spans="1:14" s="212" customFormat="1" ht="12.65" customHeight="1" x14ac:dyDescent="0.3">
      <c r="A712" s="223">
        <v>7430</v>
      </c>
      <c r="B712" s="222" t="s">
        <v>692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693</v>
      </c>
    </row>
    <row r="713" spans="1:14" s="212" customFormat="1" ht="12.65" customHeight="1" x14ac:dyDescent="0.3">
      <c r="A713" s="223">
        <v>7490</v>
      </c>
      <c r="B713" s="222" t="s">
        <v>694</v>
      </c>
      <c r="C713" s="228">
        <f>AV85</f>
        <v>34336187.780000001</v>
      </c>
      <c r="D713" s="228">
        <f>(D615/D612)*AV90</f>
        <v>-2670873.5408780514</v>
      </c>
      <c r="E713" s="230">
        <f>(E623/E612)*SUM(C713:D713)</f>
        <v>3940319.1894727964</v>
      </c>
      <c r="F713" s="230">
        <f>(F624/F612)*AV64</f>
        <v>167304.37028285518</v>
      </c>
      <c r="G713" s="228">
        <f>(G625/G612)*AV91</f>
        <v>0</v>
      </c>
      <c r="H713" s="230">
        <f>(H628/H612)*AV60</f>
        <v>176157.41712434616</v>
      </c>
      <c r="I713" s="228">
        <f>(I629/I612)*AV92</f>
        <v>229984.07500745542</v>
      </c>
      <c r="J713" s="228">
        <f>(J630/J612)*AV93</f>
        <v>132.31672856849039</v>
      </c>
      <c r="K713" s="228">
        <f>(K644/K612)*AV89</f>
        <v>1302866.8003321742</v>
      </c>
      <c r="L713" s="228">
        <f>(L647/L612)*AV94</f>
        <v>0</v>
      </c>
      <c r="M713" s="212">
        <f t="shared" si="24"/>
        <v>3145891</v>
      </c>
      <c r="N713" s="224" t="s">
        <v>695</v>
      </c>
    </row>
    <row r="714" spans="1:14" s="212" customFormat="1" ht="12.65" customHeight="1" x14ac:dyDescent="0.3"/>
    <row r="715" spans="1:14" s="212" customFormat="1" ht="12.65" customHeight="1" x14ac:dyDescent="0.3">
      <c r="C715" s="225">
        <f>SUM(C614:C647)+SUM(C668:C713)</f>
        <v>377785095.52999997</v>
      </c>
      <c r="D715" s="212">
        <f>SUM(D616:D647)+SUM(D668:D713)</f>
        <v>-155544041.15000004</v>
      </c>
      <c r="E715" s="212">
        <f>SUM(E624:E647)+SUM(E668:E713)</f>
        <v>41807818.540820807</v>
      </c>
      <c r="F715" s="212">
        <f>SUM(F625:F648)+SUM(F668:F713)</f>
        <v>1578034.7346677564</v>
      </c>
      <c r="G715" s="212">
        <f>SUM(G626:G647)+SUM(G668:G713)</f>
        <v>1580980.8983361803</v>
      </c>
      <c r="H715" s="212">
        <f>SUM(H629:H647)+SUM(H668:H713)</f>
        <v>2737093.6603375385</v>
      </c>
      <c r="I715" s="212">
        <f>SUM(I630:I647)+SUM(I668:I713)</f>
        <v>4944383.1686567031</v>
      </c>
      <c r="J715" s="212">
        <f>SUM(J631:J647)+SUM(J668:J713)</f>
        <v>1406021.2506177139</v>
      </c>
      <c r="K715" s="212">
        <f>SUM(K668:K713)</f>
        <v>45021606.675642453</v>
      </c>
      <c r="L715" s="212">
        <f>SUM(L668:L713)</f>
        <v>5774265.4961180948</v>
      </c>
      <c r="M715" s="212">
        <f>SUM(M668:M713)</f>
        <v>-35990014</v>
      </c>
      <c r="N715" s="222" t="s">
        <v>696</v>
      </c>
    </row>
    <row r="716" spans="1:14" s="212" customFormat="1" ht="12.65" customHeight="1" x14ac:dyDescent="0.3">
      <c r="C716" s="225">
        <f>CE85</f>
        <v>377785095.53000009</v>
      </c>
      <c r="D716" s="212">
        <f>D615</f>
        <v>-155544041.15000001</v>
      </c>
      <c r="E716" s="212">
        <f>E623</f>
        <v>41807818.5408208</v>
      </c>
      <c r="F716" s="212">
        <f>F624</f>
        <v>1578034.7346677564</v>
      </c>
      <c r="G716" s="212">
        <f>G625</f>
        <v>1580980.8983361803</v>
      </c>
      <c r="H716" s="212">
        <f>H628</f>
        <v>2737093.6603375385</v>
      </c>
      <c r="I716" s="212">
        <f>I629</f>
        <v>4944383.1686567022</v>
      </c>
      <c r="J716" s="212">
        <f>J630</f>
        <v>1406021.2506177144</v>
      </c>
      <c r="K716" s="212">
        <f>K644</f>
        <v>45021606.675642453</v>
      </c>
      <c r="L716" s="212">
        <f>L647</f>
        <v>5774265.4961180948</v>
      </c>
      <c r="M716" s="212">
        <f>C648</f>
        <v>-35990015.960000008</v>
      </c>
      <c r="N716" s="222" t="s">
        <v>697</v>
      </c>
    </row>
  </sheetData>
  <sheetProtection algorithmName="SHA-512" hashValue="t7DnsgkfPu5v2Ymqvb394PkJwvS7o8Q4UTBVaZOmao49tf/pZjgokDe1PJJjkHtEVXWuyvz1yjLNA9CDrJ8ZCg==" saltValue="RH4A9csyBAy48Uj5VkUlk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C183-EF64-46A9-9125-B10C62662B62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 xml:space="preserve">YAKIMA VALLEY MEMORIAL 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H-058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2811 TIETON DRIVE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+data!C100</f>
        <v>YAKIMA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+data!C101</f>
        <v>WASHINGTON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AFF6-CF63-444C-88F3-218C23BE3368}">
  <sheetPr codeName="Sheet9">
    <tabColor rgb="FF92D050"/>
  </sheetPr>
  <dimension ref="A2:M94"/>
  <sheetViews>
    <sheetView zoomScaleNormal="100" workbookViewId="0">
      <selection activeCell="E63" sqref="E6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058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725</v>
      </c>
      <c r="C13" s="242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2" t="s">
        <v>364</v>
      </c>
      <c r="C14" s="242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2">
        <f>ROUND(N('Prior Year'!C85), 0)</f>
        <v>8893237</v>
      </c>
      <c r="C15" s="242">
        <f>data!C85</f>
        <v>8925783</v>
      </c>
      <c r="D15" s="242">
        <f>ROUND(N('Prior Year'!C59), 0)</f>
        <v>5379</v>
      </c>
      <c r="E15" s="1">
        <f>data!C59</f>
        <v>0</v>
      </c>
      <c r="F15" s="217">
        <f t="shared" ref="F15:F59" si="0">IF(B15=0,"",IF(D15=0,"",B15/D15))</f>
        <v>1653.3253392823945</v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9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737</v>
      </c>
      <c r="B17" s="242">
        <f>ROUND(N('Prior Year'!E85), 0)</f>
        <v>30249838</v>
      </c>
      <c r="C17" s="242">
        <f>data!E85</f>
        <v>30271929.710000001</v>
      </c>
      <c r="D17" s="242">
        <f>ROUND(N('Prior Year'!E59), 0)</f>
        <v>42734</v>
      </c>
      <c r="E17" s="1">
        <f>data!E59</f>
        <v>0</v>
      </c>
      <c r="F17" s="217">
        <f t="shared" si="0"/>
        <v>707.86348106893809</v>
      </c>
      <c r="G17" s="217" t="str">
        <f t="shared" si="1"/>
        <v/>
      </c>
      <c r="H17" s="6" t="str">
        <f t="shared" si="2"/>
        <v/>
      </c>
      <c r="I17" s="242" t="str">
        <f t="shared" si="3"/>
        <v/>
      </c>
      <c r="J17" s="297"/>
      <c r="M17" s="7"/>
    </row>
    <row r="18" spans="1:13" x14ac:dyDescent="0.35">
      <c r="A18" s="1" t="s">
        <v>738</v>
      </c>
      <c r="B18" s="242">
        <f>ROUND(N('Prior Year'!F85), 0)</f>
        <v>5982082</v>
      </c>
      <c r="C18" s="242">
        <f>data!F85</f>
        <v>5986724</v>
      </c>
      <c r="D18" s="242">
        <f>ROUND(N('Prior Year'!F59), 0)</f>
        <v>8583</v>
      </c>
      <c r="E18" s="1">
        <f>data!F59</f>
        <v>0</v>
      </c>
      <c r="F18" s="217">
        <f t="shared" si="0"/>
        <v>696.96865897704765</v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J18" s="297"/>
      <c r="M18" s="7"/>
    </row>
    <row r="19" spans="1:13" x14ac:dyDescent="0.35">
      <c r="A19" s="1" t="s">
        <v>739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740</v>
      </c>
      <c r="B20" s="242">
        <f>ROUND(N('Prior Year'!H85), 0)</f>
        <v>5532448</v>
      </c>
      <c r="C20" s="242">
        <f>data!H85</f>
        <v>5780652</v>
      </c>
      <c r="D20" s="242">
        <f>ROUND(N('Prior Year'!H59), 0)</f>
        <v>4680</v>
      </c>
      <c r="E20" s="1">
        <f>data!H59</f>
        <v>0</v>
      </c>
      <c r="F20" s="217">
        <f t="shared" si="0"/>
        <v>1182.1470085470085</v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J20" s="297"/>
      <c r="M20" s="7"/>
    </row>
    <row r="21" spans="1:13" x14ac:dyDescent="0.35">
      <c r="A21" s="1" t="s">
        <v>741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742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743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744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745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747</v>
      </c>
      <c r="B27" s="242">
        <f>ROUND(N('Prior Year'!O85), 0)</f>
        <v>7264723</v>
      </c>
      <c r="C27" s="242">
        <f>data!O85</f>
        <v>7279075</v>
      </c>
      <c r="D27" s="242">
        <f>ROUND(N('Prior Year'!O59), 0)</f>
        <v>21595</v>
      </c>
      <c r="E27" s="1">
        <f>data!O59</f>
        <v>0</v>
      </c>
      <c r="F27" s="217">
        <f t="shared" si="0"/>
        <v>336.40764065755963</v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J27" s="297"/>
      <c r="M27" s="7"/>
    </row>
    <row r="28" spans="1:13" x14ac:dyDescent="0.35">
      <c r="A28" s="1" t="s">
        <v>748</v>
      </c>
      <c r="B28" s="242">
        <f>ROUND(N('Prior Year'!P85), 0)</f>
        <v>36047575</v>
      </c>
      <c r="C28" s="242">
        <f>data!P85</f>
        <v>35996440</v>
      </c>
      <c r="D28" s="242">
        <f>ROUND(N('Prior Year'!P59), 0)</f>
        <v>958305</v>
      </c>
      <c r="E28" s="1">
        <f>data!P59</f>
        <v>0</v>
      </c>
      <c r="F28" s="217">
        <f t="shared" si="0"/>
        <v>37.615972993984172</v>
      </c>
      <c r="G28" s="217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749</v>
      </c>
      <c r="B29" s="242">
        <f>ROUND(N('Prior Year'!Q85), 0)</f>
        <v>6501657</v>
      </c>
      <c r="C29" s="242">
        <f>data!Q85</f>
        <v>6503304</v>
      </c>
      <c r="D29" s="242">
        <f>ROUND(N('Prior Year'!Q59), 0)</f>
        <v>1228800</v>
      </c>
      <c r="E29" s="1">
        <f>data!Q59</f>
        <v>0</v>
      </c>
      <c r="F29" s="217">
        <f t="shared" si="0"/>
        <v>5.2910620117187497</v>
      </c>
      <c r="G29" s="217" t="str">
        <f t="shared" si="1"/>
        <v/>
      </c>
      <c r="H29" s="6" t="str">
        <f t="shared" si="2"/>
        <v/>
      </c>
      <c r="I29" s="298" t="str">
        <f t="shared" si="3"/>
        <v/>
      </c>
      <c r="M29" s="7"/>
    </row>
    <row r="30" spans="1:13" x14ac:dyDescent="0.35">
      <c r="A30" s="1" t="s">
        <v>750</v>
      </c>
      <c r="B30" s="242">
        <f>ROUND(N('Prior Year'!R85), 0)</f>
        <v>507196</v>
      </c>
      <c r="C30" s="242">
        <f>data!R85</f>
        <v>478110</v>
      </c>
      <c r="D30" s="242">
        <f>ROUND(N('Prior Year'!R59), 0)</f>
        <v>805060</v>
      </c>
      <c r="E30" s="1">
        <f>data!R59</f>
        <v>0</v>
      </c>
      <c r="F30" s="217">
        <f t="shared" si="0"/>
        <v>0.63001018557623034</v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751</v>
      </c>
      <c r="B31" s="242">
        <f>ROUND(N('Prior Year'!S85), 0)</f>
        <v>3051770</v>
      </c>
      <c r="C31" s="242">
        <f>data!S85</f>
        <v>3144649</v>
      </c>
      <c r="D31" s="242" t="s">
        <v>752</v>
      </c>
      <c r="E31" s="4" t="s">
        <v>752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753</v>
      </c>
      <c r="B32" s="242">
        <f>ROUND(N('Prior Year'!T85), 0)</f>
        <v>5937874</v>
      </c>
      <c r="C32" s="242">
        <f>data!T85</f>
        <v>5946808</v>
      </c>
      <c r="D32" s="242" t="s">
        <v>752</v>
      </c>
      <c r="E32" s="4" t="s">
        <v>752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754</v>
      </c>
      <c r="B33" s="242">
        <f>ROUND(N('Prior Year'!U85), 0)</f>
        <v>11810571</v>
      </c>
      <c r="C33" s="242">
        <f>data!U85</f>
        <v>12655374</v>
      </c>
      <c r="D33" s="242">
        <f>ROUND(N('Prior Year'!U59), 0)</f>
        <v>2825506</v>
      </c>
      <c r="E33" s="1">
        <f>data!U59</f>
        <v>0</v>
      </c>
      <c r="F33" s="217">
        <f t="shared" si="0"/>
        <v>4.1799843992545052</v>
      </c>
      <c r="G33" s="217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755</v>
      </c>
      <c r="B34" s="242">
        <f>ROUND(N('Prior Year'!V85), 0)</f>
        <v>934391</v>
      </c>
      <c r="C34" s="242">
        <f>data!V85</f>
        <v>132111</v>
      </c>
      <c r="D34" s="242">
        <f>ROUND(N('Prior Year'!V59), 0)</f>
        <v>822562</v>
      </c>
      <c r="E34" s="1">
        <f>data!V59</f>
        <v>0</v>
      </c>
      <c r="F34" s="217">
        <f t="shared" si="0"/>
        <v>1.1359520619722283</v>
      </c>
      <c r="G34" s="217" t="str">
        <f t="shared" si="5"/>
        <v/>
      </c>
      <c r="H34" s="6" t="str">
        <f t="shared" si="6"/>
        <v/>
      </c>
      <c r="I34" s="298" t="str">
        <f t="shared" si="3"/>
        <v/>
      </c>
      <c r="M34" s="7"/>
    </row>
    <row r="35" spans="1:13" x14ac:dyDescent="0.35">
      <c r="A35" s="1" t="s">
        <v>756</v>
      </c>
      <c r="B35" s="242">
        <f>ROUND(N('Prior Year'!W85), 0)</f>
        <v>1971783</v>
      </c>
      <c r="C35" s="242">
        <f>data!W85</f>
        <v>1987618</v>
      </c>
      <c r="D35" s="242">
        <f>ROUND(N('Prior Year'!W59), 0)</f>
        <v>51385</v>
      </c>
      <c r="E35" s="1">
        <f>data!W59</f>
        <v>0</v>
      </c>
      <c r="F35" s="217">
        <f t="shared" si="0"/>
        <v>38.372735234017711</v>
      </c>
      <c r="G35" s="217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757</v>
      </c>
      <c r="B36" s="242">
        <f>ROUND(N('Prior Year'!X85), 0)</f>
        <v>2598503</v>
      </c>
      <c r="C36" s="242">
        <f>data!X85</f>
        <v>2597874</v>
      </c>
      <c r="D36" s="242">
        <f>ROUND(N('Prior Year'!X59), 0)</f>
        <v>142198</v>
      </c>
      <c r="E36" s="1">
        <f>data!X59</f>
        <v>0</v>
      </c>
      <c r="F36" s="217">
        <f t="shared" si="0"/>
        <v>18.273836481525759</v>
      </c>
      <c r="G36" s="217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758</v>
      </c>
      <c r="B37" s="242">
        <f>ROUND(N('Prior Year'!Y85), 0)</f>
        <v>19481041</v>
      </c>
      <c r="C37" s="242">
        <f>data!Y85</f>
        <v>19781500</v>
      </c>
      <c r="D37" s="242">
        <f>ROUND(N('Prior Year'!Y59), 0)</f>
        <v>199183</v>
      </c>
      <c r="E37" s="1">
        <f>data!Y59</f>
        <v>0</v>
      </c>
      <c r="F37" s="217">
        <f t="shared" si="0"/>
        <v>97.804737352083265</v>
      </c>
      <c r="G37" s="217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759</v>
      </c>
      <c r="B38" s="242">
        <f>ROUND(N('Prior Year'!Z85), 0)</f>
        <v>3874908</v>
      </c>
      <c r="C38" s="242">
        <f>data!Z85</f>
        <v>3931815</v>
      </c>
      <c r="D38" s="242">
        <f>ROUND(N('Prior Year'!Z59), 0)</f>
        <v>34811</v>
      </c>
      <c r="E38" s="1">
        <f>data!Z59</f>
        <v>0</v>
      </c>
      <c r="F38" s="217">
        <f t="shared" si="0"/>
        <v>111.31274597110109</v>
      </c>
      <c r="G38" s="217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760</v>
      </c>
      <c r="B39" s="242">
        <f>ROUND(N('Prior Year'!AA85), 0)</f>
        <v>196146</v>
      </c>
      <c r="C39" s="242">
        <f>data!AA85</f>
        <v>1323641</v>
      </c>
      <c r="D39" s="242">
        <f>ROUND(N('Prior Year'!AA59), 0)</f>
        <v>20659</v>
      </c>
      <c r="E39" s="1">
        <f>data!AA59</f>
        <v>0</v>
      </c>
      <c r="F39" s="217">
        <f t="shared" si="0"/>
        <v>9.4944576213756715</v>
      </c>
      <c r="G39" s="217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761</v>
      </c>
      <c r="B40" s="242">
        <f>ROUND(N('Prior Year'!AB85), 0)</f>
        <v>20276006</v>
      </c>
      <c r="C40" s="242">
        <f>data!AB85</f>
        <v>19895283</v>
      </c>
      <c r="D40" s="242" t="s">
        <v>752</v>
      </c>
      <c r="E40" s="4" t="s">
        <v>752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762</v>
      </c>
      <c r="B41" s="242">
        <f>ROUND(N('Prior Year'!AC85), 0)</f>
        <v>3277591</v>
      </c>
      <c r="C41" s="242">
        <f>data!AC85</f>
        <v>3224297</v>
      </c>
      <c r="D41" s="242">
        <f>ROUND(N('Prior Year'!AC59), 0)</f>
        <v>20355</v>
      </c>
      <c r="E41" s="1">
        <f>data!AC59</f>
        <v>0</v>
      </c>
      <c r="F41" s="217">
        <f t="shared" si="0"/>
        <v>161.02141979857529</v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763</v>
      </c>
      <c r="B42" s="242">
        <f>ROUND(N('Prior Year'!AD85), 0)</f>
        <v>1790998</v>
      </c>
      <c r="C42" s="242">
        <f>data!AD85</f>
        <v>1783639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764</v>
      </c>
      <c r="B43" s="242">
        <f>ROUND(N('Prior Year'!AE85), 0)</f>
        <v>3462846</v>
      </c>
      <c r="C43" s="242">
        <f>data!AE85</f>
        <v>3498215</v>
      </c>
      <c r="D43" s="242">
        <f>ROUND(N('Prior Year'!AE59), 0)</f>
        <v>61922</v>
      </c>
      <c r="E43" s="1">
        <f>data!AE59</f>
        <v>0</v>
      </c>
      <c r="F43" s="217">
        <f t="shared" si="0"/>
        <v>55.922709214818646</v>
      </c>
      <c r="G43" s="217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765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766</v>
      </c>
      <c r="B45" s="242">
        <f>ROUND(N('Prior Year'!AG85), 0)</f>
        <v>30870799</v>
      </c>
      <c r="C45" s="242">
        <f>data!AG85</f>
        <v>30896184</v>
      </c>
      <c r="D45" s="242">
        <f>ROUND(N('Prior Year'!AG59), 0)</f>
        <v>90053</v>
      </c>
      <c r="E45" s="1">
        <f>data!AG59</f>
        <v>0</v>
      </c>
      <c r="F45" s="217">
        <f t="shared" si="0"/>
        <v>342.80700254294692</v>
      </c>
      <c r="G45" s="217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767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768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2">
        <f>ROUND(N('Prior Year'!AJ85), 0)</f>
        <v>39047077</v>
      </c>
      <c r="C48" s="242">
        <f>data!AJ85</f>
        <v>39418010</v>
      </c>
      <c r="D48" s="242">
        <f>ROUND(N('Prior Year'!AJ59), 0)</f>
        <v>27989</v>
      </c>
      <c r="E48" s="1">
        <f>data!AJ59</f>
        <v>0</v>
      </c>
      <c r="F48" s="217">
        <f t="shared" si="0"/>
        <v>1395.0865339954983</v>
      </c>
      <c r="G48" s="217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770</v>
      </c>
      <c r="B49" s="242">
        <f>ROUND(N('Prior Year'!AK85), 0)</f>
        <v>0</v>
      </c>
      <c r="C49" s="242">
        <f>data!AK85</f>
        <v>0</v>
      </c>
      <c r="D49" s="242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771</v>
      </c>
      <c r="B50" s="242">
        <f>ROUND(N('Prior Year'!AL85), 0)</f>
        <v>0</v>
      </c>
      <c r="C50" s="242">
        <f>data!AL85</f>
        <v>0</v>
      </c>
      <c r="D50" s="242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772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773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774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775</v>
      </c>
      <c r="B54" s="242">
        <f>ROUND(N('Prior Year'!AP85), 0)</f>
        <v>114463245</v>
      </c>
      <c r="C54" s="242">
        <f>data!AP85</f>
        <v>114996969</v>
      </c>
      <c r="D54" s="242">
        <f>ROUND(N('Prior Year'!AP59), 0)</f>
        <v>41712</v>
      </c>
      <c r="E54" s="1">
        <f>data!AP59</f>
        <v>0</v>
      </c>
      <c r="F54" s="217">
        <f t="shared" si="0"/>
        <v>2744.1322640966628</v>
      </c>
      <c r="G54" s="217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776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777</v>
      </c>
      <c r="B56" s="242">
        <f>ROUND(N('Prior Year'!AR85), 0)</f>
        <v>13029486</v>
      </c>
      <c r="C56" s="242">
        <f>data!AR85</f>
        <v>13002919</v>
      </c>
      <c r="D56" s="242">
        <f>ROUND(N('Prior Year'!AR59), 0)</f>
        <v>44432</v>
      </c>
      <c r="E56" s="1">
        <f>data!AR59</f>
        <v>0</v>
      </c>
      <c r="F56" s="217">
        <f t="shared" si="0"/>
        <v>293.24554375225063</v>
      </c>
      <c r="G56" s="217" t="str">
        <f t="shared" si="5"/>
        <v/>
      </c>
      <c r="H56" s="6" t="str">
        <f t="shared" si="7"/>
        <v/>
      </c>
      <c r="I56" s="298" t="str">
        <f t="shared" si="8"/>
        <v/>
      </c>
      <c r="M56" s="7"/>
    </row>
    <row r="57" spans="1:13" x14ac:dyDescent="0.35">
      <c r="A57" s="1" t="s">
        <v>778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779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780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781</v>
      </c>
      <c r="B60" s="242">
        <f>ROUND(N('Prior Year'!AV85), 0)</f>
        <v>34427792</v>
      </c>
      <c r="C60" s="242">
        <f>data!AV85</f>
        <v>34336187.780000001</v>
      </c>
      <c r="D60" s="242" t="s">
        <v>752</v>
      </c>
      <c r="E60" s="4" t="s">
        <v>752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782</v>
      </c>
      <c r="B61" s="242">
        <f>ROUND(N('Prior Year'!AW85), 0)</f>
        <v>0</v>
      </c>
      <c r="C61" s="242">
        <f>data!AW85</f>
        <v>0</v>
      </c>
      <c r="D61" s="242" t="s">
        <v>752</v>
      </c>
      <c r="E61" s="4" t="s">
        <v>752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783</v>
      </c>
      <c r="B62" s="242">
        <f>ROUND(N('Prior Year'!AX85), 0)</f>
        <v>0</v>
      </c>
      <c r="C62" s="242">
        <f>data!AX85</f>
        <v>0</v>
      </c>
      <c r="D62" s="242" t="s">
        <v>752</v>
      </c>
      <c r="E62" s="4" t="s">
        <v>752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784</v>
      </c>
      <c r="B63" s="242">
        <f>ROUND(N('Prior Year'!AY85), 0)</f>
        <v>2996483</v>
      </c>
      <c r="C63" s="242">
        <f>data!AY85</f>
        <v>3024346</v>
      </c>
      <c r="D63" s="242">
        <f>ROUND(N('Prior Year'!AY59), 0)</f>
        <v>197803</v>
      </c>
      <c r="E63" s="1">
        <f>data!AY59</f>
        <v>184130</v>
      </c>
      <c r="F63" s="217">
        <f>IF(B63=0,"",IF(D63=0,"",B63/D63))</f>
        <v>15.148824840877035</v>
      </c>
      <c r="G63" s="217">
        <f t="shared" si="5"/>
        <v>16.425058382664421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785</v>
      </c>
      <c r="B64" s="242">
        <f>ROUND(N('Prior Year'!AZ85), 0)</f>
        <v>287433</v>
      </c>
      <c r="C64" s="242">
        <f>data!AZ85</f>
        <v>181400</v>
      </c>
      <c r="D64" s="242">
        <f>ROUND(N('Prior Year'!AZ59), 0)</f>
        <v>0</v>
      </c>
      <c r="E64" s="1">
        <f>data!AZ59</f>
        <v>214032</v>
      </c>
      <c r="F64" s="217" t="str">
        <f>IF(B64=0,"",IF(D64=0,"",B64/D64))</f>
        <v/>
      </c>
      <c r="G64" s="217">
        <f t="shared" si="5"/>
        <v>0.84753681692457206</v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786</v>
      </c>
      <c r="B65" s="242">
        <f>ROUND(N('Prior Year'!BA85), 0)</f>
        <v>1886071</v>
      </c>
      <c r="C65" s="242">
        <f>data!BA85</f>
        <v>1886501.19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787</v>
      </c>
      <c r="B66" s="242">
        <f>ROUND(N('Prior Year'!BB85), 0)</f>
        <v>0</v>
      </c>
      <c r="C66" s="242">
        <f>data!BB85</f>
        <v>0</v>
      </c>
      <c r="D66" s="242" t="s">
        <v>752</v>
      </c>
      <c r="E66" s="4" t="s">
        <v>752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788</v>
      </c>
      <c r="B67" s="242">
        <f>ROUND(N('Prior Year'!BC85), 0)</f>
        <v>0</v>
      </c>
      <c r="C67" s="242">
        <f>data!BC85</f>
        <v>0</v>
      </c>
      <c r="D67" s="242" t="s">
        <v>752</v>
      </c>
      <c r="E67" s="4" t="s">
        <v>752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789</v>
      </c>
      <c r="B68" s="242">
        <f>ROUND(N('Prior Year'!BD85), 0)</f>
        <v>1693024</v>
      </c>
      <c r="C68" s="242">
        <f>data!BD85</f>
        <v>3037618</v>
      </c>
      <c r="D68" s="242" t="s">
        <v>752</v>
      </c>
      <c r="E68" s="4" t="s">
        <v>752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790</v>
      </c>
      <c r="B69" s="242">
        <f>ROUND(N('Prior Year'!BE85), 0)</f>
        <v>15428127</v>
      </c>
      <c r="C69" s="242">
        <f>data!BE85</f>
        <v>15815856</v>
      </c>
      <c r="D69" s="242">
        <f>ROUND(N('Prior Year'!BE59), 0)</f>
        <v>1070776</v>
      </c>
      <c r="E69" s="1">
        <f>data!BE59</f>
        <v>1060797</v>
      </c>
      <c r="F69" s="217">
        <f>IF(B69=0,"",IF(D69=0,"",B69/D69))</f>
        <v>14.40836085231645</v>
      </c>
      <c r="G69" s="217">
        <f t="shared" si="5"/>
        <v>14.909408680454414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35">
      <c r="A70" s="1" t="s">
        <v>791</v>
      </c>
      <c r="B70" s="242">
        <f>ROUND(N('Prior Year'!BF85), 0)</f>
        <v>4836681</v>
      </c>
      <c r="C70" s="242">
        <f>data!BF85</f>
        <v>4661806</v>
      </c>
      <c r="D70" s="242" t="s">
        <v>752</v>
      </c>
      <c r="E70" s="4" t="s">
        <v>752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792</v>
      </c>
      <c r="B71" s="242">
        <f>ROUND(N('Prior Year'!BG85), 0)</f>
        <v>423650</v>
      </c>
      <c r="C71" s="242">
        <f>data!BG85</f>
        <v>356549</v>
      </c>
      <c r="D71" s="242" t="s">
        <v>752</v>
      </c>
      <c r="E71" s="4" t="s">
        <v>752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793</v>
      </c>
      <c r="B72" s="242">
        <f>ROUND(N('Prior Year'!BH85), 0)</f>
        <v>14730756</v>
      </c>
      <c r="C72" s="242">
        <f>data!BH85</f>
        <v>14854847</v>
      </c>
      <c r="D72" s="242" t="s">
        <v>752</v>
      </c>
      <c r="E72" s="4" t="s">
        <v>752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794</v>
      </c>
      <c r="B73" s="242">
        <f>ROUND(N('Prior Year'!BI85), 0)</f>
        <v>5437114</v>
      </c>
      <c r="C73" s="242">
        <f>data!BI85</f>
        <v>2580902</v>
      </c>
      <c r="D73" s="242" t="s">
        <v>752</v>
      </c>
      <c r="E73" s="4" t="s">
        <v>752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795</v>
      </c>
      <c r="B74" s="242">
        <f>ROUND(N('Prior Year'!BJ85), 0)</f>
        <v>1179987</v>
      </c>
      <c r="C74" s="242">
        <f>data!BJ85</f>
        <v>1309671</v>
      </c>
      <c r="D74" s="242" t="s">
        <v>752</v>
      </c>
      <c r="E74" s="4" t="s">
        <v>752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796</v>
      </c>
      <c r="B75" s="242">
        <f>ROUND(N('Prior Year'!BK85), 0)</f>
        <v>6382677</v>
      </c>
      <c r="C75" s="242">
        <f>data!BK85</f>
        <v>6373127</v>
      </c>
      <c r="D75" s="242" t="s">
        <v>752</v>
      </c>
      <c r="E75" s="4" t="s">
        <v>752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797</v>
      </c>
      <c r="B76" s="242">
        <f>ROUND(N('Prior Year'!BL85), 0)</f>
        <v>4725275</v>
      </c>
      <c r="C76" s="242">
        <f>data!BL85</f>
        <v>4696969</v>
      </c>
      <c r="D76" s="242" t="s">
        <v>752</v>
      </c>
      <c r="E76" s="4" t="s">
        <v>752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798</v>
      </c>
      <c r="B77" s="242">
        <f>ROUND(N('Prior Year'!BM85), 0)</f>
        <v>4646482</v>
      </c>
      <c r="C77" s="242">
        <f>data!BM85</f>
        <v>4612136</v>
      </c>
      <c r="D77" s="242" t="s">
        <v>752</v>
      </c>
      <c r="E77" s="4" t="s">
        <v>752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799</v>
      </c>
      <c r="B78" s="242">
        <f>ROUND(N('Prior Year'!BN85), 0)</f>
        <v>24159332</v>
      </c>
      <c r="C78" s="242">
        <f>data!BN85</f>
        <v>35802782</v>
      </c>
      <c r="D78" s="242" t="s">
        <v>752</v>
      </c>
      <c r="E78" s="4" t="s">
        <v>752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800</v>
      </c>
      <c r="B79" s="242">
        <f>ROUND(N('Prior Year'!BO85), 0)</f>
        <v>780621</v>
      </c>
      <c r="C79" s="242">
        <f>data!BO85</f>
        <v>861743</v>
      </c>
      <c r="D79" s="242" t="s">
        <v>752</v>
      </c>
      <c r="E79" s="4" t="s">
        <v>752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2">
        <f>ROUND(N('Prior Year'!BP85), 0)</f>
        <v>508875</v>
      </c>
      <c r="C80" s="242">
        <f>data!BP85</f>
        <v>419575</v>
      </c>
      <c r="D80" s="242" t="s">
        <v>752</v>
      </c>
      <c r="E80" s="4" t="s">
        <v>752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802</v>
      </c>
      <c r="B81" s="242">
        <f>ROUND(N('Prior Year'!BQ85), 0)</f>
        <v>0</v>
      </c>
      <c r="C81" s="242">
        <f>data!BQ85</f>
        <v>0</v>
      </c>
      <c r="D81" s="242" t="s">
        <v>752</v>
      </c>
      <c r="E81" s="4" t="s">
        <v>752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803</v>
      </c>
      <c r="B82" s="242">
        <f>ROUND(N('Prior Year'!BR85), 0)</f>
        <v>4244929</v>
      </c>
      <c r="C82" s="242">
        <f>data!BR85</f>
        <v>4206584</v>
      </c>
      <c r="D82" s="242" t="s">
        <v>752</v>
      </c>
      <c r="E82" s="4" t="s">
        <v>752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804</v>
      </c>
      <c r="B83" s="242">
        <f>ROUND(N('Prior Year'!BS85), 0)</f>
        <v>114209</v>
      </c>
      <c r="C83" s="242">
        <f>data!BS85</f>
        <v>115849</v>
      </c>
      <c r="D83" s="242" t="s">
        <v>752</v>
      </c>
      <c r="E83" s="4" t="s">
        <v>752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805</v>
      </c>
      <c r="B84" s="242">
        <f>ROUND(N('Prior Year'!BT85), 0)</f>
        <v>196308</v>
      </c>
      <c r="C84" s="242">
        <f>data!BT85</f>
        <v>195637</v>
      </c>
      <c r="D84" s="242" t="s">
        <v>752</v>
      </c>
      <c r="E84" s="4" t="s">
        <v>752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806</v>
      </c>
      <c r="B85" s="242">
        <f>ROUND(N('Prior Year'!BU85), 0)</f>
        <v>0</v>
      </c>
      <c r="C85" s="242">
        <f>data!BU85</f>
        <v>0</v>
      </c>
      <c r="D85" s="242" t="s">
        <v>752</v>
      </c>
      <c r="E85" s="4" t="s">
        <v>752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807</v>
      </c>
      <c r="B86" s="242">
        <f>ROUND(N('Prior Year'!BV85), 0)</f>
        <v>5208813</v>
      </c>
      <c r="C86" s="242">
        <f>data!BV85</f>
        <v>5206085</v>
      </c>
      <c r="D86" s="242" t="s">
        <v>752</v>
      </c>
      <c r="E86" s="4" t="s">
        <v>752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808</v>
      </c>
      <c r="B87" s="242">
        <f>ROUND(N('Prior Year'!BW85), 0)</f>
        <v>568818</v>
      </c>
      <c r="C87" s="242">
        <f>data!BW85</f>
        <v>632424</v>
      </c>
      <c r="D87" s="242" t="s">
        <v>752</v>
      </c>
      <c r="E87" s="4" t="s">
        <v>752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809</v>
      </c>
      <c r="B88" s="242">
        <f>ROUND(N('Prior Year'!BX85), 0)</f>
        <v>8244030</v>
      </c>
      <c r="C88" s="242">
        <f>data!BX85</f>
        <v>8359134</v>
      </c>
      <c r="D88" s="242" t="s">
        <v>752</v>
      </c>
      <c r="E88" s="4" t="s">
        <v>752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810</v>
      </c>
      <c r="B89" s="242">
        <f>ROUND(N('Prior Year'!BY85), 0)</f>
        <v>1585495</v>
      </c>
      <c r="C89" s="242">
        <f>data!BY85</f>
        <v>1532667</v>
      </c>
      <c r="D89" s="242" t="s">
        <v>752</v>
      </c>
      <c r="E89" s="4" t="s">
        <v>752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811</v>
      </c>
      <c r="B90" s="242">
        <f>ROUND(N('Prior Year'!BZ85), 0)</f>
        <v>3661548</v>
      </c>
      <c r="C90" s="242">
        <f>data!BZ85</f>
        <v>3658944</v>
      </c>
      <c r="D90" s="242" t="s">
        <v>752</v>
      </c>
      <c r="E90" s="4" t="s">
        <v>752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812</v>
      </c>
      <c r="B91" s="242">
        <f>ROUND(N('Prior Year'!CA85), 0)</f>
        <v>367353</v>
      </c>
      <c r="C91" s="242">
        <f>data!CA85</f>
        <v>367245</v>
      </c>
      <c r="D91" s="242" t="s">
        <v>752</v>
      </c>
      <c r="E91" s="4" t="s">
        <v>752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813</v>
      </c>
      <c r="B92" s="242">
        <f>ROUND(N('Prior Year'!CB85), 0)</f>
        <v>425936</v>
      </c>
      <c r="C92" s="242">
        <f>data!CB85</f>
        <v>0</v>
      </c>
      <c r="D92" s="242" t="s">
        <v>752</v>
      </c>
      <c r="E92" s="4" t="s">
        <v>752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814</v>
      </c>
      <c r="B93" s="242">
        <f>ROUND(N('Prior Year'!CC85), 0)</f>
        <v>5408221</v>
      </c>
      <c r="C93" s="242">
        <f>data!CC85</f>
        <v>10619484</v>
      </c>
      <c r="D93" s="242" t="s">
        <v>752</v>
      </c>
      <c r="E93" s="4" t="s">
        <v>752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815</v>
      </c>
      <c r="B94" s="242">
        <f>ROUND(N('Prior Year'!CD85), 0)</f>
        <v>-26049591</v>
      </c>
      <c r="C94" s="242">
        <f>data!CD85</f>
        <v>-171359897.15000001</v>
      </c>
      <c r="D94" s="242" t="s">
        <v>752</v>
      </c>
      <c r="E94" s="4" t="s">
        <v>752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238D-C798-439D-902D-0E10426DBBDE}">
  <sheetPr>
    <tabColor rgb="FF92D050"/>
  </sheetPr>
  <dimension ref="A1:D64"/>
  <sheetViews>
    <sheetView workbookViewId="0">
      <selection activeCell="L36" sqref="L36"/>
    </sheetView>
  </sheetViews>
  <sheetFormatPr defaultRowHeight="12.5" x14ac:dyDescent="0.25"/>
  <sheetData>
    <row r="1" spans="1:4" ht="14.5" x14ac:dyDescent="0.35">
      <c r="A1" s="300" t="s">
        <v>816</v>
      </c>
      <c r="B1" s="299"/>
      <c r="C1" s="299"/>
      <c r="D1" s="299"/>
    </row>
    <row r="2" spans="1:4" ht="14.5" x14ac:dyDescent="0.35">
      <c r="A2" s="299"/>
      <c r="B2" s="299"/>
      <c r="C2" s="299"/>
      <c r="D2" s="299"/>
    </row>
    <row r="3" spans="1:4" ht="14.5" x14ac:dyDescent="0.35">
      <c r="A3" s="302" t="s">
        <v>817</v>
      </c>
      <c r="B3" s="299"/>
      <c r="C3" s="299"/>
      <c r="D3" s="299"/>
    </row>
    <row r="4" spans="1:4" ht="14.5" x14ac:dyDescent="0.35">
      <c r="A4" s="299" t="s">
        <v>818</v>
      </c>
      <c r="B4" s="299"/>
      <c r="C4" s="299"/>
      <c r="D4" s="299"/>
    </row>
    <row r="5" spans="1:4" ht="14.5" x14ac:dyDescent="0.35">
      <c r="A5" s="299" t="s">
        <v>819</v>
      </c>
      <c r="B5" s="299"/>
      <c r="C5" s="299"/>
      <c r="D5" s="299"/>
    </row>
    <row r="6" spans="1:4" ht="14.5" x14ac:dyDescent="0.35">
      <c r="A6" s="299"/>
      <c r="B6" s="299"/>
      <c r="C6" s="299"/>
      <c r="D6" s="299"/>
    </row>
    <row r="7" spans="1:4" ht="14.5" x14ac:dyDescent="0.35">
      <c r="A7" s="299" t="s">
        <v>820</v>
      </c>
      <c r="B7" s="299"/>
      <c r="C7" s="299"/>
      <c r="D7" s="299"/>
    </row>
    <row r="8" spans="1:4" ht="14.5" x14ac:dyDescent="0.35">
      <c r="A8" s="299" t="s">
        <v>821</v>
      </c>
      <c r="B8" s="299"/>
      <c r="C8" s="299"/>
      <c r="D8" s="299"/>
    </row>
    <row r="9" spans="1:4" ht="14.5" x14ac:dyDescent="0.35">
      <c r="A9" s="299"/>
      <c r="B9" s="299"/>
      <c r="C9" s="299"/>
      <c r="D9" s="299"/>
    </row>
    <row r="10" spans="1:4" ht="14.5" x14ac:dyDescent="0.35">
      <c r="A10" s="299"/>
      <c r="B10" s="299"/>
      <c r="C10" s="299"/>
      <c r="D10" s="299"/>
    </row>
    <row r="11" spans="1:4" ht="14.5" x14ac:dyDescent="0.35">
      <c r="A11" s="301" t="s">
        <v>822</v>
      </c>
      <c r="B11" s="299"/>
      <c r="C11" s="299"/>
      <c r="D11" s="299">
        <f>N(data!C380)</f>
        <v>5967944</v>
      </c>
    </row>
    <row r="12" spans="1:4" ht="14.5" x14ac:dyDescent="0.35">
      <c r="A12" s="301" t="s">
        <v>823</v>
      </c>
      <c r="B12" s="299"/>
      <c r="C12" s="299"/>
      <c r="D12" s="299" t="str">
        <f>IF(OR(N(data!C380) &gt; 1000000, N(data!C380) / (N(data!D360) + N(data!D383)) &gt; 0.01), "Yes", "No")</f>
        <v>Yes</v>
      </c>
    </row>
    <row r="13" spans="1:4" ht="14.5" x14ac:dyDescent="0.35">
      <c r="A13" s="299"/>
      <c r="B13" s="299"/>
      <c r="C13" s="299"/>
      <c r="D13" s="299"/>
    </row>
    <row r="14" spans="1:4" ht="14.5" x14ac:dyDescent="0.35">
      <c r="A14" s="301" t="s">
        <v>824</v>
      </c>
      <c r="B14" s="299"/>
      <c r="C14" s="299"/>
      <c r="D14" s="301" t="s">
        <v>825</v>
      </c>
    </row>
    <row r="15" spans="1:4" ht="14.5" x14ac:dyDescent="0.35">
      <c r="A15" s="299" t="s">
        <v>1363</v>
      </c>
      <c r="B15" s="299"/>
      <c r="C15" s="299"/>
      <c r="D15" s="299">
        <v>-3043</v>
      </c>
    </row>
    <row r="16" spans="1:4" ht="14.5" x14ac:dyDescent="0.35">
      <c r="A16" s="299" t="s">
        <v>1364</v>
      </c>
      <c r="B16" s="299"/>
      <c r="C16" s="299"/>
      <c r="D16" s="299">
        <v>255321.06</v>
      </c>
    </row>
    <row r="17" spans="1:4" ht="14.5" x14ac:dyDescent="0.35">
      <c r="A17" s="299" t="s">
        <v>1365</v>
      </c>
      <c r="B17" s="299"/>
      <c r="C17" s="299"/>
      <c r="D17" s="299">
        <v>16020</v>
      </c>
    </row>
    <row r="18" spans="1:4" ht="14.5" x14ac:dyDescent="0.35">
      <c r="A18" s="299" t="s">
        <v>1366</v>
      </c>
      <c r="B18" s="299"/>
      <c r="C18" s="299"/>
      <c r="D18" s="299">
        <v>3679</v>
      </c>
    </row>
    <row r="19" spans="1:4" ht="14.5" x14ac:dyDescent="0.35">
      <c r="A19" s="299" t="s">
        <v>1367</v>
      </c>
      <c r="B19" s="299"/>
      <c r="C19" s="299"/>
      <c r="D19" s="299">
        <v>4914057</v>
      </c>
    </row>
    <row r="20" spans="1:4" ht="14.5" x14ac:dyDescent="0.35">
      <c r="A20" s="299" t="s">
        <v>1368</v>
      </c>
      <c r="B20" s="299"/>
      <c r="C20" s="299"/>
      <c r="D20" s="299">
        <v>781910</v>
      </c>
    </row>
    <row r="21" spans="1:4" ht="14.5" x14ac:dyDescent="0.35">
      <c r="A21" s="299" t="s">
        <v>826</v>
      </c>
      <c r="B21" s="299"/>
      <c r="C21" s="299"/>
      <c r="D21" s="299"/>
    </row>
    <row r="22" spans="1:4" ht="14.5" x14ac:dyDescent="0.35">
      <c r="A22" s="299"/>
      <c r="B22" s="299"/>
      <c r="C22" s="299"/>
      <c r="D22" s="299"/>
    </row>
    <row r="23" spans="1:4" ht="14.5" x14ac:dyDescent="0.35">
      <c r="A23" s="299"/>
      <c r="B23" s="299"/>
      <c r="C23" s="299"/>
      <c r="D23" s="299"/>
    </row>
    <row r="24" spans="1:4" ht="14.5" x14ac:dyDescent="0.35">
      <c r="A24" s="299"/>
      <c r="B24" s="299"/>
      <c r="C24" s="299"/>
      <c r="D24" s="299"/>
    </row>
    <row r="25" spans="1:4" ht="14.5" x14ac:dyDescent="0.35">
      <c r="A25" s="301" t="s">
        <v>827</v>
      </c>
      <c r="B25" s="299"/>
      <c r="C25" s="299"/>
      <c r="D25" s="299">
        <f>N(data!C414)</f>
        <v>14287596</v>
      </c>
    </row>
    <row r="26" spans="1:4" ht="14.5" x14ac:dyDescent="0.35">
      <c r="A26" s="301" t="s">
        <v>823</v>
      </c>
      <c r="B26" s="299"/>
      <c r="C26" s="299"/>
      <c r="D26" s="299" t="str">
        <f>IF(OR(N(data!C414)&gt;1000000,N(data!C414)/(N(data!D416))&gt;0.01),"Yes","No")</f>
        <v>Yes</v>
      </c>
    </row>
    <row r="27" spans="1:4" ht="14.5" x14ac:dyDescent="0.35">
      <c r="A27" s="299"/>
      <c r="B27" s="299"/>
      <c r="C27" s="299"/>
      <c r="D27" s="299"/>
    </row>
    <row r="28" spans="1:4" ht="14.5" x14ac:dyDescent="0.35">
      <c r="A28" s="301" t="s">
        <v>824</v>
      </c>
      <c r="B28" s="299"/>
      <c r="C28" s="299"/>
      <c r="D28" s="301" t="s">
        <v>825</v>
      </c>
    </row>
    <row r="29" spans="1:4" ht="14.5" x14ac:dyDescent="0.35">
      <c r="A29" s="299" t="s">
        <v>1369</v>
      </c>
      <c r="B29" s="299"/>
      <c r="C29" s="299"/>
      <c r="D29" s="299">
        <v>2916</v>
      </c>
    </row>
    <row r="30" spans="1:4" ht="14.5" x14ac:dyDescent="0.35">
      <c r="A30" s="299" t="s">
        <v>1370</v>
      </c>
      <c r="B30" s="299"/>
      <c r="C30" s="299"/>
      <c r="D30" s="299">
        <v>402717</v>
      </c>
    </row>
    <row r="31" spans="1:4" ht="14.5" x14ac:dyDescent="0.35">
      <c r="A31" s="299" t="s">
        <v>1371</v>
      </c>
      <c r="B31" s="299"/>
      <c r="C31" s="299"/>
      <c r="D31" s="299">
        <v>1111465</v>
      </c>
    </row>
    <row r="32" spans="1:4" ht="14.5" x14ac:dyDescent="0.35">
      <c r="A32" s="299" t="s">
        <v>1372</v>
      </c>
      <c r="B32" s="299"/>
      <c r="C32" s="299"/>
      <c r="D32" s="299">
        <v>307809</v>
      </c>
    </row>
    <row r="33" spans="1:4" ht="14.5" x14ac:dyDescent="0.35">
      <c r="A33" s="299" t="s">
        <v>1373</v>
      </c>
      <c r="B33" s="299"/>
      <c r="C33" s="299"/>
      <c r="D33" s="299">
        <v>1549987</v>
      </c>
    </row>
    <row r="34" spans="1:4" ht="14.5" x14ac:dyDescent="0.35">
      <c r="A34" s="299" t="s">
        <v>1374</v>
      </c>
      <c r="B34" s="299"/>
      <c r="C34" s="299"/>
      <c r="D34" s="299">
        <v>26788</v>
      </c>
    </row>
    <row r="35" spans="1:4" ht="14.5" x14ac:dyDescent="0.35">
      <c r="A35" s="299" t="s">
        <v>1375</v>
      </c>
      <c r="B35" s="299"/>
      <c r="C35" s="299"/>
      <c r="D35" s="299">
        <v>220</v>
      </c>
    </row>
    <row r="36" spans="1:4" ht="14.5" x14ac:dyDescent="0.35">
      <c r="A36" s="299" t="s">
        <v>1376</v>
      </c>
      <c r="B36" s="299"/>
      <c r="C36" s="299"/>
      <c r="D36" s="299">
        <v>57791</v>
      </c>
    </row>
    <row r="37" spans="1:4" ht="14.5" x14ac:dyDescent="0.35">
      <c r="A37" s="299" t="s">
        <v>1377</v>
      </c>
      <c r="D37" s="299">
        <v>97</v>
      </c>
    </row>
    <row r="38" spans="1:4" ht="14.5" x14ac:dyDescent="0.35">
      <c r="A38" s="299" t="s">
        <v>1378</v>
      </c>
      <c r="D38" s="299">
        <v>100497</v>
      </c>
    </row>
    <row r="39" spans="1:4" ht="14.5" x14ac:dyDescent="0.35">
      <c r="A39" s="299" t="s">
        <v>1379</v>
      </c>
      <c r="D39" s="299">
        <v>11162</v>
      </c>
    </row>
    <row r="40" spans="1:4" ht="14.5" x14ac:dyDescent="0.35">
      <c r="A40" s="299" t="s">
        <v>1380</v>
      </c>
      <c r="D40" s="299">
        <v>45361</v>
      </c>
    </row>
    <row r="41" spans="1:4" ht="14.5" x14ac:dyDescent="0.35">
      <c r="A41" s="299" t="s">
        <v>1381</v>
      </c>
      <c r="D41" s="299">
        <v>434</v>
      </c>
    </row>
    <row r="42" spans="1:4" ht="14.5" x14ac:dyDescent="0.35">
      <c r="A42" s="299" t="s">
        <v>1382</v>
      </c>
      <c r="D42" s="299">
        <v>268648</v>
      </c>
    </row>
    <row r="43" spans="1:4" ht="14.5" x14ac:dyDescent="0.35">
      <c r="A43" s="299" t="s">
        <v>1383</v>
      </c>
      <c r="D43" s="299">
        <v>58213</v>
      </c>
    </row>
    <row r="44" spans="1:4" ht="14.5" x14ac:dyDescent="0.35">
      <c r="A44" s="299" t="s">
        <v>1384</v>
      </c>
      <c r="D44" s="299">
        <v>286107</v>
      </c>
    </row>
    <row r="45" spans="1:4" ht="14.5" x14ac:dyDescent="0.35">
      <c r="A45" s="299" t="s">
        <v>1385</v>
      </c>
      <c r="D45" s="299">
        <v>27424</v>
      </c>
    </row>
    <row r="46" spans="1:4" ht="14.5" x14ac:dyDescent="0.35">
      <c r="A46" s="299" t="s">
        <v>1386</v>
      </c>
      <c r="D46" s="299">
        <v>443816</v>
      </c>
    </row>
    <row r="47" spans="1:4" ht="14.5" x14ac:dyDescent="0.35">
      <c r="A47" s="299" t="s">
        <v>1387</v>
      </c>
      <c r="D47" s="299">
        <v>1671961</v>
      </c>
    </row>
    <row r="48" spans="1:4" ht="14.5" x14ac:dyDescent="0.35">
      <c r="A48" s="299" t="s">
        <v>1388</v>
      </c>
      <c r="D48" s="299">
        <v>1552</v>
      </c>
    </row>
    <row r="49" spans="1:4" ht="14.5" x14ac:dyDescent="0.35">
      <c r="A49" s="299" t="s">
        <v>1389</v>
      </c>
      <c r="D49" s="299">
        <v>3653943</v>
      </c>
    </row>
    <row r="50" spans="1:4" ht="14.5" x14ac:dyDescent="0.35">
      <c r="A50" s="299" t="s">
        <v>1390</v>
      </c>
      <c r="D50" s="299">
        <v>138757</v>
      </c>
    </row>
    <row r="51" spans="1:4" ht="14.5" x14ac:dyDescent="0.35">
      <c r="A51" s="299" t="s">
        <v>1391</v>
      </c>
      <c r="D51" s="299">
        <f>725461+20732</f>
        <v>746193</v>
      </c>
    </row>
    <row r="52" spans="1:4" ht="14.5" x14ac:dyDescent="0.35">
      <c r="A52" s="299" t="s">
        <v>1392</v>
      </c>
      <c r="D52" s="299">
        <v>57639</v>
      </c>
    </row>
    <row r="53" spans="1:4" ht="14.5" x14ac:dyDescent="0.35">
      <c r="A53" s="299" t="s">
        <v>1393</v>
      </c>
      <c r="D53" s="299">
        <v>864401</v>
      </c>
    </row>
    <row r="54" spans="1:4" ht="14.5" x14ac:dyDescent="0.35">
      <c r="A54" s="299" t="s">
        <v>1394</v>
      </c>
      <c r="D54" s="299">
        <v>651659</v>
      </c>
    </row>
    <row r="55" spans="1:4" ht="14.5" x14ac:dyDescent="0.35">
      <c r="A55" s="299" t="s">
        <v>1395</v>
      </c>
      <c r="D55" s="299">
        <v>2740</v>
      </c>
    </row>
    <row r="56" spans="1:4" ht="14.5" x14ac:dyDescent="0.35">
      <c r="A56" s="299" t="s">
        <v>1396</v>
      </c>
      <c r="D56" s="299">
        <v>23427</v>
      </c>
    </row>
    <row r="57" spans="1:4" ht="14.5" x14ac:dyDescent="0.35">
      <c r="A57" s="299" t="s">
        <v>1397</v>
      </c>
      <c r="D57" s="299">
        <v>223840</v>
      </c>
    </row>
    <row r="58" spans="1:4" ht="14.5" x14ac:dyDescent="0.35">
      <c r="A58" s="299" t="s">
        <v>1398</v>
      </c>
      <c r="D58" s="299">
        <v>5472</v>
      </c>
    </row>
    <row r="59" spans="1:4" ht="14.5" x14ac:dyDescent="0.35">
      <c r="A59" s="299" t="s">
        <v>1399</v>
      </c>
      <c r="D59" s="299">
        <v>68610</v>
      </c>
    </row>
    <row r="60" spans="1:4" ht="14.5" x14ac:dyDescent="0.35">
      <c r="A60" s="299" t="s">
        <v>1400</v>
      </c>
      <c r="D60" s="299">
        <v>4144</v>
      </c>
    </row>
    <row r="61" spans="1:4" ht="14.5" x14ac:dyDescent="0.35">
      <c r="A61" s="299" t="s">
        <v>1401</v>
      </c>
      <c r="D61" s="299">
        <v>9612</v>
      </c>
    </row>
    <row r="62" spans="1:4" ht="14.5" x14ac:dyDescent="0.35">
      <c r="A62" s="299" t="s">
        <v>1402</v>
      </c>
      <c r="D62" s="299">
        <v>10424</v>
      </c>
    </row>
    <row r="63" spans="1:4" ht="14.5" x14ac:dyDescent="0.35">
      <c r="A63" s="299" t="s">
        <v>1403</v>
      </c>
      <c r="D63" s="299">
        <v>576</v>
      </c>
    </row>
    <row r="64" spans="1:4" ht="14.5" x14ac:dyDescent="0.35">
      <c r="A64" s="299" t="s">
        <v>1404</v>
      </c>
      <c r="D64" s="299">
        <v>1451194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5BB5-F85B-4096-948D-AB9F85D4726E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H-58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YAKIMA VALLEY MEMORIAL 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98902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"&amp;data!C103</f>
        <v xml:space="preserve">  YAKIMA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"&amp;data!C104</f>
        <v xml:space="preserve">  TAMMY BUYOK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"&amp;data!C105</f>
        <v xml:space="preserve">  VACANT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(509) 575-8000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(509) 575-8863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3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411</v>
      </c>
      <c r="E17" s="243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3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14397</v>
      </c>
      <c r="G23" s="76">
        <f>data!D127</f>
        <v>58013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2516</v>
      </c>
      <c r="G26" s="76">
        <f>data!D130</f>
        <v>4854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18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20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122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16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32</v>
      </c>
      <c r="E34" s="73" t="s">
        <v>351</v>
      </c>
      <c r="F34" s="76"/>
      <c r="G34" s="76">
        <f>data!E143</f>
        <v>226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18</v>
      </c>
      <c r="E36" s="73" t="s">
        <v>352</v>
      </c>
      <c r="F36" s="76"/>
      <c r="G36" s="76">
        <f>data!C144</f>
        <v>226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32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1867-6427-42FC-9C11-32A5BBDB46C5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 xml:space="preserve">Hospital: YAKIMA VALLEY MEMORIAL 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858</v>
      </c>
      <c r="B6" s="88" t="s">
        <v>336</v>
      </c>
      <c r="C6" s="88" t="s">
        <v>859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5377</v>
      </c>
      <c r="C7" s="136">
        <f>data!B155</f>
        <v>29609</v>
      </c>
      <c r="D7" s="136">
        <f>data!B156</f>
        <v>148973</v>
      </c>
      <c r="E7" s="136">
        <f>data!B157</f>
        <v>285311510</v>
      </c>
      <c r="F7" s="136">
        <f>data!B158</f>
        <v>554483295</v>
      </c>
      <c r="G7" s="136">
        <f>data!B157+data!B158</f>
        <v>839794805</v>
      </c>
    </row>
    <row r="8" spans="1:7" ht="20.149999999999999" customHeight="1" x14ac:dyDescent="0.35">
      <c r="A8" s="72" t="s">
        <v>358</v>
      </c>
      <c r="B8" s="136">
        <f>data!C154</f>
        <v>3660</v>
      </c>
      <c r="C8" s="136">
        <f>data!C155</f>
        <v>13788</v>
      </c>
      <c r="D8" s="136">
        <f>data!C156</f>
        <v>77779</v>
      </c>
      <c r="E8" s="136">
        <f>data!C157</f>
        <v>157489205</v>
      </c>
      <c r="F8" s="136">
        <f>data!C158</f>
        <v>289689260</v>
      </c>
      <c r="G8" s="136">
        <f>data!C157+data!C158</f>
        <v>447178465</v>
      </c>
    </row>
    <row r="9" spans="1:7" ht="20.149999999999999" customHeight="1" x14ac:dyDescent="0.35">
      <c r="A9" s="72" t="s">
        <v>860</v>
      </c>
      <c r="B9" s="136">
        <f>data!D154</f>
        <v>2644</v>
      </c>
      <c r="C9" s="136">
        <f>data!D155</f>
        <v>9324</v>
      </c>
      <c r="D9" s="136">
        <f>data!D156</f>
        <v>107660</v>
      </c>
      <c r="E9" s="136">
        <f>data!D157</f>
        <v>102868468</v>
      </c>
      <c r="F9" s="136">
        <f>data!D158</f>
        <v>400519189</v>
      </c>
      <c r="G9" s="136">
        <f>data!D157+data!D158</f>
        <v>503387657</v>
      </c>
    </row>
    <row r="10" spans="1:7" ht="20.149999999999999" customHeight="1" x14ac:dyDescent="0.35">
      <c r="A10" s="87" t="s">
        <v>230</v>
      </c>
      <c r="B10" s="136">
        <f>data!E154</f>
        <v>11681</v>
      </c>
      <c r="C10" s="136">
        <f>data!E155</f>
        <v>52721</v>
      </c>
      <c r="D10" s="136">
        <f>data!E156</f>
        <v>334412</v>
      </c>
      <c r="E10" s="136">
        <f>data!E157</f>
        <v>545669183</v>
      </c>
      <c r="F10" s="136">
        <f>data!E158</f>
        <v>1244691744</v>
      </c>
      <c r="G10" s="136">
        <f>E10+F10</f>
        <v>1790360927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336</v>
      </c>
      <c r="C15" s="88" t="s">
        <v>859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858</v>
      </c>
      <c r="B24" s="88" t="s">
        <v>336</v>
      </c>
      <c r="C24" s="88" t="s">
        <v>859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57ED-F19C-408E-B0B7-B38842F97901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866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 xml:space="preserve">Hospital: YAKIMA VALLEY MEMORIAL 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867</v>
      </c>
      <c r="C6" s="72">
        <f>data!C181</f>
        <v>15333404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540865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1122833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17100107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1011832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12520870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5754287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868</v>
      </c>
      <c r="C14" s="72">
        <f>data!D189</f>
        <v>53384198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869</v>
      </c>
      <c r="C18" s="72">
        <f>data!C191</f>
        <v>6350953</v>
      </c>
    </row>
    <row r="19" spans="1:3" ht="20.149999999999999" customHeight="1" x14ac:dyDescent="0.35">
      <c r="A19" s="72">
        <v>13</v>
      </c>
      <c r="B19" s="73" t="s">
        <v>870</v>
      </c>
      <c r="C19" s="72">
        <f>data!C192</f>
        <v>2078240</v>
      </c>
    </row>
    <row r="20" spans="1:3" ht="20.149999999999999" customHeight="1" x14ac:dyDescent="0.35">
      <c r="A20" s="72">
        <v>14</v>
      </c>
      <c r="B20" s="73" t="s">
        <v>871</v>
      </c>
      <c r="C20" s="72">
        <f>data!D193</f>
        <v>8429193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872</v>
      </c>
      <c r="C24" s="157"/>
    </row>
    <row r="25" spans="1:3" ht="20.149999999999999" customHeight="1" x14ac:dyDescent="0.35">
      <c r="A25" s="72">
        <v>17</v>
      </c>
      <c r="B25" s="73" t="s">
        <v>873</v>
      </c>
      <c r="C25" s="72">
        <f>data!C195</f>
        <v>2494723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265638</v>
      </c>
    </row>
    <row r="27" spans="1:3" ht="20.149999999999999" customHeight="1" x14ac:dyDescent="0.35">
      <c r="A27" s="72">
        <v>19</v>
      </c>
      <c r="B27" s="73" t="s">
        <v>874</v>
      </c>
      <c r="C27" s="72">
        <f>data!D197</f>
        <v>2760361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875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343575</v>
      </c>
    </row>
    <row r="32" spans="1:3" ht="20.149999999999999" customHeight="1" x14ac:dyDescent="0.35">
      <c r="A32" s="72">
        <v>22</v>
      </c>
      <c r="B32" s="73" t="s">
        <v>876</v>
      </c>
      <c r="C32" s="72">
        <f>data!C200</f>
        <v>540793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12788379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13672747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3071193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3071193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6655-B6FD-43B1-B5B3-D9744B70A0E1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 xml:space="preserve">Hospital: YAKIMA VALLEY MEMORIAL 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390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12075579</v>
      </c>
      <c r="D7" s="76">
        <f>data!C211</f>
        <v>5428832</v>
      </c>
      <c r="E7" s="76">
        <f>data!D211</f>
        <v>0</v>
      </c>
      <c r="F7" s="76">
        <f>data!E211</f>
        <v>17504411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2770751</v>
      </c>
      <c r="D8" s="76">
        <f>data!C212</f>
        <v>6565859</v>
      </c>
      <c r="E8" s="76">
        <f>data!D212</f>
        <v>0</v>
      </c>
      <c r="F8" s="76">
        <f>data!E212</f>
        <v>9336610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108492708</v>
      </c>
      <c r="D9" s="76">
        <f>data!C213</f>
        <v>28617075</v>
      </c>
      <c r="E9" s="76">
        <f>data!D213</f>
        <v>0</v>
      </c>
      <c r="F9" s="76">
        <f>data!E213</f>
        <v>137109783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72421252</v>
      </c>
      <c r="D11" s="76">
        <f>data!C215</f>
        <v>3546679</v>
      </c>
      <c r="E11" s="76">
        <f>data!D215</f>
        <v>0</v>
      </c>
      <c r="F11" s="76">
        <f>data!E215</f>
        <v>75967931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102574826</v>
      </c>
      <c r="D12" s="76">
        <f>data!C216</f>
        <v>6045342</v>
      </c>
      <c r="E12" s="76">
        <f>data!D216</f>
        <v>90000</v>
      </c>
      <c r="F12" s="76">
        <f>data!E216</f>
        <v>108530168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6785018</v>
      </c>
      <c r="D14" s="76">
        <f>data!C218</f>
        <v>593074</v>
      </c>
      <c r="E14" s="76">
        <f>data!D218</f>
        <v>0</v>
      </c>
      <c r="F14" s="76">
        <f>data!E218</f>
        <v>7378092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14365765</v>
      </c>
      <c r="D15" s="76">
        <f>data!C219</f>
        <v>-1641317</v>
      </c>
      <c r="E15" s="76">
        <f>data!D219</f>
        <v>0</v>
      </c>
      <c r="F15" s="76">
        <f>data!E219</f>
        <v>12724448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319485899</v>
      </c>
      <c r="D16" s="76">
        <f>data!C220</f>
        <v>49155544</v>
      </c>
      <c r="E16" s="76">
        <f>data!D220</f>
        <v>90000</v>
      </c>
      <c r="F16" s="76">
        <f>data!E220</f>
        <v>368551443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1867768</v>
      </c>
      <c r="D24" s="76">
        <f>data!C225</f>
        <v>-679803</v>
      </c>
      <c r="E24" s="76">
        <f>data!D225</f>
        <v>0</v>
      </c>
      <c r="F24" s="76">
        <f>data!E225</f>
        <v>1187965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26592879</v>
      </c>
      <c r="D25" s="76">
        <f>data!C226</f>
        <v>-20212767</v>
      </c>
      <c r="E25" s="76">
        <f>data!D226</f>
        <v>0</v>
      </c>
      <c r="F25" s="76">
        <f>data!E226</f>
        <v>6380112</v>
      </c>
    </row>
    <row r="26" spans="1:6" ht="20.149999999999999" customHeight="1" x14ac:dyDescent="0.3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886</v>
      </c>
      <c r="C27" s="76">
        <f>data!B228</f>
        <v>31464472</v>
      </c>
      <c r="D27" s="76">
        <f>data!C228</f>
        <v>5093786</v>
      </c>
      <c r="E27" s="76">
        <f>data!D228</f>
        <v>0</v>
      </c>
      <c r="F27" s="76">
        <f>data!E228</f>
        <v>36558258</v>
      </c>
    </row>
    <row r="28" spans="1:6" ht="20.149999999999999" customHeight="1" x14ac:dyDescent="0.35">
      <c r="A28" s="72">
        <v>16</v>
      </c>
      <c r="B28" s="76" t="s">
        <v>887</v>
      </c>
      <c r="C28" s="76">
        <f>data!B229</f>
        <v>71063299</v>
      </c>
      <c r="D28" s="76">
        <f>data!C229</f>
        <v>8230539</v>
      </c>
      <c r="E28" s="76">
        <f>data!D229</f>
        <v>0</v>
      </c>
      <c r="F28" s="76">
        <f>data!E229</f>
        <v>79293838</v>
      </c>
    </row>
    <row r="29" spans="1:6" ht="20.149999999999999" customHeight="1" x14ac:dyDescent="0.3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3641678</v>
      </c>
      <c r="D30" s="76">
        <f>data!C231</f>
        <v>656527</v>
      </c>
      <c r="E30" s="76">
        <f>data!D231</f>
        <v>0</v>
      </c>
      <c r="F30" s="76">
        <f>data!E231</f>
        <v>4298205</v>
      </c>
    </row>
    <row r="31" spans="1:6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134630096</v>
      </c>
      <c r="D32" s="76">
        <f>data!C233</f>
        <v>-6911718</v>
      </c>
      <c r="E32" s="76">
        <f>data!D233</f>
        <v>0</v>
      </c>
      <c r="F32" s="76">
        <f>data!E233</f>
        <v>127718378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EFDB-B981-4B97-8C9C-F843A93B3BB4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891</v>
      </c>
      <c r="B1" s="71"/>
      <c r="C1" s="71"/>
      <c r="D1" s="70" t="s">
        <v>892</v>
      </c>
    </row>
    <row r="2" spans="1:4" ht="20.149999999999999" customHeight="1" x14ac:dyDescent="0.35">
      <c r="A2" s="129" t="str">
        <f>"Hospital: "&amp;data!C98</f>
        <v xml:space="preserve">Hospital: YAKIMA VALLEY MEMORIAL 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893</v>
      </c>
      <c r="C4" s="165" t="s">
        <v>894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9299679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605971455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359976625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14281445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221592467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49999999999999" customHeight="1" x14ac:dyDescent="0.35">
      <c r="A13" s="72">
        <v>9</v>
      </c>
      <c r="B13" s="76"/>
      <c r="C13" s="76" t="s">
        <v>896</v>
      </c>
      <c r="D13" s="76">
        <f>data!D245</f>
        <v>1201821992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897</v>
      </c>
      <c r="D16" s="72">
        <f>data!C247</f>
        <v>36550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0</v>
      </c>
    </row>
    <row r="19" spans="1:4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40850111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899</v>
      </c>
      <c r="D22" s="76">
        <f>data!D252</f>
        <v>40850111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14794862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901</v>
      </c>
      <c r="C27" s="88"/>
      <c r="D27" s="76">
        <f>data!D256</f>
        <v>14794862</v>
      </c>
    </row>
    <row r="28" spans="1:4" ht="20.149999999999999" customHeight="1" x14ac:dyDescent="0.35">
      <c r="A28" s="81">
        <v>24</v>
      </c>
      <c r="B28" s="147" t="s">
        <v>902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A12B-2EC2-4E9C-AE43-662751594D63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903</v>
      </c>
      <c r="B1" s="178"/>
      <c r="C1" s="178"/>
    </row>
    <row r="2" spans="1:3" ht="20.149999999999999" customHeight="1" x14ac:dyDescent="0.35">
      <c r="A2" s="177"/>
      <c r="B2" s="178"/>
      <c r="C2" s="103" t="s">
        <v>904</v>
      </c>
    </row>
    <row r="3" spans="1:3" ht="20.149999999999999" customHeight="1" x14ac:dyDescent="0.35">
      <c r="A3" s="129" t="str">
        <f>"Hospital: "&amp;data!C98</f>
        <v xml:space="preserve">Hospital: YAKIMA VALLEY MEMORIAL 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905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79464025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266708843</v>
      </c>
    </row>
    <row r="9" spans="1:3" ht="20.149999999999999" customHeight="1" x14ac:dyDescent="0.35">
      <c r="A9" s="183">
        <v>5</v>
      </c>
      <c r="B9" s="185" t="s">
        <v>906</v>
      </c>
      <c r="C9" s="185">
        <f>data!C269</f>
        <v>193606087</v>
      </c>
    </row>
    <row r="10" spans="1:3" ht="20.149999999999999" customHeight="1" x14ac:dyDescent="0.35">
      <c r="A10" s="183">
        <v>6</v>
      </c>
      <c r="B10" s="185" t="s">
        <v>907</v>
      </c>
      <c r="C10" s="185">
        <f>data!C270</f>
        <v>1957894</v>
      </c>
    </row>
    <row r="11" spans="1:3" ht="20.149999999999999" customHeight="1" x14ac:dyDescent="0.35">
      <c r="A11" s="183">
        <v>7</v>
      </c>
      <c r="B11" s="185" t="s">
        <v>908</v>
      </c>
      <c r="C11" s="185">
        <f>data!C271</f>
        <v>21444130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9412250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3782600</v>
      </c>
    </row>
    <row r="15" spans="1:3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910</v>
      </c>
      <c r="C16" s="185">
        <f>data!D276</f>
        <v>189163655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911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4510608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3898446</v>
      </c>
    </row>
    <row r="22" spans="1:3" ht="20.149999999999999" customHeight="1" x14ac:dyDescent="0.35">
      <c r="A22" s="183">
        <v>18</v>
      </c>
      <c r="B22" s="185" t="s">
        <v>912</v>
      </c>
      <c r="C22" s="185">
        <f>data!D281</f>
        <v>8409054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913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17504411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9336610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137109783</v>
      </c>
    </row>
    <row r="28" spans="1:3" ht="20.149999999999999" customHeight="1" x14ac:dyDescent="0.35">
      <c r="A28" s="183">
        <v>24</v>
      </c>
      <c r="B28" s="185" t="s">
        <v>914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75967931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108530168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7378092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12964286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127718378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241072903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24463143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24463143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92006000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7439467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99445467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562554222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 xml:space="preserve">Hospital: YAKIMA VALLEY MEMORIAL 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38436390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44593848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6407903</v>
      </c>
    </row>
    <row r="62" spans="1:3" ht="20.149999999999999" customHeight="1" x14ac:dyDescent="0.35">
      <c r="A62" s="183">
        <v>6</v>
      </c>
      <c r="B62" s="185" t="s">
        <v>930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9689690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99127831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6056000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3743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6059743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>
        <f>data!C334</f>
        <v>19469136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61463951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1792858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82725945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82725945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374640703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374640703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562554222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 xml:space="preserve">Hospital: YAKIMA VALLEY MEMORIAL 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545669185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1216091600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1761760785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9299679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1201821992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40850111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14794861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1266766643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494994142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959</v>
      </c>
      <c r="B125" s="201" t="s">
        <v>506</v>
      </c>
      <c r="C125" s="200">
        <f>data!C370</f>
        <v>9488300</v>
      </c>
    </row>
    <row r="126" spans="1:3" ht="20.149999999999999" customHeight="1" x14ac:dyDescent="0.35">
      <c r="A126" s="204" t="s">
        <v>960</v>
      </c>
      <c r="B126" s="201" t="s">
        <v>507</v>
      </c>
      <c r="C126" s="200">
        <f>data!C371</f>
        <v>9379143</v>
      </c>
    </row>
    <row r="127" spans="1:3" ht="20.149999999999999" customHeight="1" x14ac:dyDescent="0.35">
      <c r="A127" s="204" t="s">
        <v>961</v>
      </c>
      <c r="B127" s="201" t="s">
        <v>508</v>
      </c>
      <c r="C127" s="200">
        <f>data!C372</f>
        <v>0</v>
      </c>
    </row>
    <row r="128" spans="1:3" ht="20.149999999999999" customHeight="1" x14ac:dyDescent="0.35">
      <c r="A128" s="204" t="s">
        <v>962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510</v>
      </c>
      <c r="C129" s="200">
        <f>data!C374</f>
        <v>28600143</v>
      </c>
    </row>
    <row r="130" spans="1:3" ht="20.149999999999999" customHeight="1" x14ac:dyDescent="0.35">
      <c r="A130" s="204" t="s">
        <v>964</v>
      </c>
      <c r="B130" s="201" t="s">
        <v>511</v>
      </c>
      <c r="C130" s="200">
        <f>data!C375</f>
        <v>0</v>
      </c>
    </row>
    <row r="131" spans="1:3" ht="20.149999999999999" customHeight="1" x14ac:dyDescent="0.35">
      <c r="A131" s="204" t="s">
        <v>965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966</v>
      </c>
      <c r="B132" s="201" t="s">
        <v>513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514</v>
      </c>
      <c r="C133" s="200">
        <f>data!C378</f>
        <v>134885</v>
      </c>
    </row>
    <row r="134" spans="1:3" ht="20.149999999999999" customHeight="1" x14ac:dyDescent="0.35">
      <c r="A134" s="204" t="s">
        <v>968</v>
      </c>
      <c r="B134" s="201" t="s">
        <v>515</v>
      </c>
      <c r="C134" s="200">
        <f>data!C379</f>
        <v>2269848</v>
      </c>
    </row>
    <row r="135" spans="1:3" ht="20.149999999999999" customHeight="1" x14ac:dyDescent="0.35">
      <c r="A135" s="204" t="s">
        <v>969</v>
      </c>
      <c r="B135" s="201" t="s">
        <v>516</v>
      </c>
      <c r="C135" s="200">
        <f>data!C380</f>
        <v>5967944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55840263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550834405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236787162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53384198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36228291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99004258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3524012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25040090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21976671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8856289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1157330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13672747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3071193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1360151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6789053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22779612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1603061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2075010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9527475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1622641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2946091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415885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14287596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566108816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-15274411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170949394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155674983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155674983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A057-20F8-4AB3-8344-5AA8B875DEBD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47" customWidth="1"/>
    <col min="2" max="2" width="22.4140625" style="247" customWidth="1"/>
    <col min="3" max="8" width="13.75" style="247" customWidth="1"/>
    <col min="9" max="9" width="15.75" style="247" customWidth="1"/>
    <col min="10" max="11" width="8.9140625" style="247" customWidth="1"/>
    <col min="12" max="16384" width="8.9140625" style="247"/>
  </cols>
  <sheetData>
    <row r="1" spans="1:9" ht="20.149999999999999" customHeight="1" x14ac:dyDescent="0.35">
      <c r="A1" s="245" t="s">
        <v>1001</v>
      </c>
      <c r="B1" s="246"/>
      <c r="C1" s="246"/>
      <c r="D1" s="246"/>
      <c r="E1" s="246"/>
      <c r="F1" s="246"/>
      <c r="G1" s="246"/>
      <c r="H1" s="246"/>
    </row>
    <row r="2" spans="1:9" ht="20.149999999999999" customHeight="1" x14ac:dyDescent="0.35">
      <c r="A2" s="248"/>
      <c r="I2" s="249" t="s">
        <v>1002</v>
      </c>
    </row>
    <row r="3" spans="1:9" ht="20.149999999999999" customHeight="1" x14ac:dyDescent="0.35">
      <c r="A3" s="248"/>
      <c r="I3" s="248"/>
    </row>
    <row r="4" spans="1:9" ht="20.149999999999999" customHeight="1" x14ac:dyDescent="0.35">
      <c r="A4" s="250" t="str">
        <f>"Hospital: "&amp;data!C98</f>
        <v xml:space="preserve">Hospital: YAKIMA VALLEY MEMORIAL </v>
      </c>
      <c r="G4" s="251"/>
      <c r="H4" s="250" t="str">
        <f>"FYE: "&amp;data!C96</f>
        <v>FYE: 12/31/2023</v>
      </c>
    </row>
    <row r="5" spans="1:9" ht="20.149999999999999" customHeight="1" x14ac:dyDescent="0.35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49999999999999" customHeight="1" x14ac:dyDescent="0.35">
      <c r="A6" s="255">
        <v>2</v>
      </c>
      <c r="B6" s="256" t="s">
        <v>1003</v>
      </c>
      <c r="C6" s="257" t="s">
        <v>118</v>
      </c>
      <c r="D6" s="258" t="s">
        <v>1004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49999999999999" customHeight="1" x14ac:dyDescent="0.35">
      <c r="A7" s="255"/>
      <c r="B7" s="256"/>
      <c r="C7" s="258" t="s">
        <v>190</v>
      </c>
      <c r="D7" s="258" t="s">
        <v>1005</v>
      </c>
      <c r="E7" s="258" t="s">
        <v>190</v>
      </c>
      <c r="F7" s="258" t="s">
        <v>1006</v>
      </c>
      <c r="G7" s="258" t="s">
        <v>192</v>
      </c>
      <c r="H7" s="258" t="s">
        <v>190</v>
      </c>
      <c r="I7" s="258" t="s">
        <v>193</v>
      </c>
    </row>
    <row r="8" spans="1:9" ht="20.149999999999999" customHeight="1" x14ac:dyDescent="0.35">
      <c r="A8" s="244">
        <v>3</v>
      </c>
      <c r="B8" s="252" t="s">
        <v>1007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49999999999999" customHeight="1" x14ac:dyDescent="0.35">
      <c r="A9" s="244">
        <v>4</v>
      </c>
      <c r="B9" s="252" t="s">
        <v>261</v>
      </c>
      <c r="C9" s="252">
        <f>data!C59</f>
        <v>0</v>
      </c>
      <c r="D9" s="252">
        <f>data!D59</f>
        <v>0</v>
      </c>
      <c r="E9" s="252">
        <f>data!E59</f>
        <v>0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spans="1:9" ht="20.149999999999999" customHeight="1" x14ac:dyDescent="0.35">
      <c r="A10" s="244">
        <v>5</v>
      </c>
      <c r="B10" s="252" t="s">
        <v>262</v>
      </c>
      <c r="C10" s="259">
        <f>data!C60</f>
        <v>47.48</v>
      </c>
      <c r="D10" s="259">
        <f>data!D60</f>
        <v>0</v>
      </c>
      <c r="E10" s="259">
        <f>data!E60</f>
        <v>242.95</v>
      </c>
      <c r="F10" s="259">
        <f>data!F60</f>
        <v>42.38</v>
      </c>
      <c r="G10" s="259">
        <f>data!G60</f>
        <v>0</v>
      </c>
      <c r="H10" s="259">
        <f>data!H60</f>
        <v>36.799999999999997</v>
      </c>
      <c r="I10" s="259">
        <f>data!I60</f>
        <v>0</v>
      </c>
    </row>
    <row r="11" spans="1:9" ht="20.149999999999999" customHeight="1" x14ac:dyDescent="0.35">
      <c r="A11" s="244">
        <v>6</v>
      </c>
      <c r="B11" s="252" t="s">
        <v>263</v>
      </c>
      <c r="C11" s="252">
        <f>data!C61</f>
        <v>5383478</v>
      </c>
      <c r="D11" s="252">
        <f>data!D61</f>
        <v>0</v>
      </c>
      <c r="E11" s="252">
        <f>data!E61</f>
        <v>20601954</v>
      </c>
      <c r="F11" s="252">
        <f>data!F61</f>
        <v>4349067</v>
      </c>
      <c r="G11" s="252">
        <f>data!G61</f>
        <v>0</v>
      </c>
      <c r="H11" s="252">
        <f>data!H61</f>
        <v>4021161</v>
      </c>
      <c r="I11" s="252">
        <f>data!I61</f>
        <v>0</v>
      </c>
    </row>
    <row r="12" spans="1:9" ht="20.149999999999999" customHeight="1" x14ac:dyDescent="0.35">
      <c r="A12" s="244">
        <v>7</v>
      </c>
      <c r="B12" s="252" t="s">
        <v>11</v>
      </c>
      <c r="C12" s="252">
        <f>data!C62</f>
        <v>1222630</v>
      </c>
      <c r="D12" s="252">
        <f>data!D62</f>
        <v>0</v>
      </c>
      <c r="E12" s="252">
        <f>data!E62</f>
        <v>4678863</v>
      </c>
      <c r="F12" s="252">
        <f>data!F62</f>
        <v>987707</v>
      </c>
      <c r="G12" s="252">
        <f>data!G62</f>
        <v>0</v>
      </c>
      <c r="H12" s="252">
        <f>data!H62</f>
        <v>913237</v>
      </c>
      <c r="I12" s="252">
        <f>data!I62</f>
        <v>0</v>
      </c>
    </row>
    <row r="13" spans="1:9" ht="20.149999999999999" customHeight="1" x14ac:dyDescent="0.35">
      <c r="A13" s="244">
        <v>8</v>
      </c>
      <c r="B13" s="252" t="s">
        <v>264</v>
      </c>
      <c r="C13" s="252">
        <f>data!C63</f>
        <v>606612</v>
      </c>
      <c r="D13" s="252">
        <f>data!D63</f>
        <v>0</v>
      </c>
      <c r="E13" s="252">
        <f>data!E63</f>
        <v>0</v>
      </c>
      <c r="F13" s="252">
        <f>data!F63</f>
        <v>0</v>
      </c>
      <c r="G13" s="252">
        <f>data!G63</f>
        <v>0</v>
      </c>
      <c r="H13" s="252">
        <f>data!H63</f>
        <v>541863</v>
      </c>
      <c r="I13" s="252">
        <f>data!I63</f>
        <v>0</v>
      </c>
    </row>
    <row r="14" spans="1:9" ht="20.149999999999999" customHeight="1" x14ac:dyDescent="0.35">
      <c r="A14" s="244">
        <v>9</v>
      </c>
      <c r="B14" s="252" t="s">
        <v>265</v>
      </c>
      <c r="C14" s="252">
        <f>data!C64</f>
        <v>528043</v>
      </c>
      <c r="D14" s="252">
        <f>data!D64</f>
        <v>0</v>
      </c>
      <c r="E14" s="252">
        <f>data!E64</f>
        <v>1521076</v>
      </c>
      <c r="F14" s="252">
        <f>data!F64</f>
        <v>162409</v>
      </c>
      <c r="G14" s="252">
        <f>data!G64</f>
        <v>0</v>
      </c>
      <c r="H14" s="252">
        <f>data!H64</f>
        <v>61368</v>
      </c>
      <c r="I14" s="252">
        <f>data!I64</f>
        <v>0</v>
      </c>
    </row>
    <row r="15" spans="1:9" ht="20.149999999999999" customHeight="1" x14ac:dyDescent="0.35">
      <c r="A15" s="244">
        <v>10</v>
      </c>
      <c r="B15" s="252" t="s">
        <v>524</v>
      </c>
      <c r="C15" s="252">
        <f>data!C65</f>
        <v>0</v>
      </c>
      <c r="D15" s="252">
        <f>data!D65</f>
        <v>0</v>
      </c>
      <c r="E15" s="252">
        <f>data!E65</f>
        <v>0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spans="1:9" ht="20.149999999999999" customHeight="1" x14ac:dyDescent="0.35">
      <c r="A16" s="244">
        <v>11</v>
      </c>
      <c r="B16" s="252" t="s">
        <v>525</v>
      </c>
      <c r="C16" s="252">
        <f>data!C66</f>
        <v>14468</v>
      </c>
      <c r="D16" s="252">
        <f>data!D66</f>
        <v>0</v>
      </c>
      <c r="E16" s="252">
        <f>data!E66</f>
        <v>1271</v>
      </c>
      <c r="F16" s="252">
        <f>data!F66</f>
        <v>0</v>
      </c>
      <c r="G16" s="252">
        <f>data!G66</f>
        <v>0</v>
      </c>
      <c r="H16" s="252">
        <f>data!H66</f>
        <v>920</v>
      </c>
      <c r="I16" s="252">
        <f>data!I66</f>
        <v>0</v>
      </c>
    </row>
    <row r="17" spans="1:9" ht="20.149999999999999" customHeight="1" x14ac:dyDescent="0.35">
      <c r="A17" s="244">
        <v>12</v>
      </c>
      <c r="B17" s="252" t="s">
        <v>16</v>
      </c>
      <c r="C17" s="252">
        <f>data!C67</f>
        <v>235284</v>
      </c>
      <c r="D17" s="252">
        <f>data!D67</f>
        <v>0</v>
      </c>
      <c r="E17" s="252">
        <f>data!E67</f>
        <v>1318542</v>
      </c>
      <c r="F17" s="252">
        <f>data!F67</f>
        <v>388508</v>
      </c>
      <c r="G17" s="252">
        <f>data!G67</f>
        <v>0</v>
      </c>
      <c r="H17" s="252">
        <f>data!H67</f>
        <v>276284</v>
      </c>
      <c r="I17" s="252">
        <f>data!I67</f>
        <v>0</v>
      </c>
    </row>
    <row r="18" spans="1:9" ht="20.149999999999999" customHeight="1" x14ac:dyDescent="0.35">
      <c r="A18" s="244">
        <v>13</v>
      </c>
      <c r="B18" s="252" t="s">
        <v>1008</v>
      </c>
      <c r="C18" s="252">
        <f>data!C68</f>
        <v>2026</v>
      </c>
      <c r="D18" s="252">
        <f>data!D68</f>
        <v>0</v>
      </c>
      <c r="E18" s="252">
        <f>data!E68</f>
        <v>10619</v>
      </c>
      <c r="F18" s="252">
        <f>data!F68</f>
        <v>26949</v>
      </c>
      <c r="G18" s="252">
        <f>data!G68</f>
        <v>0</v>
      </c>
      <c r="H18" s="252">
        <f>data!H68</f>
        <v>2786</v>
      </c>
      <c r="I18" s="252">
        <f>data!I68</f>
        <v>0</v>
      </c>
    </row>
    <row r="19" spans="1:9" ht="20.149999999999999" customHeight="1" x14ac:dyDescent="0.35">
      <c r="A19" s="244">
        <v>14</v>
      </c>
      <c r="B19" s="252" t="s">
        <v>1009</v>
      </c>
      <c r="C19" s="252">
        <f>data!C69</f>
        <v>1055704</v>
      </c>
      <c r="D19" s="252">
        <f>data!D69</f>
        <v>0</v>
      </c>
      <c r="E19" s="252">
        <f>data!E69</f>
        <v>2141268.71</v>
      </c>
      <c r="F19" s="252">
        <f>data!F69</f>
        <v>109984</v>
      </c>
      <c r="G19" s="252">
        <f>data!G69</f>
        <v>0</v>
      </c>
      <c r="H19" s="252">
        <f>data!H69</f>
        <v>50268</v>
      </c>
      <c r="I19" s="252">
        <f>data!I69</f>
        <v>0</v>
      </c>
    </row>
    <row r="20" spans="1:9" ht="20.149999999999999" customHeight="1" x14ac:dyDescent="0.35">
      <c r="A20" s="244">
        <v>15</v>
      </c>
      <c r="B20" s="252" t="s">
        <v>284</v>
      </c>
      <c r="C20" s="252">
        <f>-data!C84</f>
        <v>-122462</v>
      </c>
      <c r="D20" s="252">
        <f>-data!D84</f>
        <v>0</v>
      </c>
      <c r="E20" s="252">
        <f>-data!E84</f>
        <v>-1664</v>
      </c>
      <c r="F20" s="252">
        <f>-data!F84</f>
        <v>-37900</v>
      </c>
      <c r="G20" s="252">
        <f>-data!G84</f>
        <v>0</v>
      </c>
      <c r="H20" s="252">
        <f>-data!H84</f>
        <v>-87235</v>
      </c>
      <c r="I20" s="252">
        <f>-data!I84</f>
        <v>0</v>
      </c>
    </row>
    <row r="21" spans="1:9" ht="20.149999999999999" customHeight="1" x14ac:dyDescent="0.35">
      <c r="A21" s="244">
        <v>16</v>
      </c>
      <c r="B21" s="260" t="s">
        <v>1010</v>
      </c>
      <c r="C21" s="252">
        <f>data!C85</f>
        <v>8925783</v>
      </c>
      <c r="D21" s="252">
        <f>data!D85</f>
        <v>0</v>
      </c>
      <c r="E21" s="252">
        <f>data!E85</f>
        <v>30271929.710000001</v>
      </c>
      <c r="F21" s="252">
        <f>data!F85</f>
        <v>5986724</v>
      </c>
      <c r="G21" s="252">
        <f>data!G85</f>
        <v>0</v>
      </c>
      <c r="H21" s="252">
        <f>data!H85</f>
        <v>5780652</v>
      </c>
      <c r="I21" s="252">
        <f>data!I85</f>
        <v>0</v>
      </c>
    </row>
    <row r="22" spans="1:9" ht="20.149999999999999" customHeight="1" x14ac:dyDescent="0.35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49999999999999" customHeight="1" x14ac:dyDescent="0.35">
      <c r="A23" s="244">
        <v>18</v>
      </c>
      <c r="B23" s="252" t="s">
        <v>1011</v>
      </c>
      <c r="C23" s="260">
        <f>+data!M668</f>
        <v>4848648</v>
      </c>
      <c r="D23" s="260">
        <f>+data!M669</f>
        <v>0</v>
      </c>
      <c r="E23" s="260">
        <f>+data!M670</f>
        <v>-6965569</v>
      </c>
      <c r="F23" s="260">
        <f>+data!M671</f>
        <v>-3238354</v>
      </c>
      <c r="G23" s="260">
        <f>+data!M672</f>
        <v>0</v>
      </c>
      <c r="H23" s="260">
        <f>+data!M673</f>
        <v>-1942441</v>
      </c>
      <c r="I23" s="260">
        <f>+data!M674</f>
        <v>0</v>
      </c>
    </row>
    <row r="24" spans="1:9" ht="20.149999999999999" customHeight="1" x14ac:dyDescent="0.35">
      <c r="A24" s="244">
        <v>19</v>
      </c>
      <c r="B24" s="260" t="s">
        <v>1012</v>
      </c>
      <c r="C24" s="252">
        <f>data!C87</f>
        <v>30892760</v>
      </c>
      <c r="D24" s="252">
        <f>data!D87</f>
        <v>0</v>
      </c>
      <c r="E24" s="252">
        <f>data!E87</f>
        <v>147718026</v>
      </c>
      <c r="F24" s="252">
        <f>data!F87</f>
        <v>27309691</v>
      </c>
      <c r="G24" s="252">
        <f>data!G87</f>
        <v>0</v>
      </c>
      <c r="H24" s="252">
        <f>data!H87</f>
        <v>25805668</v>
      </c>
      <c r="I24" s="252">
        <f>data!I87</f>
        <v>0</v>
      </c>
    </row>
    <row r="25" spans="1:9" ht="20.149999999999999" customHeight="1" x14ac:dyDescent="0.35">
      <c r="A25" s="244">
        <v>20</v>
      </c>
      <c r="B25" s="260" t="s">
        <v>1013</v>
      </c>
      <c r="C25" s="252">
        <f>data!C88</f>
        <v>820915</v>
      </c>
      <c r="D25" s="252">
        <f>data!D88</f>
        <v>0</v>
      </c>
      <c r="E25" s="252">
        <f>data!E88</f>
        <v>12184065</v>
      </c>
      <c r="F25" s="252">
        <f>data!F88</f>
        <v>477914</v>
      </c>
      <c r="G25" s="252">
        <f>data!G88</f>
        <v>0</v>
      </c>
      <c r="H25" s="252">
        <f>data!H88</f>
        <v>27881</v>
      </c>
      <c r="I25" s="252">
        <f>data!I88</f>
        <v>0</v>
      </c>
    </row>
    <row r="26" spans="1:9" ht="18" customHeight="1" x14ac:dyDescent="0.35">
      <c r="A26" s="244">
        <v>21</v>
      </c>
      <c r="B26" s="260" t="s">
        <v>1014</v>
      </c>
      <c r="C26" s="252">
        <f>data!C89</f>
        <v>31713675</v>
      </c>
      <c r="D26" s="252">
        <f>data!D89</f>
        <v>0</v>
      </c>
      <c r="E26" s="252">
        <f>data!E89</f>
        <v>159902091</v>
      </c>
      <c r="F26" s="252">
        <f>data!F89</f>
        <v>27787605</v>
      </c>
      <c r="G26" s="252">
        <f>data!G89</f>
        <v>0</v>
      </c>
      <c r="H26" s="252">
        <f>data!H89</f>
        <v>25833549</v>
      </c>
      <c r="I26" s="252">
        <f>data!I89</f>
        <v>0</v>
      </c>
    </row>
    <row r="27" spans="1:9" ht="20.149999999999999" customHeight="1" x14ac:dyDescent="0.35">
      <c r="A27" s="244" t="s">
        <v>1015</v>
      </c>
      <c r="B27" s="252"/>
      <c r="C27" s="262"/>
      <c r="D27" s="262"/>
      <c r="E27" s="262"/>
      <c r="F27" s="262"/>
      <c r="G27" s="262"/>
      <c r="H27" s="262"/>
      <c r="I27" s="262"/>
    </row>
    <row r="28" spans="1:9" ht="20.149999999999999" customHeight="1" x14ac:dyDescent="0.35">
      <c r="A28" s="244">
        <v>22</v>
      </c>
      <c r="B28" s="252" t="s">
        <v>1016</v>
      </c>
      <c r="C28" s="252">
        <f>data!C90</f>
        <v>11357</v>
      </c>
      <c r="D28" s="252">
        <f>data!D90</f>
        <v>0</v>
      </c>
      <c r="E28" s="252">
        <f>data!E90</f>
        <v>63645</v>
      </c>
      <c r="F28" s="252">
        <f>data!F90</f>
        <v>18753</v>
      </c>
      <c r="G28" s="252">
        <f>data!G90</f>
        <v>0</v>
      </c>
      <c r="H28" s="252">
        <f>data!H90</f>
        <v>13336</v>
      </c>
      <c r="I28" s="252">
        <f>data!I90</f>
        <v>0</v>
      </c>
    </row>
    <row r="29" spans="1:9" ht="20.149999999999999" customHeight="1" x14ac:dyDescent="0.35">
      <c r="A29" s="244">
        <v>23</v>
      </c>
      <c r="B29" s="252" t="s">
        <v>1017</v>
      </c>
      <c r="C29" s="252">
        <f>data!C91</f>
        <v>2451</v>
      </c>
      <c r="D29" s="252">
        <f>data!D91</f>
        <v>0</v>
      </c>
      <c r="E29" s="252">
        <f>data!E91</f>
        <v>136410</v>
      </c>
      <c r="F29" s="252">
        <f>data!F91</f>
        <v>12546</v>
      </c>
      <c r="G29" s="252">
        <f>data!G91</f>
        <v>0</v>
      </c>
      <c r="H29" s="252">
        <f>data!H91</f>
        <v>20620</v>
      </c>
      <c r="I29" s="252">
        <f>data!I91</f>
        <v>0</v>
      </c>
    </row>
    <row r="30" spans="1:9" ht="20.149999999999999" customHeight="1" x14ac:dyDescent="0.35">
      <c r="A30" s="244">
        <v>24</v>
      </c>
      <c r="B30" s="252" t="s">
        <v>1018</v>
      </c>
      <c r="C30" s="252">
        <f>data!C92</f>
        <v>4004</v>
      </c>
      <c r="D30" s="252">
        <f>data!D92</f>
        <v>0</v>
      </c>
      <c r="E30" s="252">
        <f>data!E92</f>
        <v>20800</v>
      </c>
      <c r="F30" s="252">
        <f>data!F92</f>
        <v>5408</v>
      </c>
      <c r="G30" s="252">
        <f>data!G92</f>
        <v>0</v>
      </c>
      <c r="H30" s="252">
        <f>data!H92</f>
        <v>2496</v>
      </c>
      <c r="I30" s="252">
        <f>data!I92</f>
        <v>0</v>
      </c>
    </row>
    <row r="31" spans="1:9" ht="20.149999999999999" customHeight="1" x14ac:dyDescent="0.35">
      <c r="A31" s="244">
        <v>25</v>
      </c>
      <c r="B31" s="252" t="s">
        <v>1019</v>
      </c>
      <c r="C31" s="252">
        <f>data!C93</f>
        <v>45995.61</v>
      </c>
      <c r="D31" s="252">
        <f>data!D93</f>
        <v>0</v>
      </c>
      <c r="E31" s="252">
        <f>data!E93</f>
        <v>509189.36800000002</v>
      </c>
      <c r="F31" s="252">
        <f>data!F93</f>
        <v>120566.13</v>
      </c>
      <c r="G31" s="252">
        <f>data!G93</f>
        <v>0</v>
      </c>
      <c r="H31" s="252">
        <f>data!H93</f>
        <v>43234.35</v>
      </c>
      <c r="I31" s="252">
        <f>data!I93</f>
        <v>0</v>
      </c>
    </row>
    <row r="32" spans="1:9" ht="20.149999999999999" customHeight="1" x14ac:dyDescent="0.35">
      <c r="A32" s="244">
        <v>26</v>
      </c>
      <c r="B32" s="252" t="s">
        <v>294</v>
      </c>
      <c r="C32" s="259">
        <f>data!C94</f>
        <v>18.440000000000001</v>
      </c>
      <c r="D32" s="259">
        <f>data!D94</f>
        <v>0</v>
      </c>
      <c r="E32" s="259">
        <f>data!E94</f>
        <v>0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49999999999999" customHeight="1" x14ac:dyDescent="0.35">
      <c r="A33" s="245" t="s">
        <v>1001</v>
      </c>
      <c r="B33" s="246"/>
      <c r="C33" s="246"/>
      <c r="D33" s="246"/>
      <c r="E33" s="246"/>
      <c r="F33" s="246"/>
      <c r="G33" s="246"/>
      <c r="H33" s="246"/>
      <c r="I33" s="245"/>
    </row>
    <row r="34" spans="1:9" ht="20.149999999999999" customHeight="1" x14ac:dyDescent="0.35">
      <c r="A34" s="248"/>
      <c r="I34" s="249" t="s">
        <v>1020</v>
      </c>
    </row>
    <row r="35" spans="1:9" ht="20.149999999999999" customHeight="1" x14ac:dyDescent="0.35">
      <c r="A35" s="248"/>
      <c r="I35" s="248"/>
    </row>
    <row r="36" spans="1:9" ht="20.149999999999999" customHeight="1" x14ac:dyDescent="0.35">
      <c r="A36" s="250" t="str">
        <f>"Hospital: "&amp;data!C98</f>
        <v xml:space="preserve">Hospital: YAKIMA VALLEY MEMORIAL </v>
      </c>
      <c r="G36" s="251"/>
      <c r="H36" s="250" t="str">
        <f>"FYE: "&amp;data!C96</f>
        <v>FYE: 12/31/2023</v>
      </c>
    </row>
    <row r="37" spans="1:9" ht="20.149999999999999" customHeight="1" x14ac:dyDescent="0.35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49999999999999" customHeight="1" x14ac:dyDescent="0.35">
      <c r="A38" s="255">
        <v>2</v>
      </c>
      <c r="B38" s="256" t="s">
        <v>1003</v>
      </c>
      <c r="C38" s="258"/>
      <c r="D38" s="258" t="s">
        <v>126</v>
      </c>
      <c r="E38" s="258" t="s">
        <v>127</v>
      </c>
      <c r="F38" s="258" t="s">
        <v>1021</v>
      </c>
      <c r="G38" s="258" t="s">
        <v>129</v>
      </c>
      <c r="H38" s="258" t="s">
        <v>1022</v>
      </c>
      <c r="I38" s="258" t="s">
        <v>131</v>
      </c>
    </row>
    <row r="39" spans="1:9" ht="20.149999999999999" customHeight="1" x14ac:dyDescent="0.35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49999999999999" customHeight="1" x14ac:dyDescent="0.35">
      <c r="A40" s="244">
        <v>3</v>
      </c>
      <c r="B40" s="252" t="s">
        <v>1007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49999999999999" customHeight="1" x14ac:dyDescent="0.35">
      <c r="A41" s="244">
        <v>4</v>
      </c>
      <c r="B41" s="252" t="s">
        <v>261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0</v>
      </c>
      <c r="I41" s="252">
        <f>data!P59</f>
        <v>0</v>
      </c>
    </row>
    <row r="42" spans="1:9" ht="20.149999999999999" customHeight="1" x14ac:dyDescent="0.35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48.87</v>
      </c>
      <c r="I42" s="259">
        <f>data!P60</f>
        <v>105.59</v>
      </c>
    </row>
    <row r="43" spans="1:9" ht="20.149999999999999" customHeight="1" x14ac:dyDescent="0.35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4917497</v>
      </c>
      <c r="I43" s="252">
        <f>data!P61</f>
        <v>8992906</v>
      </c>
    </row>
    <row r="44" spans="1:9" ht="20.149999999999999" customHeight="1" x14ac:dyDescent="0.35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1116802</v>
      </c>
      <c r="I44" s="252">
        <f>data!P62</f>
        <v>2042359</v>
      </c>
    </row>
    <row r="45" spans="1:9" ht="20.149999999999999" customHeight="1" x14ac:dyDescent="0.35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0</v>
      </c>
      <c r="I45" s="252">
        <f>data!P63</f>
        <v>16625</v>
      </c>
    </row>
    <row r="46" spans="1:9" ht="20.149999999999999" customHeight="1" x14ac:dyDescent="0.35">
      <c r="A46" s="244">
        <v>9</v>
      </c>
      <c r="B46" s="252" t="s">
        <v>265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695639</v>
      </c>
      <c r="I46" s="252">
        <f>data!P64</f>
        <v>19436507</v>
      </c>
    </row>
    <row r="47" spans="1:9" ht="20.149999999999999" customHeight="1" x14ac:dyDescent="0.35">
      <c r="A47" s="244">
        <v>10</v>
      </c>
      <c r="B47" s="252" t="s">
        <v>524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0</v>
      </c>
      <c r="I47" s="252">
        <f>data!P65</f>
        <v>46101</v>
      </c>
    </row>
    <row r="48" spans="1:9" ht="20.149999999999999" customHeight="1" x14ac:dyDescent="0.35">
      <c r="A48" s="244">
        <v>11</v>
      </c>
      <c r="B48" s="252" t="s">
        <v>525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1950</v>
      </c>
      <c r="I48" s="252">
        <f>data!P66</f>
        <v>1542666</v>
      </c>
    </row>
    <row r="49" spans="1:11" ht="20.149999999999999" customHeight="1" x14ac:dyDescent="0.35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219560</v>
      </c>
      <c r="I49" s="252">
        <f>data!P67</f>
        <v>883896</v>
      </c>
    </row>
    <row r="50" spans="1:11" ht="20.149999999999999" customHeight="1" x14ac:dyDescent="0.35">
      <c r="A50" s="244">
        <v>13</v>
      </c>
      <c r="B50" s="252" t="s">
        <v>1008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1563</v>
      </c>
      <c r="I50" s="252">
        <f>data!P68</f>
        <v>775198</v>
      </c>
    </row>
    <row r="51" spans="1:11" ht="20.149999999999999" customHeight="1" x14ac:dyDescent="0.35">
      <c r="A51" s="244">
        <v>14</v>
      </c>
      <c r="B51" s="252" t="s">
        <v>1009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337351</v>
      </c>
      <c r="I51" s="252">
        <f>data!P69</f>
        <v>2266182</v>
      </c>
    </row>
    <row r="52" spans="1:11" ht="20.149999999999999" customHeight="1" x14ac:dyDescent="0.35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-11287</v>
      </c>
      <c r="I52" s="252">
        <f>-data!P84</f>
        <v>-6000</v>
      </c>
    </row>
    <row r="53" spans="1:11" ht="20.149999999999999" customHeight="1" x14ac:dyDescent="0.35">
      <c r="A53" s="244">
        <v>16</v>
      </c>
      <c r="B53" s="260" t="s">
        <v>1010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7279075</v>
      </c>
      <c r="I53" s="252">
        <f>data!P85</f>
        <v>35996440</v>
      </c>
    </row>
    <row r="54" spans="1:11" ht="20.149999999999999" customHeight="1" x14ac:dyDescent="0.35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49999999999999" customHeight="1" x14ac:dyDescent="0.35">
      <c r="A55" s="244">
        <v>18</v>
      </c>
      <c r="B55" s="252" t="s">
        <v>1011</v>
      </c>
      <c r="C55" s="260">
        <f>+data!M675</f>
        <v>0</v>
      </c>
      <c r="D55" s="260">
        <f>+data!M676</f>
        <v>0</v>
      </c>
      <c r="E55" s="260">
        <f>+data!M677</f>
        <v>0</v>
      </c>
      <c r="F55" s="260">
        <f>+data!M678</f>
        <v>0</v>
      </c>
      <c r="G55" s="260">
        <f>+data!M679</f>
        <v>0</v>
      </c>
      <c r="H55" s="260">
        <f>+data!M680</f>
        <v>-1121464</v>
      </c>
      <c r="I55" s="260">
        <f>+data!M681</f>
        <v>-2146539</v>
      </c>
    </row>
    <row r="56" spans="1:11" ht="20.149999999999999" customHeight="1" x14ac:dyDescent="0.35">
      <c r="A56" s="244">
        <v>19</v>
      </c>
      <c r="B56" s="260" t="s">
        <v>1012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17497582</v>
      </c>
      <c r="I56" s="252">
        <f>data!P87</f>
        <v>30023608</v>
      </c>
    </row>
    <row r="57" spans="1:11" ht="20.149999999999999" customHeight="1" x14ac:dyDescent="0.35">
      <c r="A57" s="244">
        <v>20</v>
      </c>
      <c r="B57" s="260" t="s">
        <v>1013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1205077</v>
      </c>
      <c r="I57" s="252">
        <f>data!P88</f>
        <v>129528817</v>
      </c>
    </row>
    <row r="58" spans="1:11" ht="20.149999999999999" customHeight="1" x14ac:dyDescent="0.35">
      <c r="A58" s="244">
        <v>21</v>
      </c>
      <c r="B58" s="260" t="s">
        <v>1014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18702659</v>
      </c>
      <c r="I58" s="252">
        <f>data!P89</f>
        <v>159552425</v>
      </c>
    </row>
    <row r="59" spans="1:11" ht="20.149999999999999" customHeight="1" x14ac:dyDescent="0.35">
      <c r="A59" s="244" t="s">
        <v>1015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49999999999999" customHeight="1" x14ac:dyDescent="0.35">
      <c r="A60" s="244">
        <v>22</v>
      </c>
      <c r="B60" s="252" t="s">
        <v>1016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10598</v>
      </c>
      <c r="I60" s="252">
        <f>data!P90</f>
        <v>42665</v>
      </c>
      <c r="K60" s="263"/>
    </row>
    <row r="61" spans="1:11" ht="20.149999999999999" customHeight="1" x14ac:dyDescent="0.35">
      <c r="A61" s="244">
        <v>23</v>
      </c>
      <c r="B61" s="252" t="s">
        <v>1017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196</v>
      </c>
    </row>
    <row r="62" spans="1:11" ht="20.149999999999999" customHeight="1" x14ac:dyDescent="0.35">
      <c r="A62" s="244">
        <v>24</v>
      </c>
      <c r="B62" s="252" t="s">
        <v>1018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5408</v>
      </c>
      <c r="I62" s="252">
        <f>data!P92</f>
        <v>9867</v>
      </c>
    </row>
    <row r="63" spans="1:11" ht="20.149999999999999" customHeight="1" x14ac:dyDescent="0.35">
      <c r="A63" s="244">
        <v>25</v>
      </c>
      <c r="B63" s="252" t="s">
        <v>1019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153153.1</v>
      </c>
      <c r="I63" s="252">
        <f>data!P93</f>
        <v>329512.02</v>
      </c>
    </row>
    <row r="64" spans="1:11" ht="20.149999999999999" customHeight="1" x14ac:dyDescent="0.35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0</v>
      </c>
      <c r="I64" s="259">
        <f>data!P94</f>
        <v>0</v>
      </c>
    </row>
    <row r="65" spans="1:9" ht="20.149999999999999" customHeight="1" x14ac:dyDescent="0.35">
      <c r="A65" s="245" t="s">
        <v>1001</v>
      </c>
      <c r="B65" s="246"/>
      <c r="C65" s="246"/>
      <c r="D65" s="246"/>
      <c r="E65" s="246"/>
      <c r="F65" s="246"/>
      <c r="G65" s="246"/>
      <c r="H65" s="246"/>
      <c r="I65" s="245"/>
    </row>
    <row r="66" spans="1:9" ht="20.149999999999999" customHeight="1" x14ac:dyDescent="0.35">
      <c r="D66" s="248"/>
      <c r="I66" s="249" t="s">
        <v>1023</v>
      </c>
    </row>
    <row r="67" spans="1:9" ht="20.149999999999999" customHeight="1" x14ac:dyDescent="0.35">
      <c r="A67" s="248"/>
    </row>
    <row r="68" spans="1:9" ht="20.149999999999999" customHeight="1" x14ac:dyDescent="0.35">
      <c r="A68" s="250" t="str">
        <f>"Hospital: "&amp;data!C98</f>
        <v xml:space="preserve">Hospital: YAKIMA VALLEY MEMORIAL </v>
      </c>
      <c r="G68" s="251"/>
      <c r="H68" s="250" t="str">
        <f>"FYE: "&amp;data!C96</f>
        <v>FYE: 12/31/2023</v>
      </c>
    </row>
    <row r="69" spans="1:9" ht="20.149999999999999" customHeight="1" x14ac:dyDescent="0.35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49999999999999" customHeight="1" x14ac:dyDescent="0.35">
      <c r="A70" s="255">
        <v>2</v>
      </c>
      <c r="B70" s="256" t="s">
        <v>1003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49999999999999" customHeight="1" x14ac:dyDescent="0.35">
      <c r="A71" s="255"/>
      <c r="B71" s="256"/>
      <c r="C71" s="258" t="s">
        <v>198</v>
      </c>
      <c r="D71" s="258" t="s">
        <v>1024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49999999999999" customHeight="1" x14ac:dyDescent="0.35">
      <c r="A72" s="244">
        <v>3</v>
      </c>
      <c r="B72" s="252" t="s">
        <v>1007</v>
      </c>
      <c r="C72" s="254" t="s">
        <v>1025</v>
      </c>
      <c r="D72" s="253" t="s">
        <v>1026</v>
      </c>
      <c r="E72" s="264"/>
      <c r="F72" s="264"/>
      <c r="G72" s="253" t="s">
        <v>1027</v>
      </c>
      <c r="H72" s="253" t="s">
        <v>1027</v>
      </c>
      <c r="I72" s="254" t="s">
        <v>250</v>
      </c>
    </row>
    <row r="73" spans="1:9" ht="20.149999999999999" customHeight="1" x14ac:dyDescent="0.35">
      <c r="A73" s="244">
        <v>4</v>
      </c>
      <c r="B73" s="252" t="s">
        <v>261</v>
      </c>
      <c r="C73" s="252">
        <f>data!Q59</f>
        <v>0</v>
      </c>
      <c r="D73" s="260">
        <f>data!R59</f>
        <v>0</v>
      </c>
      <c r="E73" s="264"/>
      <c r="F73" s="264"/>
      <c r="G73" s="252">
        <f>data!U59</f>
        <v>0</v>
      </c>
      <c r="H73" s="252">
        <f>data!V59</f>
        <v>0</v>
      </c>
      <c r="I73" s="252">
        <f>data!W59</f>
        <v>0</v>
      </c>
    </row>
    <row r="74" spans="1:9" ht="20.149999999999999" customHeight="1" x14ac:dyDescent="0.35">
      <c r="A74" s="244">
        <v>5</v>
      </c>
      <c r="B74" s="252" t="s">
        <v>262</v>
      </c>
      <c r="C74" s="259">
        <f>data!Q60</f>
        <v>30.89</v>
      </c>
      <c r="D74" s="259">
        <f>data!R60</f>
        <v>2.42</v>
      </c>
      <c r="E74" s="259">
        <f>data!S60</f>
        <v>21.76</v>
      </c>
      <c r="F74" s="259">
        <f>data!T60</f>
        <v>9.4</v>
      </c>
      <c r="G74" s="259">
        <f>data!U60</f>
        <v>73.599999999999994</v>
      </c>
      <c r="H74" s="259">
        <f>data!V60</f>
        <v>2.2200000000000002</v>
      </c>
      <c r="I74" s="259">
        <f>data!W60</f>
        <v>11.01</v>
      </c>
    </row>
    <row r="75" spans="1:9" ht="20.149999999999999" customHeight="1" x14ac:dyDescent="0.35">
      <c r="A75" s="244">
        <v>6</v>
      </c>
      <c r="B75" s="252" t="s">
        <v>263</v>
      </c>
      <c r="C75" s="252">
        <f>data!Q61</f>
        <v>3147619</v>
      </c>
      <c r="D75" s="252">
        <f>data!R61</f>
        <v>209146</v>
      </c>
      <c r="E75" s="252">
        <f>data!S61</f>
        <v>1140495</v>
      </c>
      <c r="F75" s="252">
        <f>data!T61</f>
        <v>1128783</v>
      </c>
      <c r="G75" s="252">
        <f>data!U61</f>
        <v>4901472</v>
      </c>
      <c r="H75" s="252">
        <f>data!V61</f>
        <v>100407</v>
      </c>
      <c r="I75" s="252">
        <f>data!W61</f>
        <v>1161983</v>
      </c>
    </row>
    <row r="76" spans="1:9" ht="20.149999999999999" customHeight="1" x14ac:dyDescent="0.35">
      <c r="A76" s="244">
        <v>7</v>
      </c>
      <c r="B76" s="252" t="s">
        <v>11</v>
      </c>
      <c r="C76" s="252">
        <f>data!Q62</f>
        <v>714849</v>
      </c>
      <c r="D76" s="252">
        <f>data!R62</f>
        <v>47499</v>
      </c>
      <c r="E76" s="252">
        <f>data!S62</f>
        <v>259015</v>
      </c>
      <c r="F76" s="252">
        <f>data!T62</f>
        <v>256355</v>
      </c>
      <c r="G76" s="252">
        <f>data!U62</f>
        <v>1113162</v>
      </c>
      <c r="H76" s="252">
        <f>data!V62</f>
        <v>22803</v>
      </c>
      <c r="I76" s="252">
        <f>data!W62</f>
        <v>263895</v>
      </c>
    </row>
    <row r="77" spans="1:9" ht="20.149999999999999" customHeight="1" x14ac:dyDescent="0.35">
      <c r="A77" s="244">
        <v>8</v>
      </c>
      <c r="B77" s="252" t="s">
        <v>264</v>
      </c>
      <c r="C77" s="252">
        <f>data!Q63</f>
        <v>2500000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132957</v>
      </c>
      <c r="H77" s="252">
        <f>data!V63</f>
        <v>0</v>
      </c>
      <c r="I77" s="252">
        <f>data!W63</f>
        <v>0</v>
      </c>
    </row>
    <row r="78" spans="1:9" ht="20.149999999999999" customHeight="1" x14ac:dyDescent="0.35">
      <c r="A78" s="244">
        <v>9</v>
      </c>
      <c r="B78" s="252" t="s">
        <v>265</v>
      </c>
      <c r="C78" s="252">
        <f>data!Q64</f>
        <v>2072</v>
      </c>
      <c r="D78" s="252">
        <f>data!R64</f>
        <v>-176</v>
      </c>
      <c r="E78" s="252">
        <f>data!S64</f>
        <v>821066</v>
      </c>
      <c r="F78" s="252">
        <f>data!T64</f>
        <v>4540346</v>
      </c>
      <c r="G78" s="252">
        <f>data!U64</f>
        <v>15437</v>
      </c>
      <c r="H78" s="252">
        <f>data!V64</f>
        <v>1738</v>
      </c>
      <c r="I78" s="252">
        <f>data!W64</f>
        <v>40484</v>
      </c>
    </row>
    <row r="79" spans="1:9" ht="20.149999999999999" customHeight="1" x14ac:dyDescent="0.35">
      <c r="A79" s="244">
        <v>10</v>
      </c>
      <c r="B79" s="252" t="s">
        <v>524</v>
      </c>
      <c r="C79" s="252">
        <f>data!Q65</f>
        <v>0</v>
      </c>
      <c r="D79" s="252">
        <f>data!R65</f>
        <v>0</v>
      </c>
      <c r="E79" s="252">
        <f>data!S65</f>
        <v>0</v>
      </c>
      <c r="F79" s="252">
        <f>data!T65</f>
        <v>0</v>
      </c>
      <c r="G79" s="252">
        <f>data!U65</f>
        <v>7448</v>
      </c>
      <c r="H79" s="252">
        <f>data!V65</f>
        <v>0</v>
      </c>
      <c r="I79" s="252">
        <f>data!W65</f>
        <v>0</v>
      </c>
    </row>
    <row r="80" spans="1:9" ht="20.149999999999999" customHeight="1" x14ac:dyDescent="0.35">
      <c r="A80" s="244">
        <v>11</v>
      </c>
      <c r="B80" s="252" t="s">
        <v>525</v>
      </c>
      <c r="C80" s="252">
        <f>data!Q66</f>
        <v>0</v>
      </c>
      <c r="D80" s="252">
        <f>data!R66</f>
        <v>0</v>
      </c>
      <c r="E80" s="252">
        <f>data!S66</f>
        <v>2048</v>
      </c>
      <c r="F80" s="252">
        <f>data!T66</f>
        <v>0</v>
      </c>
      <c r="G80" s="252">
        <f>data!U66</f>
        <v>1907490</v>
      </c>
      <c r="H80" s="252">
        <f>data!V66</f>
        <v>0</v>
      </c>
      <c r="I80" s="252">
        <f>data!W66</f>
        <v>448772</v>
      </c>
    </row>
    <row r="81" spans="1:9" ht="20.149999999999999" customHeight="1" x14ac:dyDescent="0.35">
      <c r="A81" s="244">
        <v>12</v>
      </c>
      <c r="B81" s="252" t="s">
        <v>16</v>
      </c>
      <c r="C81" s="252">
        <f>data!Q67</f>
        <v>64824</v>
      </c>
      <c r="D81" s="252">
        <f>data!R67</f>
        <v>12969</v>
      </c>
      <c r="E81" s="252">
        <f>data!S67</f>
        <v>711488</v>
      </c>
      <c r="F81" s="252">
        <f>data!T67</f>
        <v>6049</v>
      </c>
      <c r="G81" s="252">
        <f>data!U67</f>
        <v>244897</v>
      </c>
      <c r="H81" s="252">
        <f>data!V67</f>
        <v>4682</v>
      </c>
      <c r="I81" s="252">
        <f>data!W67</f>
        <v>47152</v>
      </c>
    </row>
    <row r="82" spans="1:9" ht="20.149999999999999" customHeight="1" x14ac:dyDescent="0.35">
      <c r="A82" s="244">
        <v>13</v>
      </c>
      <c r="B82" s="252" t="s">
        <v>1008</v>
      </c>
      <c r="C82" s="252">
        <f>data!Q68</f>
        <v>1391</v>
      </c>
      <c r="D82" s="252">
        <f>data!R68</f>
        <v>226</v>
      </c>
      <c r="E82" s="252">
        <f>data!S68</f>
        <v>80942</v>
      </c>
      <c r="F82" s="252">
        <f>data!T68</f>
        <v>368</v>
      </c>
      <c r="G82" s="252">
        <f>data!U68</f>
        <v>700771</v>
      </c>
      <c r="H82" s="252">
        <f>data!V68</f>
        <v>43</v>
      </c>
      <c r="I82" s="252">
        <f>data!W68</f>
        <v>436</v>
      </c>
    </row>
    <row r="83" spans="1:9" ht="20.149999999999999" customHeight="1" x14ac:dyDescent="0.35">
      <c r="A83" s="244">
        <v>14</v>
      </c>
      <c r="B83" s="252" t="s">
        <v>1009</v>
      </c>
      <c r="C83" s="252">
        <f>data!Q69</f>
        <v>72549</v>
      </c>
      <c r="D83" s="252">
        <f>data!R69</f>
        <v>208446</v>
      </c>
      <c r="E83" s="252">
        <f>data!S69</f>
        <v>129595</v>
      </c>
      <c r="F83" s="252">
        <f>data!T69</f>
        <v>14907</v>
      </c>
      <c r="G83" s="252">
        <f>data!U69</f>
        <v>3665062</v>
      </c>
      <c r="H83" s="252">
        <f>data!V69</f>
        <v>2438</v>
      </c>
      <c r="I83" s="252">
        <f>data!W69</f>
        <v>24896</v>
      </c>
    </row>
    <row r="84" spans="1:9" ht="20.149999999999999" customHeight="1" x14ac:dyDescent="0.35">
      <c r="A84" s="244">
        <v>15</v>
      </c>
      <c r="B84" s="252" t="s">
        <v>284</v>
      </c>
      <c r="C84" s="252">
        <f>data!Q84</f>
        <v>0</v>
      </c>
      <c r="D84" s="252">
        <f>data!R84</f>
        <v>0</v>
      </c>
      <c r="E84" s="252">
        <f>data!S84</f>
        <v>0</v>
      </c>
      <c r="F84" s="252">
        <f>data!T84</f>
        <v>0</v>
      </c>
      <c r="G84" s="252">
        <f>data!U84</f>
        <v>33322</v>
      </c>
      <c r="H84" s="252">
        <f>data!V84</f>
        <v>0</v>
      </c>
      <c r="I84" s="252">
        <f>data!W84</f>
        <v>0</v>
      </c>
    </row>
    <row r="85" spans="1:9" ht="20.149999999999999" customHeight="1" x14ac:dyDescent="0.35">
      <c r="A85" s="244">
        <v>16</v>
      </c>
      <c r="B85" s="260" t="s">
        <v>1010</v>
      </c>
      <c r="C85" s="252">
        <f>data!Q85</f>
        <v>6503304</v>
      </c>
      <c r="D85" s="252">
        <f>data!R85</f>
        <v>478110</v>
      </c>
      <c r="E85" s="252">
        <f>data!S85</f>
        <v>3144649</v>
      </c>
      <c r="F85" s="252">
        <f>data!T85</f>
        <v>5946808</v>
      </c>
      <c r="G85" s="252">
        <f>data!U85</f>
        <v>12655374</v>
      </c>
      <c r="H85" s="252">
        <f>data!V85</f>
        <v>132111</v>
      </c>
      <c r="I85" s="252">
        <f>data!W85</f>
        <v>1987618</v>
      </c>
    </row>
    <row r="86" spans="1:9" ht="20.149999999999999" customHeight="1" x14ac:dyDescent="0.35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49999999999999" customHeight="1" x14ac:dyDescent="0.35">
      <c r="A87" s="244">
        <v>18</v>
      </c>
      <c r="B87" s="252" t="s">
        <v>1011</v>
      </c>
      <c r="C87" s="260">
        <f>+data!M682</f>
        <v>396476</v>
      </c>
      <c r="D87" s="260">
        <f>+data!M683</f>
        <v>68278</v>
      </c>
      <c r="E87" s="260">
        <f>+data!M684</f>
        <v>-8896376</v>
      </c>
      <c r="F87" s="260">
        <f>+data!M685</f>
        <v>800022</v>
      </c>
      <c r="G87" s="260">
        <f>+data!M686</f>
        <v>1798509</v>
      </c>
      <c r="H87" s="260">
        <f>+data!M687</f>
        <v>218232</v>
      </c>
      <c r="I87" s="260">
        <f>+data!M688</f>
        <v>576047</v>
      </c>
    </row>
    <row r="88" spans="1:9" ht="20.149999999999999" customHeight="1" x14ac:dyDescent="0.35">
      <c r="A88" s="244">
        <v>19</v>
      </c>
      <c r="B88" s="260" t="s">
        <v>1012</v>
      </c>
      <c r="C88" s="252">
        <f>data!Q87</f>
        <v>2351547</v>
      </c>
      <c r="D88" s="252">
        <f>data!R87</f>
        <v>1503892</v>
      </c>
      <c r="E88" s="252">
        <f>data!S87</f>
        <v>-50</v>
      </c>
      <c r="F88" s="252">
        <f>data!T87</f>
        <v>1512289</v>
      </c>
      <c r="G88" s="252">
        <f>data!U87</f>
        <v>46352571</v>
      </c>
      <c r="H88" s="252">
        <f>data!V87</f>
        <v>3161469</v>
      </c>
      <c r="I88" s="252">
        <f>data!W87</f>
        <v>3027386</v>
      </c>
    </row>
    <row r="89" spans="1:9" ht="20.149999999999999" customHeight="1" x14ac:dyDescent="0.35">
      <c r="A89" s="244">
        <v>20</v>
      </c>
      <c r="B89" s="260" t="s">
        <v>1013</v>
      </c>
      <c r="C89" s="252">
        <f>data!Q88</f>
        <v>10226431</v>
      </c>
      <c r="D89" s="252">
        <f>data!R88</f>
        <v>5429197</v>
      </c>
      <c r="E89" s="252">
        <f>data!S88</f>
        <v>50</v>
      </c>
      <c r="F89" s="252">
        <f>data!T88</f>
        <v>642838</v>
      </c>
      <c r="G89" s="252">
        <f>data!U88</f>
        <v>86125119</v>
      </c>
      <c r="H89" s="252">
        <f>data!V88</f>
        <v>6152195</v>
      </c>
      <c r="I89" s="252">
        <f>data!W88</f>
        <v>33688829</v>
      </c>
    </row>
    <row r="90" spans="1:9" ht="20.149999999999999" customHeight="1" x14ac:dyDescent="0.35">
      <c r="A90" s="244">
        <v>21</v>
      </c>
      <c r="B90" s="260" t="s">
        <v>1014</v>
      </c>
      <c r="C90" s="252">
        <f>data!Q89</f>
        <v>12577978</v>
      </c>
      <c r="D90" s="252">
        <f>data!R89</f>
        <v>6933089</v>
      </c>
      <c r="E90" s="252">
        <f>data!S89</f>
        <v>0</v>
      </c>
      <c r="F90" s="252">
        <f>data!T89</f>
        <v>2155127</v>
      </c>
      <c r="G90" s="252">
        <f>data!U89</f>
        <v>132477690</v>
      </c>
      <c r="H90" s="252">
        <f>data!V89</f>
        <v>9313664</v>
      </c>
      <c r="I90" s="252">
        <f>data!W89</f>
        <v>36716215</v>
      </c>
    </row>
    <row r="91" spans="1:9" ht="20.149999999999999" customHeight="1" x14ac:dyDescent="0.35">
      <c r="A91" s="244" t="s">
        <v>1015</v>
      </c>
      <c r="B91" s="252"/>
      <c r="C91" s="262"/>
      <c r="D91" s="262"/>
      <c r="E91" s="262"/>
      <c r="F91" s="262"/>
      <c r="G91" s="262"/>
      <c r="H91" s="262"/>
      <c r="I91" s="262"/>
    </row>
    <row r="92" spans="1:9" ht="20.149999999999999" customHeight="1" x14ac:dyDescent="0.35">
      <c r="A92" s="244">
        <v>22</v>
      </c>
      <c r="B92" s="252" t="s">
        <v>1016</v>
      </c>
      <c r="C92" s="252">
        <f>data!Q90</f>
        <v>3129</v>
      </c>
      <c r="D92" s="252">
        <f>data!R90</f>
        <v>626</v>
      </c>
      <c r="E92" s="252">
        <f>data!S90</f>
        <v>34343</v>
      </c>
      <c r="F92" s="252">
        <f>data!T90</f>
        <v>292</v>
      </c>
      <c r="G92" s="252">
        <f>data!U90</f>
        <v>11821</v>
      </c>
      <c r="H92" s="252">
        <f>data!V90</f>
        <v>226</v>
      </c>
      <c r="I92" s="252">
        <f>data!W90</f>
        <v>2276</v>
      </c>
    </row>
    <row r="93" spans="1:9" ht="20.149999999999999" customHeight="1" x14ac:dyDescent="0.35">
      <c r="A93" s="244">
        <v>23</v>
      </c>
      <c r="B93" s="252" t="s">
        <v>1017</v>
      </c>
      <c r="C93" s="252">
        <f>data!Q91</f>
        <v>166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49999999999999" customHeight="1" x14ac:dyDescent="0.35">
      <c r="A94" s="244">
        <v>24</v>
      </c>
      <c r="B94" s="252" t="s">
        <v>1018</v>
      </c>
      <c r="C94" s="252">
        <f>data!Q92</f>
        <v>884</v>
      </c>
      <c r="D94" s="252">
        <f>data!R92</f>
        <v>91</v>
      </c>
      <c r="E94" s="252">
        <f>data!S92</f>
        <v>3042</v>
      </c>
      <c r="F94" s="252">
        <f>data!T92</f>
        <v>26</v>
      </c>
      <c r="G94" s="252">
        <f>data!U92</f>
        <v>1261</v>
      </c>
      <c r="H94" s="252">
        <f>data!V92</f>
        <v>637</v>
      </c>
      <c r="I94" s="252">
        <f>data!W92</f>
        <v>195</v>
      </c>
    </row>
    <row r="95" spans="1:9" ht="20.149999999999999" customHeight="1" x14ac:dyDescent="0.35">
      <c r="A95" s="244">
        <v>25</v>
      </c>
      <c r="B95" s="252" t="s">
        <v>1019</v>
      </c>
      <c r="C95" s="252">
        <f>data!Q93</f>
        <v>68150.7</v>
      </c>
      <c r="D95" s="252">
        <f>data!R93</f>
        <v>0</v>
      </c>
      <c r="E95" s="252">
        <f>data!S93</f>
        <v>18032.95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12048.5</v>
      </c>
    </row>
    <row r="96" spans="1:9" ht="20.149999999999999" customHeight="1" x14ac:dyDescent="0.35">
      <c r="A96" s="244">
        <v>26</v>
      </c>
      <c r="B96" s="252" t="s">
        <v>294</v>
      </c>
      <c r="C96" s="259">
        <f>data!Q94</f>
        <v>0</v>
      </c>
      <c r="D96" s="259">
        <f>data!R94</f>
        <v>0</v>
      </c>
      <c r="E96" s="259">
        <f>data!S94</f>
        <v>0</v>
      </c>
      <c r="F96" s="259">
        <f>data!T94</f>
        <v>0</v>
      </c>
      <c r="G96" s="259">
        <f>data!U94</f>
        <v>0</v>
      </c>
      <c r="H96" s="259">
        <f>data!V94</f>
        <v>0</v>
      </c>
      <c r="I96" s="259">
        <f>data!W94</f>
        <v>0</v>
      </c>
    </row>
    <row r="97" spans="1:9" ht="20.149999999999999" customHeight="1" x14ac:dyDescent="0.35">
      <c r="A97" s="245" t="s">
        <v>1001</v>
      </c>
      <c r="B97" s="246"/>
      <c r="C97" s="246"/>
      <c r="D97" s="246"/>
      <c r="E97" s="246"/>
      <c r="F97" s="246"/>
      <c r="G97" s="246"/>
      <c r="H97" s="246"/>
      <c r="I97" s="245"/>
    </row>
    <row r="98" spans="1:9" ht="20.149999999999999" customHeight="1" x14ac:dyDescent="0.35">
      <c r="D98" s="248"/>
      <c r="I98" s="249" t="s">
        <v>1028</v>
      </c>
    </row>
    <row r="99" spans="1:9" ht="20.149999999999999" customHeight="1" x14ac:dyDescent="0.35">
      <c r="A99" s="248"/>
    </row>
    <row r="100" spans="1:9" ht="20.149999999999999" customHeight="1" x14ac:dyDescent="0.35">
      <c r="A100" s="250" t="str">
        <f>"Hospital: "&amp;data!C98</f>
        <v xml:space="preserve">Hospital: YAKIMA VALLEY MEMORIAL </v>
      </c>
      <c r="G100" s="251"/>
      <c r="H100" s="250" t="str">
        <f>"FYE: "&amp;data!C96</f>
        <v>FYE: 12/31/2023</v>
      </c>
    </row>
    <row r="101" spans="1:9" ht="20.149999999999999" customHeight="1" x14ac:dyDescent="0.35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49999999999999" customHeight="1" x14ac:dyDescent="0.35">
      <c r="A102" s="255">
        <v>2</v>
      </c>
      <c r="B102" s="256" t="s">
        <v>1003</v>
      </c>
      <c r="C102" s="258" t="s">
        <v>1029</v>
      </c>
      <c r="D102" s="258" t="s">
        <v>1030</v>
      </c>
      <c r="E102" s="258" t="s">
        <v>1030</v>
      </c>
      <c r="F102" s="258" t="s">
        <v>141</v>
      </c>
      <c r="G102" s="258"/>
      <c r="H102" s="258" t="s">
        <v>143</v>
      </c>
      <c r="I102" s="258"/>
    </row>
    <row r="103" spans="1:9" ht="20.149999999999999" customHeight="1" x14ac:dyDescent="0.35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49999999999999" customHeight="1" x14ac:dyDescent="0.35">
      <c r="A104" s="244">
        <v>3</v>
      </c>
      <c r="B104" s="252" t="s">
        <v>1007</v>
      </c>
      <c r="C104" s="253" t="s">
        <v>251</v>
      </c>
      <c r="D104" s="254" t="s">
        <v>1031</v>
      </c>
      <c r="E104" s="254" t="s">
        <v>1031</v>
      </c>
      <c r="F104" s="254" t="s">
        <v>1031</v>
      </c>
      <c r="G104" s="264"/>
      <c r="H104" s="254" t="s">
        <v>253</v>
      </c>
      <c r="I104" s="254" t="s">
        <v>254</v>
      </c>
    </row>
    <row r="105" spans="1:9" ht="20.149999999999999" customHeight="1" x14ac:dyDescent="0.35">
      <c r="A105" s="244">
        <v>4</v>
      </c>
      <c r="B105" s="252" t="s">
        <v>261</v>
      </c>
      <c r="C105" s="252">
        <f>data!X59</f>
        <v>0</v>
      </c>
      <c r="D105" s="252">
        <f>data!Y59</f>
        <v>0</v>
      </c>
      <c r="E105" s="252">
        <f>data!Z59</f>
        <v>0</v>
      </c>
      <c r="F105" s="252">
        <f>data!AA59</f>
        <v>0</v>
      </c>
      <c r="G105" s="264"/>
      <c r="H105" s="252">
        <f>data!AC59</f>
        <v>0</v>
      </c>
      <c r="I105" s="252">
        <f>data!AD59</f>
        <v>0</v>
      </c>
    </row>
    <row r="106" spans="1:9" ht="20.149999999999999" customHeight="1" x14ac:dyDescent="0.35">
      <c r="A106" s="244">
        <v>5</v>
      </c>
      <c r="B106" s="252" t="s">
        <v>262</v>
      </c>
      <c r="C106" s="259">
        <f>data!X60</f>
        <v>15.89</v>
      </c>
      <c r="D106" s="259">
        <f>data!Y60</f>
        <v>73.739999999999995</v>
      </c>
      <c r="E106" s="259">
        <f>data!Z60</f>
        <v>11.84</v>
      </c>
      <c r="F106" s="259">
        <f>data!AA60</f>
        <v>5.24</v>
      </c>
      <c r="G106" s="259">
        <f>data!AB60</f>
        <v>62.23</v>
      </c>
      <c r="H106" s="259">
        <f>data!AC60</f>
        <v>18</v>
      </c>
      <c r="I106" s="259">
        <f>data!AD60</f>
        <v>0</v>
      </c>
    </row>
    <row r="107" spans="1:9" ht="20.149999999999999" customHeight="1" x14ac:dyDescent="0.35">
      <c r="A107" s="244">
        <v>6</v>
      </c>
      <c r="B107" s="252" t="s">
        <v>263</v>
      </c>
      <c r="C107" s="252">
        <f>data!X61</f>
        <v>1512784</v>
      </c>
      <c r="D107" s="252">
        <f>data!Y61</f>
        <v>6387948</v>
      </c>
      <c r="E107" s="252">
        <f>data!Z61</f>
        <v>1293806</v>
      </c>
      <c r="F107" s="252">
        <f>data!AA61</f>
        <v>511870</v>
      </c>
      <c r="G107" s="252">
        <f>data!AB61</f>
        <v>5727231</v>
      </c>
      <c r="H107" s="252">
        <f>data!AC61</f>
        <v>1837060</v>
      </c>
      <c r="I107" s="252">
        <f>data!AD61</f>
        <v>0</v>
      </c>
    </row>
    <row r="108" spans="1:9" ht="20.149999999999999" customHeight="1" x14ac:dyDescent="0.35">
      <c r="A108" s="244">
        <v>7</v>
      </c>
      <c r="B108" s="252" t="s">
        <v>11</v>
      </c>
      <c r="C108" s="252">
        <f>data!X62</f>
        <v>343565</v>
      </c>
      <c r="D108" s="252">
        <f>data!Y62</f>
        <v>1450753</v>
      </c>
      <c r="E108" s="252">
        <f>data!Z62</f>
        <v>293833</v>
      </c>
      <c r="F108" s="252">
        <f>data!AA62</f>
        <v>116250</v>
      </c>
      <c r="G108" s="252">
        <f>data!AB62</f>
        <v>1300699</v>
      </c>
      <c r="H108" s="252">
        <f>data!AC62</f>
        <v>417211</v>
      </c>
      <c r="I108" s="252">
        <f>data!AD62</f>
        <v>0</v>
      </c>
    </row>
    <row r="109" spans="1:9" ht="20.149999999999999" customHeight="1" x14ac:dyDescent="0.35">
      <c r="A109" s="244">
        <v>8</v>
      </c>
      <c r="B109" s="252" t="s">
        <v>264</v>
      </c>
      <c r="C109" s="252">
        <f>data!X63</f>
        <v>0</v>
      </c>
      <c r="D109" s="252">
        <f>data!Y63</f>
        <v>71592</v>
      </c>
      <c r="E109" s="252">
        <f>data!Z63</f>
        <v>0</v>
      </c>
      <c r="F109" s="252">
        <f>data!AA63</f>
        <v>0</v>
      </c>
      <c r="G109" s="252">
        <f>data!AB63</f>
        <v>0</v>
      </c>
      <c r="H109" s="252">
        <f>data!AC63</f>
        <v>0</v>
      </c>
      <c r="I109" s="252">
        <f>data!AD63</f>
        <v>0</v>
      </c>
    </row>
    <row r="110" spans="1:9" ht="20.149999999999999" customHeight="1" x14ac:dyDescent="0.35">
      <c r="A110" s="244">
        <v>9</v>
      </c>
      <c r="B110" s="252" t="s">
        <v>265</v>
      </c>
      <c r="C110" s="252">
        <f>data!X64</f>
        <v>377196</v>
      </c>
      <c r="D110" s="252">
        <f>data!Y64</f>
        <v>9512829</v>
      </c>
      <c r="E110" s="252">
        <f>data!Z64</f>
        <v>61289</v>
      </c>
      <c r="F110" s="252">
        <f>data!AA64</f>
        <v>566457</v>
      </c>
      <c r="G110" s="252">
        <f>data!AB64</f>
        <v>12284941</v>
      </c>
      <c r="H110" s="252">
        <f>data!AC64</f>
        <v>490870</v>
      </c>
      <c r="I110" s="252">
        <f>data!AD64</f>
        <v>0</v>
      </c>
    </row>
    <row r="111" spans="1:9" ht="20.149999999999999" customHeight="1" x14ac:dyDescent="0.35">
      <c r="A111" s="244">
        <v>10</v>
      </c>
      <c r="B111" s="252" t="s">
        <v>524</v>
      </c>
      <c r="C111" s="252">
        <f>data!X65</f>
        <v>0</v>
      </c>
      <c r="D111" s="252">
        <f>data!Y65</f>
        <v>157983</v>
      </c>
      <c r="E111" s="252">
        <f>data!Z65</f>
        <v>0</v>
      </c>
      <c r="F111" s="252">
        <f>data!AA65</f>
        <v>0</v>
      </c>
      <c r="G111" s="252">
        <f>data!AB65</f>
        <v>4378</v>
      </c>
      <c r="H111" s="252">
        <f>data!AC65</f>
        <v>0</v>
      </c>
      <c r="I111" s="252">
        <f>data!AD65</f>
        <v>0</v>
      </c>
    </row>
    <row r="112" spans="1:9" ht="20.149999999999999" customHeight="1" x14ac:dyDescent="0.35">
      <c r="A112" s="244">
        <v>11</v>
      </c>
      <c r="B112" s="252" t="s">
        <v>525</v>
      </c>
      <c r="C112" s="252">
        <f>data!X66</f>
        <v>236610</v>
      </c>
      <c r="D112" s="252">
        <f>data!Y66</f>
        <v>352194</v>
      </c>
      <c r="E112" s="252">
        <f>data!Z66</f>
        <v>1085406</v>
      </c>
      <c r="F112" s="252">
        <f>data!AA66</f>
        <v>59874</v>
      </c>
      <c r="G112" s="252">
        <f>data!AB66</f>
        <v>204638</v>
      </c>
      <c r="H112" s="252">
        <f>data!AC66</f>
        <v>518</v>
      </c>
      <c r="I112" s="252">
        <f>data!AD66</f>
        <v>1778074</v>
      </c>
    </row>
    <row r="113" spans="1:9" ht="20.149999999999999" customHeight="1" x14ac:dyDescent="0.35">
      <c r="A113" s="244">
        <v>12</v>
      </c>
      <c r="B113" s="252" t="s">
        <v>16</v>
      </c>
      <c r="C113" s="252">
        <f>data!X67</f>
        <v>49535</v>
      </c>
      <c r="D113" s="252">
        <f>data!Y67</f>
        <v>837925</v>
      </c>
      <c r="E113" s="252">
        <f>data!Z67</f>
        <v>263004</v>
      </c>
      <c r="F113" s="252">
        <f>data!AA67</f>
        <v>47401</v>
      </c>
      <c r="G113" s="252">
        <f>data!AB67</f>
        <v>213449</v>
      </c>
      <c r="H113" s="252">
        <f>data!AC67</f>
        <v>63726</v>
      </c>
      <c r="I113" s="252">
        <f>data!AD67</f>
        <v>5531</v>
      </c>
    </row>
    <row r="114" spans="1:9" ht="20.149999999999999" customHeight="1" x14ac:dyDescent="0.35">
      <c r="A114" s="244">
        <v>13</v>
      </c>
      <c r="B114" s="252" t="s">
        <v>1008</v>
      </c>
      <c r="C114" s="252">
        <f>data!X68</f>
        <v>972</v>
      </c>
      <c r="D114" s="252">
        <f>data!Y68</f>
        <v>147156</v>
      </c>
      <c r="E114" s="252">
        <f>data!Z68</f>
        <v>4296</v>
      </c>
      <c r="F114" s="252">
        <f>data!AA68</f>
        <v>939</v>
      </c>
      <c r="G114" s="252">
        <f>data!AB68</f>
        <v>80879</v>
      </c>
      <c r="H114" s="252">
        <f>data!AC68</f>
        <v>29066</v>
      </c>
      <c r="I114" s="252">
        <f>data!AD68</f>
        <v>0</v>
      </c>
    </row>
    <row r="115" spans="1:9" ht="20.149999999999999" customHeight="1" x14ac:dyDescent="0.35">
      <c r="A115" s="244">
        <v>14</v>
      </c>
      <c r="B115" s="252" t="s">
        <v>1009</v>
      </c>
      <c r="C115" s="252">
        <f>data!X69</f>
        <v>77212</v>
      </c>
      <c r="D115" s="252">
        <f>data!Y69</f>
        <v>865403</v>
      </c>
      <c r="E115" s="252">
        <f>data!Z69</f>
        <v>930228</v>
      </c>
      <c r="F115" s="252">
        <f>data!AA69</f>
        <v>20850</v>
      </c>
      <c r="G115" s="252">
        <f>data!AB69</f>
        <v>315128</v>
      </c>
      <c r="H115" s="252">
        <f>data!AC69</f>
        <v>385846</v>
      </c>
      <c r="I115" s="252">
        <f>data!AD69</f>
        <v>34</v>
      </c>
    </row>
    <row r="116" spans="1:9" ht="20.149999999999999" customHeight="1" x14ac:dyDescent="0.35">
      <c r="A116" s="244">
        <v>15</v>
      </c>
      <c r="B116" s="252" t="s">
        <v>284</v>
      </c>
      <c r="C116" s="252">
        <f>-data!X84</f>
        <v>0</v>
      </c>
      <c r="D116" s="252">
        <f>-data!Y84</f>
        <v>-2283</v>
      </c>
      <c r="E116" s="252">
        <f>-data!Z84</f>
        <v>-47</v>
      </c>
      <c r="F116" s="252">
        <f>-data!AA84</f>
        <v>0</v>
      </c>
      <c r="G116" s="252">
        <f>-data!AB84</f>
        <v>-236060</v>
      </c>
      <c r="H116" s="252">
        <f>-data!AC84</f>
        <v>0</v>
      </c>
      <c r="I116" s="252">
        <f>-data!AD84</f>
        <v>0</v>
      </c>
    </row>
    <row r="117" spans="1:9" ht="20.149999999999999" customHeight="1" x14ac:dyDescent="0.35">
      <c r="A117" s="244">
        <v>16</v>
      </c>
      <c r="B117" s="260" t="s">
        <v>1010</v>
      </c>
      <c r="C117" s="252">
        <f>data!X85</f>
        <v>2597874</v>
      </c>
      <c r="D117" s="252">
        <f>data!Y85</f>
        <v>19781500</v>
      </c>
      <c r="E117" s="252">
        <f>data!Z85</f>
        <v>3931815</v>
      </c>
      <c r="F117" s="252">
        <f>data!AA85</f>
        <v>1323641</v>
      </c>
      <c r="G117" s="252">
        <f>data!AB85</f>
        <v>19895283</v>
      </c>
      <c r="H117" s="252">
        <f>data!AC85</f>
        <v>3224297</v>
      </c>
      <c r="I117" s="252">
        <f>data!AD85</f>
        <v>1783639</v>
      </c>
    </row>
    <row r="118" spans="1:9" ht="20.149999999999999" customHeight="1" x14ac:dyDescent="0.35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49999999999999" customHeight="1" x14ac:dyDescent="0.35">
      <c r="A119" s="244">
        <v>18</v>
      </c>
      <c r="B119" s="252" t="s">
        <v>1011</v>
      </c>
      <c r="C119" s="260">
        <f>+data!M689</f>
        <v>2498856</v>
      </c>
      <c r="D119" s="260">
        <f>+data!M690</f>
        <v>-4521363</v>
      </c>
      <c r="E119" s="260">
        <f>+data!M691</f>
        <v>-2294543</v>
      </c>
      <c r="F119" s="260">
        <f>+data!M692</f>
        <v>-162939</v>
      </c>
      <c r="G119" s="260">
        <f>+data!M693</f>
        <v>1943435</v>
      </c>
      <c r="H119" s="260">
        <f>+data!M694</f>
        <v>178250</v>
      </c>
      <c r="I119" s="260">
        <f>+data!M695</f>
        <v>244130</v>
      </c>
    </row>
    <row r="120" spans="1:9" ht="20.149999999999999" customHeight="1" x14ac:dyDescent="0.35">
      <c r="A120" s="244">
        <v>19</v>
      </c>
      <c r="B120" s="260" t="s">
        <v>1012</v>
      </c>
      <c r="C120" s="252">
        <f>data!X87</f>
        <v>26523275</v>
      </c>
      <c r="D120" s="252">
        <f>data!Y87</f>
        <v>33590364</v>
      </c>
      <c r="E120" s="252">
        <f>data!Z87</f>
        <v>252021</v>
      </c>
      <c r="F120" s="252">
        <f>data!AA87</f>
        <v>197467</v>
      </c>
      <c r="G120" s="252">
        <f>data!AB87</f>
        <v>39228897</v>
      </c>
      <c r="H120" s="252">
        <f>data!AC87</f>
        <v>17905762</v>
      </c>
      <c r="I120" s="252">
        <f>data!AD87</f>
        <v>3645702</v>
      </c>
    </row>
    <row r="121" spans="1:9" ht="20.149999999999999" customHeight="1" x14ac:dyDescent="0.35">
      <c r="A121" s="244">
        <v>20</v>
      </c>
      <c r="B121" s="260" t="s">
        <v>1013</v>
      </c>
      <c r="C121" s="252">
        <f>data!X88</f>
        <v>83461265</v>
      </c>
      <c r="D121" s="252">
        <f>data!Y88</f>
        <v>106712674</v>
      </c>
      <c r="E121" s="252">
        <f>data!Z88</f>
        <v>24039612</v>
      </c>
      <c r="F121" s="252">
        <f>data!AA88</f>
        <v>8863252</v>
      </c>
      <c r="G121" s="252">
        <f>data!AB88</f>
        <v>39175624</v>
      </c>
      <c r="H121" s="252">
        <f>data!AC88</f>
        <v>5295575</v>
      </c>
      <c r="I121" s="252">
        <f>data!AD88</f>
        <v>165015</v>
      </c>
    </row>
    <row r="122" spans="1:9" ht="20.149999999999999" customHeight="1" x14ac:dyDescent="0.35">
      <c r="A122" s="244">
        <v>21</v>
      </c>
      <c r="B122" s="260" t="s">
        <v>1014</v>
      </c>
      <c r="C122" s="252">
        <f>data!X89</f>
        <v>109984540</v>
      </c>
      <c r="D122" s="252">
        <f>data!Y89</f>
        <v>140303038</v>
      </c>
      <c r="E122" s="252">
        <f>data!Z89</f>
        <v>24291633</v>
      </c>
      <c r="F122" s="252">
        <f>data!AA89</f>
        <v>9060719</v>
      </c>
      <c r="G122" s="252">
        <f>data!AB89</f>
        <v>78404521</v>
      </c>
      <c r="H122" s="252">
        <f>data!AC89</f>
        <v>23201337</v>
      </c>
      <c r="I122" s="252">
        <f>data!AD89</f>
        <v>3810717</v>
      </c>
    </row>
    <row r="123" spans="1:9" ht="20.149999999999999" customHeight="1" x14ac:dyDescent="0.35">
      <c r="A123" s="244" t="s">
        <v>1015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49999999999999" customHeight="1" x14ac:dyDescent="0.35">
      <c r="A124" s="244">
        <v>22</v>
      </c>
      <c r="B124" s="252" t="s">
        <v>1016</v>
      </c>
      <c r="C124" s="252">
        <f>data!X90</f>
        <v>2391</v>
      </c>
      <c r="D124" s="252">
        <f>data!Y90</f>
        <v>40446</v>
      </c>
      <c r="E124" s="252">
        <f>data!Z90</f>
        <v>12695</v>
      </c>
      <c r="F124" s="252">
        <f>data!AA90</f>
        <v>2288</v>
      </c>
      <c r="G124" s="252">
        <f>data!AB90</f>
        <v>10303</v>
      </c>
      <c r="H124" s="252">
        <f>data!AC90</f>
        <v>3076</v>
      </c>
      <c r="I124" s="252">
        <f>data!AD90</f>
        <v>267</v>
      </c>
    </row>
    <row r="125" spans="1:9" ht="20.149999999999999" customHeight="1" x14ac:dyDescent="0.35">
      <c r="A125" s="244">
        <v>23</v>
      </c>
      <c r="B125" s="252" t="s">
        <v>1017</v>
      </c>
      <c r="C125" s="252">
        <f>data!X91</f>
        <v>0</v>
      </c>
      <c r="D125" s="252">
        <f>data!Y91</f>
        <v>1125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49999999999999" customHeight="1" x14ac:dyDescent="0.35">
      <c r="A126" s="244">
        <v>24</v>
      </c>
      <c r="B126" s="252" t="s">
        <v>1018</v>
      </c>
      <c r="C126" s="252">
        <f>data!X92</f>
        <v>377</v>
      </c>
      <c r="D126" s="252">
        <f>data!Y92</f>
        <v>7631</v>
      </c>
      <c r="E126" s="252">
        <f>data!Z92</f>
        <v>2132</v>
      </c>
      <c r="F126" s="252">
        <f>data!AA92</f>
        <v>1326</v>
      </c>
      <c r="G126" s="252">
        <f>data!AB92</f>
        <v>1339</v>
      </c>
      <c r="H126" s="252">
        <f>data!AC92</f>
        <v>234</v>
      </c>
      <c r="I126" s="252">
        <f>data!AD92</f>
        <v>0</v>
      </c>
    </row>
    <row r="127" spans="1:9" ht="20.149999999999999" customHeight="1" x14ac:dyDescent="0.35">
      <c r="A127" s="244">
        <v>25</v>
      </c>
      <c r="B127" s="252" t="s">
        <v>1019</v>
      </c>
      <c r="C127" s="252">
        <f>data!X93</f>
        <v>33043.71</v>
      </c>
      <c r="D127" s="252">
        <f>data!Y93</f>
        <v>78481.490000000005</v>
      </c>
      <c r="E127" s="252">
        <f>data!Z93</f>
        <v>0</v>
      </c>
      <c r="F127" s="252">
        <f>data!AA93</f>
        <v>4436.7</v>
      </c>
      <c r="G127" s="252">
        <f>data!AB93</f>
        <v>1299.82</v>
      </c>
      <c r="H127" s="252">
        <f>data!AC93</f>
        <v>0</v>
      </c>
      <c r="I127" s="252">
        <f>data!AD93</f>
        <v>0</v>
      </c>
    </row>
    <row r="128" spans="1:9" ht="20.149999999999999" customHeight="1" x14ac:dyDescent="0.35">
      <c r="A128" s="244">
        <v>26</v>
      </c>
      <c r="B128" s="252" t="s">
        <v>294</v>
      </c>
      <c r="C128" s="259">
        <f>data!X94</f>
        <v>0</v>
      </c>
      <c r="D128" s="259">
        <f>data!Y94</f>
        <v>0</v>
      </c>
      <c r="E128" s="259">
        <f>data!Z94</f>
        <v>0</v>
      </c>
      <c r="F128" s="259">
        <f>data!AA94</f>
        <v>0</v>
      </c>
      <c r="G128" s="259">
        <f>data!AB94</f>
        <v>0</v>
      </c>
      <c r="H128" s="259">
        <f>data!AC94</f>
        <v>0</v>
      </c>
      <c r="I128" s="259">
        <f>data!AD94</f>
        <v>0</v>
      </c>
    </row>
    <row r="129" spans="1:14" ht="20.149999999999999" customHeight="1" x14ac:dyDescent="0.35">
      <c r="A129" s="245" t="s">
        <v>1001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49999999999999" customHeight="1" x14ac:dyDescent="0.35">
      <c r="D130" s="248"/>
      <c r="I130" s="249" t="s">
        <v>1032</v>
      </c>
    </row>
    <row r="131" spans="1:14" ht="20.149999999999999" customHeight="1" x14ac:dyDescent="0.35">
      <c r="A131" s="248"/>
    </row>
    <row r="132" spans="1:14" ht="20.149999999999999" customHeight="1" x14ac:dyDescent="0.35">
      <c r="A132" s="250" t="str">
        <f>"Hospital: "&amp;data!C98</f>
        <v xml:space="preserve">Hospital: YAKIMA VALLEY MEMORIAL </v>
      </c>
      <c r="G132" s="251"/>
      <c r="H132" s="250" t="str">
        <f>"FYE: "&amp;data!C96</f>
        <v>FYE: 12/31/2023</v>
      </c>
    </row>
    <row r="133" spans="1:14" ht="20.149999999999999" customHeight="1" x14ac:dyDescent="0.35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49999999999999" customHeight="1" x14ac:dyDescent="0.35">
      <c r="A134" s="255">
        <v>2</v>
      </c>
      <c r="B134" s="256" t="s">
        <v>1003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1033</v>
      </c>
      <c r="H134" s="258"/>
      <c r="I134" s="258" t="s">
        <v>149</v>
      </c>
    </row>
    <row r="135" spans="1:14" ht="20.149999999999999" customHeight="1" x14ac:dyDescent="0.35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49999999999999" customHeight="1" x14ac:dyDescent="0.35">
      <c r="A136" s="244">
        <v>3</v>
      </c>
      <c r="B136" s="252" t="s">
        <v>1007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1034</v>
      </c>
      <c r="H136" s="254" t="s">
        <v>255</v>
      </c>
      <c r="I136" s="254" t="s">
        <v>253</v>
      </c>
    </row>
    <row r="137" spans="1:14" ht="20.149999999999999" customHeight="1" x14ac:dyDescent="0.35">
      <c r="A137" s="244">
        <v>4</v>
      </c>
      <c r="B137" s="252" t="s">
        <v>261</v>
      </c>
      <c r="C137" s="252">
        <f>data!AE59</f>
        <v>0</v>
      </c>
      <c r="D137" s="252">
        <f>data!AF59</f>
        <v>0</v>
      </c>
      <c r="E137" s="252">
        <f>data!AG59</f>
        <v>0</v>
      </c>
      <c r="F137" s="252">
        <f>data!AH59</f>
        <v>0</v>
      </c>
      <c r="G137" s="252">
        <f>data!AI59</f>
        <v>0</v>
      </c>
      <c r="H137" s="252">
        <f>data!AJ59</f>
        <v>0</v>
      </c>
      <c r="I137" s="252">
        <f>data!AK59</f>
        <v>0</v>
      </c>
      <c r="K137" s="263"/>
      <c r="L137" s="265"/>
      <c r="M137" s="265"/>
      <c r="N137" s="265"/>
    </row>
    <row r="138" spans="1:14" ht="20.149999999999999" customHeight="1" x14ac:dyDescent="0.35">
      <c r="A138" s="244">
        <v>5</v>
      </c>
      <c r="B138" s="252" t="s">
        <v>262</v>
      </c>
      <c r="C138" s="259">
        <f>data!AE60</f>
        <v>25.96</v>
      </c>
      <c r="D138" s="259">
        <f>data!AF60</f>
        <v>0</v>
      </c>
      <c r="E138" s="259">
        <f>data!AG60</f>
        <v>104.36</v>
      </c>
      <c r="F138" s="259">
        <f>data!AH60</f>
        <v>0</v>
      </c>
      <c r="G138" s="259">
        <f>data!AI60</f>
        <v>0</v>
      </c>
      <c r="H138" s="259">
        <f>data!AJ60</f>
        <v>66.16</v>
      </c>
      <c r="I138" s="259">
        <f>data!AK60</f>
        <v>0</v>
      </c>
    </row>
    <row r="139" spans="1:14" ht="20.149999999999999" customHeight="1" x14ac:dyDescent="0.35">
      <c r="A139" s="244">
        <v>6</v>
      </c>
      <c r="B139" s="252" t="s">
        <v>263</v>
      </c>
      <c r="C139" s="252">
        <f>data!AE61</f>
        <v>2604864</v>
      </c>
      <c r="D139" s="252">
        <f>data!AF61</f>
        <v>0</v>
      </c>
      <c r="E139" s="252">
        <f>data!AG61</f>
        <v>9462201</v>
      </c>
      <c r="F139" s="252">
        <f>data!AH61</f>
        <v>0</v>
      </c>
      <c r="G139" s="252">
        <f>data!AI61</f>
        <v>0</v>
      </c>
      <c r="H139" s="252">
        <f>data!AJ61</f>
        <v>7033624</v>
      </c>
      <c r="I139" s="252">
        <f>data!AK61</f>
        <v>0</v>
      </c>
    </row>
    <row r="140" spans="1:14" ht="20.149999999999999" customHeight="1" x14ac:dyDescent="0.35">
      <c r="A140" s="244">
        <v>7</v>
      </c>
      <c r="B140" s="252" t="s">
        <v>11</v>
      </c>
      <c r="C140" s="252">
        <f>data!AE62</f>
        <v>591585</v>
      </c>
      <c r="D140" s="252">
        <f>data!AF62</f>
        <v>0</v>
      </c>
      <c r="E140" s="252">
        <f>data!AG62</f>
        <v>2148939</v>
      </c>
      <c r="F140" s="252">
        <f>data!AH62</f>
        <v>0</v>
      </c>
      <c r="G140" s="252">
        <f>data!AI62</f>
        <v>0</v>
      </c>
      <c r="H140" s="252">
        <f>data!AJ62</f>
        <v>1597391</v>
      </c>
      <c r="I140" s="252">
        <f>data!AK62</f>
        <v>0</v>
      </c>
    </row>
    <row r="141" spans="1:14" ht="20.149999999999999" customHeight="1" x14ac:dyDescent="0.35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13814828</v>
      </c>
      <c r="F141" s="252">
        <f>data!AH63</f>
        <v>0</v>
      </c>
      <c r="G141" s="252">
        <f>data!AI63</f>
        <v>0</v>
      </c>
      <c r="H141" s="252">
        <f>data!AJ63</f>
        <v>1982452</v>
      </c>
      <c r="I141" s="252">
        <f>data!AK63</f>
        <v>0</v>
      </c>
    </row>
    <row r="142" spans="1:14" ht="20.149999999999999" customHeight="1" x14ac:dyDescent="0.35">
      <c r="A142" s="244">
        <v>9</v>
      </c>
      <c r="B142" s="252" t="s">
        <v>265</v>
      </c>
      <c r="C142" s="252">
        <f>data!AE64</f>
        <v>15855</v>
      </c>
      <c r="D142" s="252">
        <f>data!AF64</f>
        <v>0</v>
      </c>
      <c r="E142" s="252">
        <f>data!AG64</f>
        <v>1800184</v>
      </c>
      <c r="F142" s="252">
        <f>data!AH64</f>
        <v>0</v>
      </c>
      <c r="G142" s="252">
        <f>data!AI64</f>
        <v>0</v>
      </c>
      <c r="H142" s="252">
        <f>data!AJ64</f>
        <v>27702734</v>
      </c>
      <c r="I142" s="252">
        <f>data!AK64</f>
        <v>0</v>
      </c>
    </row>
    <row r="143" spans="1:14" ht="20.149999999999999" customHeight="1" x14ac:dyDescent="0.35">
      <c r="A143" s="244">
        <v>10</v>
      </c>
      <c r="B143" s="252" t="s">
        <v>524</v>
      </c>
      <c r="C143" s="252">
        <f>data!AE65</f>
        <v>10470</v>
      </c>
      <c r="D143" s="252">
        <f>data!AF65</f>
        <v>0</v>
      </c>
      <c r="E143" s="252">
        <f>data!AG65</f>
        <v>0</v>
      </c>
      <c r="F143" s="252">
        <f>data!AH65</f>
        <v>0</v>
      </c>
      <c r="G143" s="252">
        <f>data!AI65</f>
        <v>0</v>
      </c>
      <c r="H143" s="252">
        <f>data!AJ65</f>
        <v>163914</v>
      </c>
      <c r="I143" s="252">
        <f>data!AK65</f>
        <v>0</v>
      </c>
    </row>
    <row r="144" spans="1:14" ht="20.149999999999999" customHeight="1" x14ac:dyDescent="0.35">
      <c r="A144" s="244">
        <v>11</v>
      </c>
      <c r="B144" s="252" t="s">
        <v>525</v>
      </c>
      <c r="C144" s="252">
        <f>data!AE66</f>
        <v>16</v>
      </c>
      <c r="D144" s="252">
        <f>data!AF66</f>
        <v>0</v>
      </c>
      <c r="E144" s="252">
        <f>data!AG66</f>
        <v>1327618</v>
      </c>
      <c r="F144" s="252">
        <f>data!AH66</f>
        <v>0</v>
      </c>
      <c r="G144" s="252">
        <f>data!AI66</f>
        <v>0</v>
      </c>
      <c r="H144" s="252">
        <f>data!AJ66</f>
        <v>81067</v>
      </c>
      <c r="I144" s="252">
        <f>data!AK66</f>
        <v>0</v>
      </c>
    </row>
    <row r="145" spans="1:9" ht="20.149999999999999" customHeight="1" x14ac:dyDescent="0.35">
      <c r="A145" s="244">
        <v>12</v>
      </c>
      <c r="B145" s="252" t="s">
        <v>16</v>
      </c>
      <c r="C145" s="252">
        <f>data!AE67</f>
        <v>228531</v>
      </c>
      <c r="D145" s="252">
        <f>data!AF67</f>
        <v>0</v>
      </c>
      <c r="E145" s="252">
        <f>data!AG67</f>
        <v>427684</v>
      </c>
      <c r="F145" s="252">
        <f>data!AH67</f>
        <v>0</v>
      </c>
      <c r="G145" s="252">
        <f>data!AI67</f>
        <v>0</v>
      </c>
      <c r="H145" s="252">
        <f>data!AJ67</f>
        <v>351818</v>
      </c>
      <c r="I145" s="252">
        <f>data!AK67</f>
        <v>0</v>
      </c>
    </row>
    <row r="146" spans="1:9" ht="20.149999999999999" customHeight="1" x14ac:dyDescent="0.35">
      <c r="A146" s="244">
        <v>13</v>
      </c>
      <c r="B146" s="252" t="s">
        <v>1008</v>
      </c>
      <c r="C146" s="252">
        <f>data!AE68</f>
        <v>163282</v>
      </c>
      <c r="D146" s="252">
        <f>data!AF68</f>
        <v>0</v>
      </c>
      <c r="E146" s="252">
        <f>data!AG68</f>
        <v>6012</v>
      </c>
      <c r="F146" s="252">
        <f>data!AH68</f>
        <v>0</v>
      </c>
      <c r="G146" s="252">
        <f>data!AI68</f>
        <v>0</v>
      </c>
      <c r="H146" s="252">
        <f>data!AJ68</f>
        <v>92321</v>
      </c>
      <c r="I146" s="252">
        <f>data!AK68</f>
        <v>0</v>
      </c>
    </row>
    <row r="147" spans="1:9" ht="20.149999999999999" customHeight="1" x14ac:dyDescent="0.35">
      <c r="A147" s="244">
        <v>14</v>
      </c>
      <c r="B147" s="252" t="s">
        <v>1009</v>
      </c>
      <c r="C147" s="252">
        <f>data!AE69</f>
        <v>45910</v>
      </c>
      <c r="D147" s="252">
        <f>data!AF69</f>
        <v>0</v>
      </c>
      <c r="E147" s="252">
        <f>data!AG69</f>
        <v>1981621</v>
      </c>
      <c r="F147" s="252">
        <f>data!AH69</f>
        <v>0</v>
      </c>
      <c r="G147" s="252">
        <f>data!AI69</f>
        <v>0</v>
      </c>
      <c r="H147" s="252">
        <f>data!AJ69</f>
        <v>1018631</v>
      </c>
      <c r="I147" s="252">
        <f>data!AK69</f>
        <v>0</v>
      </c>
    </row>
    <row r="148" spans="1:9" ht="20.149999999999999" customHeight="1" x14ac:dyDescent="0.35">
      <c r="A148" s="244">
        <v>15</v>
      </c>
      <c r="B148" s="252" t="s">
        <v>284</v>
      </c>
      <c r="C148" s="252">
        <f>-data!AE84</f>
        <v>-162298</v>
      </c>
      <c r="D148" s="252">
        <f>-data!AF84</f>
        <v>0</v>
      </c>
      <c r="E148" s="252">
        <f>-data!AG84</f>
        <v>-72903</v>
      </c>
      <c r="F148" s="252">
        <f>-data!AH84</f>
        <v>0</v>
      </c>
      <c r="G148" s="252">
        <f>-data!AI84</f>
        <v>0</v>
      </c>
      <c r="H148" s="252">
        <f>-data!AJ84</f>
        <v>-605942</v>
      </c>
      <c r="I148" s="252">
        <f>-data!AK84</f>
        <v>0</v>
      </c>
    </row>
    <row r="149" spans="1:9" ht="20.149999999999999" customHeight="1" x14ac:dyDescent="0.35">
      <c r="A149" s="244">
        <v>16</v>
      </c>
      <c r="B149" s="260" t="s">
        <v>1010</v>
      </c>
      <c r="C149" s="252">
        <f>data!AE85</f>
        <v>3498215</v>
      </c>
      <c r="D149" s="252">
        <f>data!AF85</f>
        <v>0</v>
      </c>
      <c r="E149" s="252">
        <f>data!AG85</f>
        <v>30896184</v>
      </c>
      <c r="F149" s="252">
        <f>data!AH85</f>
        <v>0</v>
      </c>
      <c r="G149" s="252">
        <f>data!AI85</f>
        <v>0</v>
      </c>
      <c r="H149" s="252">
        <f>data!AJ85</f>
        <v>39418010</v>
      </c>
      <c r="I149" s="252">
        <f>data!AK85</f>
        <v>0</v>
      </c>
    </row>
    <row r="150" spans="1:9" ht="20.149999999999999" customHeight="1" x14ac:dyDescent="0.35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49999999999999" customHeight="1" x14ac:dyDescent="0.35">
      <c r="A151" s="244">
        <v>18</v>
      </c>
      <c r="B151" s="252" t="s">
        <v>1011</v>
      </c>
      <c r="C151" s="260">
        <f>+data!M696</f>
        <v>-2311245</v>
      </c>
      <c r="D151" s="260">
        <f>+data!M697</f>
        <v>0</v>
      </c>
      <c r="E151" s="260">
        <f>+data!M698</f>
        <v>5028967</v>
      </c>
      <c r="F151" s="260">
        <f>+data!M699</f>
        <v>0</v>
      </c>
      <c r="G151" s="260">
        <f>+data!M700</f>
        <v>0</v>
      </c>
      <c r="H151" s="260">
        <f>+data!M701</f>
        <v>5805161</v>
      </c>
      <c r="I151" s="260">
        <f>+data!M702</f>
        <v>0</v>
      </c>
    </row>
    <row r="152" spans="1:9" ht="20.149999999999999" customHeight="1" x14ac:dyDescent="0.35">
      <c r="A152" s="244">
        <v>19</v>
      </c>
      <c r="B152" s="260" t="s">
        <v>1012</v>
      </c>
      <c r="C152" s="252">
        <f>data!AE87</f>
        <v>4067405</v>
      </c>
      <c r="D152" s="252">
        <f>data!AF87</f>
        <v>0</v>
      </c>
      <c r="E152" s="252">
        <f>data!AG87</f>
        <v>44122370</v>
      </c>
      <c r="F152" s="252">
        <f>data!AH87</f>
        <v>0</v>
      </c>
      <c r="G152" s="252">
        <f>data!AI87</f>
        <v>0</v>
      </c>
      <c r="H152" s="252">
        <f>data!AJ87</f>
        <v>1040150</v>
      </c>
      <c r="I152" s="252">
        <f>data!AK87</f>
        <v>0</v>
      </c>
    </row>
    <row r="153" spans="1:9" ht="20.149999999999999" customHeight="1" x14ac:dyDescent="0.35">
      <c r="A153" s="244">
        <v>20</v>
      </c>
      <c r="B153" s="260" t="s">
        <v>1013</v>
      </c>
      <c r="C153" s="252">
        <f>data!AE88</f>
        <v>2942134</v>
      </c>
      <c r="D153" s="252">
        <f>data!AF88</f>
        <v>0</v>
      </c>
      <c r="E153" s="252">
        <f>data!AG88</f>
        <v>177788901</v>
      </c>
      <c r="F153" s="252">
        <f>data!AH88</f>
        <v>0</v>
      </c>
      <c r="G153" s="252">
        <f>data!AI88</f>
        <v>0</v>
      </c>
      <c r="H153" s="252">
        <f>data!AJ88</f>
        <v>190216286</v>
      </c>
      <c r="I153" s="252">
        <f>data!AK88</f>
        <v>0</v>
      </c>
    </row>
    <row r="154" spans="1:9" ht="20.149999999999999" customHeight="1" x14ac:dyDescent="0.35">
      <c r="A154" s="244">
        <v>21</v>
      </c>
      <c r="B154" s="260" t="s">
        <v>1014</v>
      </c>
      <c r="C154" s="252">
        <f>data!AE89</f>
        <v>7009539</v>
      </c>
      <c r="D154" s="252">
        <f>data!AF89</f>
        <v>0</v>
      </c>
      <c r="E154" s="252">
        <f>data!AG89</f>
        <v>221911271</v>
      </c>
      <c r="F154" s="252">
        <f>data!AH89</f>
        <v>0</v>
      </c>
      <c r="G154" s="252">
        <f>data!AI89</f>
        <v>0</v>
      </c>
      <c r="H154" s="252">
        <f>data!AJ89</f>
        <v>191256436</v>
      </c>
      <c r="I154" s="252">
        <f>data!AK89</f>
        <v>0</v>
      </c>
    </row>
    <row r="155" spans="1:9" ht="20.149999999999999" customHeight="1" x14ac:dyDescent="0.35">
      <c r="A155" s="244" t="s">
        <v>1015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49999999999999" customHeight="1" x14ac:dyDescent="0.35">
      <c r="A156" s="244">
        <v>22</v>
      </c>
      <c r="B156" s="252" t="s">
        <v>1016</v>
      </c>
      <c r="C156" s="252">
        <f>data!AE90</f>
        <v>11031</v>
      </c>
      <c r="D156" s="252">
        <f>data!AF90</f>
        <v>0</v>
      </c>
      <c r="E156" s="252">
        <f>data!AG90</f>
        <v>20644</v>
      </c>
      <c r="F156" s="252">
        <f>data!AH90</f>
        <v>0</v>
      </c>
      <c r="G156" s="252">
        <f>data!AI90</f>
        <v>0</v>
      </c>
      <c r="H156" s="252">
        <f>data!AJ90</f>
        <v>16982</v>
      </c>
      <c r="I156" s="252">
        <f>data!AK90</f>
        <v>0</v>
      </c>
    </row>
    <row r="157" spans="1:9" ht="20.149999999999999" customHeight="1" x14ac:dyDescent="0.35">
      <c r="A157" s="244">
        <v>23</v>
      </c>
      <c r="B157" s="252" t="s">
        <v>1017</v>
      </c>
      <c r="C157" s="252">
        <f>data!AE91</f>
        <v>0</v>
      </c>
      <c r="D157" s="252">
        <f>data!AF91</f>
        <v>0</v>
      </c>
      <c r="E157" s="252">
        <f>data!AG91</f>
        <v>9367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49999999999999" customHeight="1" x14ac:dyDescent="0.35">
      <c r="A158" s="244">
        <v>24</v>
      </c>
      <c r="B158" s="252" t="s">
        <v>1018</v>
      </c>
      <c r="C158" s="252">
        <f>data!AE92</f>
        <v>2002</v>
      </c>
      <c r="D158" s="252">
        <f>data!AF92</f>
        <v>0</v>
      </c>
      <c r="E158" s="252">
        <f>data!AG92</f>
        <v>17940</v>
      </c>
      <c r="F158" s="252">
        <f>data!AH92</f>
        <v>0</v>
      </c>
      <c r="G158" s="252">
        <f>data!AI92</f>
        <v>0</v>
      </c>
      <c r="H158" s="252">
        <f>data!AJ92</f>
        <v>5746</v>
      </c>
      <c r="I158" s="252">
        <f>data!AK92</f>
        <v>0</v>
      </c>
    </row>
    <row r="159" spans="1:9" ht="20.149999999999999" customHeight="1" x14ac:dyDescent="0.35">
      <c r="A159" s="244">
        <v>25</v>
      </c>
      <c r="B159" s="252" t="s">
        <v>1019</v>
      </c>
      <c r="C159" s="252">
        <f>data!AE93</f>
        <v>0</v>
      </c>
      <c r="D159" s="252">
        <f>data!AF93</f>
        <v>0</v>
      </c>
      <c r="E159" s="252">
        <f>data!AG93</f>
        <v>370247.37</v>
      </c>
      <c r="F159" s="252">
        <f>data!AH93</f>
        <v>0</v>
      </c>
      <c r="G159" s="252">
        <f>data!AI93</f>
        <v>0</v>
      </c>
      <c r="H159" s="252">
        <f>data!AJ93</f>
        <v>0</v>
      </c>
      <c r="I159" s="252">
        <f>data!AK93</f>
        <v>0</v>
      </c>
    </row>
    <row r="160" spans="1:9" ht="20.149999999999999" customHeight="1" x14ac:dyDescent="0.35">
      <c r="A160" s="244">
        <v>26</v>
      </c>
      <c r="B160" s="252" t="s">
        <v>294</v>
      </c>
      <c r="C160" s="259">
        <f>data!AE94</f>
        <v>0</v>
      </c>
      <c r="D160" s="259">
        <f>data!AF94</f>
        <v>0</v>
      </c>
      <c r="E160" s="259">
        <f>data!AG94</f>
        <v>0</v>
      </c>
      <c r="F160" s="259">
        <f>data!AH94</f>
        <v>0</v>
      </c>
      <c r="G160" s="259">
        <f>data!AI94</f>
        <v>0</v>
      </c>
      <c r="H160" s="259">
        <f>data!AJ94</f>
        <v>0</v>
      </c>
      <c r="I160" s="259">
        <f>data!AK94</f>
        <v>0</v>
      </c>
    </row>
    <row r="161" spans="1:9" ht="20.149999999999999" customHeight="1" x14ac:dyDescent="0.35">
      <c r="A161" s="245" t="s">
        <v>1001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49999999999999" customHeight="1" x14ac:dyDescent="0.35">
      <c r="D162" s="248"/>
      <c r="I162" s="249" t="s">
        <v>1035</v>
      </c>
    </row>
    <row r="163" spans="1:9" ht="20.149999999999999" customHeight="1" x14ac:dyDescent="0.35">
      <c r="A163" s="248"/>
    </row>
    <row r="164" spans="1:9" ht="20.149999999999999" customHeight="1" x14ac:dyDescent="0.35">
      <c r="A164" s="250" t="str">
        <f>"Hospital: "&amp;data!C98</f>
        <v xml:space="preserve">Hospital: YAKIMA VALLEY MEMORIAL </v>
      </c>
      <c r="G164" s="251"/>
      <c r="H164" s="250" t="str">
        <f>"FYE: "&amp;data!C96</f>
        <v>FYE: 12/31/2023</v>
      </c>
    </row>
    <row r="165" spans="1:9" ht="20.149999999999999" customHeight="1" x14ac:dyDescent="0.35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49999999999999" customHeight="1" x14ac:dyDescent="0.35">
      <c r="A166" s="255">
        <v>2</v>
      </c>
      <c r="B166" s="256" t="s">
        <v>1003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1036</v>
      </c>
      <c r="H166" s="258" t="s">
        <v>154</v>
      </c>
      <c r="I166" s="258" t="s">
        <v>155</v>
      </c>
    </row>
    <row r="167" spans="1:9" ht="20.149999999999999" customHeight="1" x14ac:dyDescent="0.35">
      <c r="A167" s="255"/>
      <c r="B167" s="256"/>
      <c r="C167" s="258" t="s">
        <v>199</v>
      </c>
      <c r="D167" s="258" t="s">
        <v>199</v>
      </c>
      <c r="E167" s="258" t="s">
        <v>1037</v>
      </c>
      <c r="F167" s="258" t="s">
        <v>209</v>
      </c>
      <c r="G167" s="258" t="s">
        <v>148</v>
      </c>
      <c r="H167" s="257" t="s">
        <v>1038</v>
      </c>
      <c r="I167" s="258" t="s">
        <v>196</v>
      </c>
    </row>
    <row r="168" spans="1:9" ht="20.149999999999999" customHeight="1" x14ac:dyDescent="0.35">
      <c r="A168" s="244">
        <v>3</v>
      </c>
      <c r="B168" s="252" t="s">
        <v>1007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49999999999999" customHeight="1" x14ac:dyDescent="0.35">
      <c r="A169" s="244">
        <v>4</v>
      </c>
      <c r="B169" s="252" t="s">
        <v>261</v>
      </c>
      <c r="C169" s="252">
        <f>data!AL59</f>
        <v>0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spans="1:9" ht="20.149999999999999" customHeight="1" x14ac:dyDescent="0.35">
      <c r="A170" s="244">
        <v>5</v>
      </c>
      <c r="B170" s="252" t="s">
        <v>262</v>
      </c>
      <c r="C170" s="259">
        <f>data!AL60</f>
        <v>0</v>
      </c>
      <c r="D170" s="259">
        <f>data!AM60</f>
        <v>0</v>
      </c>
      <c r="E170" s="259">
        <f>data!AN60</f>
        <v>0</v>
      </c>
      <c r="F170" s="259">
        <f>data!AO60</f>
        <v>0</v>
      </c>
      <c r="G170" s="259">
        <f>data!AP60</f>
        <v>390.48</v>
      </c>
      <c r="H170" s="259">
        <f>data!AQ60</f>
        <v>0</v>
      </c>
      <c r="I170" s="259">
        <f>data!AR60</f>
        <v>78.63</v>
      </c>
    </row>
    <row r="171" spans="1:9" ht="20.149999999999999" customHeight="1" x14ac:dyDescent="0.35">
      <c r="A171" s="244">
        <v>6</v>
      </c>
      <c r="B171" s="252" t="s">
        <v>263</v>
      </c>
      <c r="C171" s="252">
        <f>data!AL61</f>
        <v>0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66154619</v>
      </c>
      <c r="H171" s="252">
        <f>data!AQ61</f>
        <v>0</v>
      </c>
      <c r="I171" s="252">
        <f>data!AR61</f>
        <v>7700505</v>
      </c>
    </row>
    <row r="172" spans="1:9" ht="20.149999999999999" customHeight="1" x14ac:dyDescent="0.35">
      <c r="A172" s="244">
        <v>7</v>
      </c>
      <c r="B172" s="252" t="s">
        <v>11</v>
      </c>
      <c r="C172" s="252">
        <f>data!AL62</f>
        <v>0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15024227</v>
      </c>
      <c r="H172" s="252">
        <f>data!AQ62</f>
        <v>0</v>
      </c>
      <c r="I172" s="252">
        <f>data!AR62</f>
        <v>1748844</v>
      </c>
    </row>
    <row r="173" spans="1:9" ht="20.149999999999999" customHeight="1" x14ac:dyDescent="0.35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12974092</v>
      </c>
      <c r="H173" s="252">
        <f>data!AQ63</f>
        <v>0</v>
      </c>
      <c r="I173" s="252">
        <f>data!AR63</f>
        <v>0</v>
      </c>
    </row>
    <row r="174" spans="1:9" ht="20.149999999999999" customHeight="1" x14ac:dyDescent="0.35">
      <c r="A174" s="244">
        <v>9</v>
      </c>
      <c r="B174" s="252" t="s">
        <v>265</v>
      </c>
      <c r="C174" s="252">
        <f>data!AL64</f>
        <v>0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3331411</v>
      </c>
      <c r="H174" s="252">
        <f>data!AQ64</f>
        <v>0</v>
      </c>
      <c r="I174" s="252">
        <f>data!AR64</f>
        <v>1334473</v>
      </c>
    </row>
    <row r="175" spans="1:9" ht="20.149999999999999" customHeight="1" x14ac:dyDescent="0.35">
      <c r="A175" s="244">
        <v>10</v>
      </c>
      <c r="B175" s="252" t="s">
        <v>524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351793</v>
      </c>
      <c r="H175" s="252">
        <f>data!AQ65</f>
        <v>0</v>
      </c>
      <c r="I175" s="252">
        <f>data!AR65</f>
        <v>84387</v>
      </c>
    </row>
    <row r="176" spans="1:9" ht="20.149999999999999" customHeight="1" x14ac:dyDescent="0.35">
      <c r="A176" s="244">
        <v>11</v>
      </c>
      <c r="B176" s="252" t="s">
        <v>525</v>
      </c>
      <c r="C176" s="252">
        <f>data!AL66</f>
        <v>0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3838098</v>
      </c>
      <c r="H176" s="252">
        <f>data!AQ66</f>
        <v>0</v>
      </c>
      <c r="I176" s="252">
        <f>data!AR66</f>
        <v>1019592</v>
      </c>
    </row>
    <row r="177" spans="1:9" ht="20.149999999999999" customHeight="1" x14ac:dyDescent="0.35">
      <c r="A177" s="244">
        <v>12</v>
      </c>
      <c r="B177" s="252" t="s">
        <v>16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3583028</v>
      </c>
      <c r="H177" s="252">
        <f>data!AQ67</f>
        <v>0</v>
      </c>
      <c r="I177" s="252">
        <f>data!AR67</f>
        <v>541235</v>
      </c>
    </row>
    <row r="178" spans="1:9" ht="20.149999999999999" customHeight="1" x14ac:dyDescent="0.35">
      <c r="A178" s="244">
        <v>13</v>
      </c>
      <c r="B178" s="252" t="s">
        <v>1008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5159669</v>
      </c>
      <c r="H178" s="252">
        <f>data!AQ68</f>
        <v>0</v>
      </c>
      <c r="I178" s="252">
        <f>data!AR68</f>
        <v>187638</v>
      </c>
    </row>
    <row r="179" spans="1:9" ht="20.149999999999999" customHeight="1" x14ac:dyDescent="0.35">
      <c r="A179" s="244">
        <v>14</v>
      </c>
      <c r="B179" s="252" t="s">
        <v>1009</v>
      </c>
      <c r="C179" s="252">
        <f>data!AL69</f>
        <v>0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4806128</v>
      </c>
      <c r="H179" s="252">
        <f>data!AQ69</f>
        <v>0</v>
      </c>
      <c r="I179" s="252">
        <f>data!AR69</f>
        <v>511951</v>
      </c>
    </row>
    <row r="180" spans="1:9" ht="20.149999999999999" customHeight="1" x14ac:dyDescent="0.35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49999999999999" customHeight="1" x14ac:dyDescent="0.35">
      <c r="A181" s="244">
        <v>16</v>
      </c>
      <c r="B181" s="260" t="s">
        <v>1010</v>
      </c>
      <c r="C181" s="252">
        <f>data!AL85</f>
        <v>0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114996969</v>
      </c>
      <c r="H181" s="252">
        <f>data!AQ85</f>
        <v>0</v>
      </c>
      <c r="I181" s="252">
        <f>data!AR85</f>
        <v>13002919</v>
      </c>
    </row>
    <row r="182" spans="1:9" ht="20.149999999999999" customHeight="1" x14ac:dyDescent="0.35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49999999999999" customHeight="1" x14ac:dyDescent="0.35">
      <c r="A183" s="244">
        <v>18</v>
      </c>
      <c r="B183" s="252" t="s">
        <v>1011</v>
      </c>
      <c r="C183" s="260">
        <f>+data!M703</f>
        <v>0</v>
      </c>
      <c r="D183" s="260">
        <f>+data!M704</f>
        <v>0</v>
      </c>
      <c r="E183" s="260">
        <f>+data!M705</f>
        <v>0</v>
      </c>
      <c r="F183" s="260">
        <f>+data!M706</f>
        <v>0</v>
      </c>
      <c r="G183" s="260">
        <f>+data!M707</f>
        <v>-25414599</v>
      </c>
      <c r="H183" s="260">
        <f>+data!M708</f>
        <v>0</v>
      </c>
      <c r="I183" s="260">
        <f>+data!M709</f>
        <v>-4525484</v>
      </c>
    </row>
    <row r="184" spans="1:9" ht="20.149999999999999" customHeight="1" x14ac:dyDescent="0.35">
      <c r="A184" s="244">
        <v>19</v>
      </c>
      <c r="B184" s="260" t="s">
        <v>1012</v>
      </c>
      <c r="C184" s="252">
        <f>data!AL87</f>
        <v>0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17390819</v>
      </c>
      <c r="H184" s="252">
        <f>data!AQ87</f>
        <v>0</v>
      </c>
      <c r="I184" s="252">
        <f>data!AR87</f>
        <v>0</v>
      </c>
    </row>
    <row r="185" spans="1:9" ht="20.149999999999999" customHeight="1" x14ac:dyDescent="0.35">
      <c r="A185" s="244">
        <v>20</v>
      </c>
      <c r="B185" s="260" t="s">
        <v>1013</v>
      </c>
      <c r="C185" s="252">
        <f>data!AL88</f>
        <v>0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262834691</v>
      </c>
      <c r="H185" s="252">
        <f>data!AQ88</f>
        <v>0</v>
      </c>
      <c r="I185" s="252">
        <f>data!AR88</f>
        <v>25425180</v>
      </c>
    </row>
    <row r="186" spans="1:9" ht="20.149999999999999" customHeight="1" x14ac:dyDescent="0.35">
      <c r="A186" s="244">
        <v>21</v>
      </c>
      <c r="B186" s="260" t="s">
        <v>1014</v>
      </c>
      <c r="C186" s="252">
        <f>data!AL89</f>
        <v>0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280225510</v>
      </c>
      <c r="H186" s="252">
        <f>data!AQ89</f>
        <v>0</v>
      </c>
      <c r="I186" s="252">
        <f>data!AR89</f>
        <v>25425180</v>
      </c>
    </row>
    <row r="187" spans="1:9" ht="20.149999999999999" customHeight="1" x14ac:dyDescent="0.35">
      <c r="A187" s="244" t="s">
        <v>1015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49999999999999" customHeight="1" x14ac:dyDescent="0.35">
      <c r="A188" s="244">
        <v>22</v>
      </c>
      <c r="B188" s="252" t="s">
        <v>1016</v>
      </c>
      <c r="C188" s="252">
        <f>data!AL90</f>
        <v>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172950</v>
      </c>
      <c r="H188" s="252">
        <f>data!AQ90</f>
        <v>0</v>
      </c>
      <c r="I188" s="252">
        <f>data!AR90</f>
        <v>26125</v>
      </c>
    </row>
    <row r="189" spans="1:9" ht="20.149999999999999" customHeight="1" x14ac:dyDescent="0.35">
      <c r="A189" s="244">
        <v>23</v>
      </c>
      <c r="B189" s="252" t="s">
        <v>1017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1249</v>
      </c>
    </row>
    <row r="190" spans="1:9" ht="20.149999999999999" customHeight="1" x14ac:dyDescent="0.35">
      <c r="A190" s="244">
        <v>24</v>
      </c>
      <c r="B190" s="252" t="s">
        <v>1018</v>
      </c>
      <c r="C190" s="252">
        <f>data!AL92</f>
        <v>0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8281</v>
      </c>
      <c r="H190" s="252">
        <f>data!AQ92</f>
        <v>0</v>
      </c>
      <c r="I190" s="252">
        <f>data!AR92</f>
        <v>6747</v>
      </c>
    </row>
    <row r="191" spans="1:9" ht="20.149999999999999" customHeight="1" x14ac:dyDescent="0.35">
      <c r="A191" s="244">
        <v>25</v>
      </c>
      <c r="B191" s="252" t="s">
        <v>1019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3907.12</v>
      </c>
      <c r="H191" s="252">
        <f>data!AQ93</f>
        <v>0</v>
      </c>
      <c r="I191" s="252">
        <f>data!AR93</f>
        <v>0</v>
      </c>
    </row>
    <row r="192" spans="1:9" ht="20.149999999999999" customHeight="1" x14ac:dyDescent="0.35">
      <c r="A192" s="244">
        <v>26</v>
      </c>
      <c r="B192" s="252" t="s">
        <v>294</v>
      </c>
      <c r="C192" s="259">
        <f>data!AL94</f>
        <v>0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spans="1:9" ht="20.149999999999999" customHeight="1" x14ac:dyDescent="0.35">
      <c r="A193" s="245" t="s">
        <v>1001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49999999999999" customHeight="1" x14ac:dyDescent="0.35">
      <c r="D194" s="248"/>
      <c r="I194" s="249" t="s">
        <v>1039</v>
      </c>
    </row>
    <row r="195" spans="1:9" ht="20.149999999999999" customHeight="1" x14ac:dyDescent="0.35">
      <c r="A195" s="248"/>
    </row>
    <row r="196" spans="1:9" ht="20.149999999999999" customHeight="1" x14ac:dyDescent="0.35">
      <c r="A196" s="250" t="str">
        <f>"Hospital: "&amp;data!C98</f>
        <v xml:space="preserve">Hospital: YAKIMA VALLEY MEMORIAL </v>
      </c>
      <c r="G196" s="251"/>
      <c r="H196" s="250" t="str">
        <f>"FYE: "&amp;data!C96</f>
        <v>FYE: 12/31/2023</v>
      </c>
    </row>
    <row r="197" spans="1:9" ht="20.149999999999999" customHeight="1" x14ac:dyDescent="0.35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49999999999999" customHeight="1" x14ac:dyDescent="0.35">
      <c r="A198" s="255">
        <v>2</v>
      </c>
      <c r="B198" s="256" t="s">
        <v>1003</v>
      </c>
      <c r="C198" s="258"/>
      <c r="D198" s="258" t="s">
        <v>157</v>
      </c>
      <c r="E198" s="258" t="s">
        <v>158</v>
      </c>
      <c r="F198" s="258" t="s">
        <v>159</v>
      </c>
      <c r="G198" s="258" t="s">
        <v>1040</v>
      </c>
      <c r="H198" s="258" t="s">
        <v>161</v>
      </c>
      <c r="I198" s="258"/>
    </row>
    <row r="199" spans="1:9" ht="20.149999999999999" customHeight="1" x14ac:dyDescent="0.35">
      <c r="A199" s="255"/>
      <c r="B199" s="256"/>
      <c r="C199" s="258" t="s">
        <v>156</v>
      </c>
      <c r="D199" s="258" t="s">
        <v>258</v>
      </c>
      <c r="E199" s="258" t="s">
        <v>1041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49999999999999" customHeight="1" x14ac:dyDescent="0.35">
      <c r="A200" s="244">
        <v>3</v>
      </c>
      <c r="B200" s="252" t="s">
        <v>1007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49999999999999" customHeight="1" x14ac:dyDescent="0.35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184130</v>
      </c>
    </row>
    <row r="202" spans="1:9" ht="20.149999999999999" customHeight="1" x14ac:dyDescent="0.35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130.38999999999999</v>
      </c>
      <c r="G202" s="259">
        <f>data!AW60</f>
        <v>0</v>
      </c>
      <c r="H202" s="259">
        <f>data!AX60</f>
        <v>0</v>
      </c>
      <c r="I202" s="259">
        <f>data!AY60</f>
        <v>34.57</v>
      </c>
    </row>
    <row r="203" spans="1:9" ht="20.149999999999999" customHeight="1" x14ac:dyDescent="0.35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21298221</v>
      </c>
      <c r="G203" s="252">
        <f>data!AW61</f>
        <v>0</v>
      </c>
      <c r="H203" s="252">
        <f>data!AX61</f>
        <v>0</v>
      </c>
      <c r="I203" s="252">
        <f>data!AY61</f>
        <v>1733571</v>
      </c>
    </row>
    <row r="204" spans="1:9" ht="20.149999999999999" customHeight="1" x14ac:dyDescent="0.35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4836991</v>
      </c>
      <c r="G204" s="252">
        <f>data!AW62</f>
        <v>0</v>
      </c>
      <c r="H204" s="252">
        <f>data!AX62</f>
        <v>0</v>
      </c>
      <c r="I204" s="252">
        <f>data!AY62</f>
        <v>393707</v>
      </c>
    </row>
    <row r="205" spans="1:9" ht="20.149999999999999" customHeight="1" x14ac:dyDescent="0.35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2192550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49999999999999" customHeight="1" x14ac:dyDescent="0.35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10466966</v>
      </c>
      <c r="G206" s="252">
        <f>data!AW64</f>
        <v>0</v>
      </c>
      <c r="H206" s="252">
        <f>data!AX64</f>
        <v>0</v>
      </c>
      <c r="I206" s="252">
        <f>data!AY64</f>
        <v>583018</v>
      </c>
    </row>
    <row r="207" spans="1:9" ht="20.149999999999999" customHeight="1" x14ac:dyDescent="0.35">
      <c r="A207" s="244">
        <v>10</v>
      </c>
      <c r="B207" s="252" t="s">
        <v>524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22626</v>
      </c>
      <c r="G207" s="252">
        <f>data!AW65</f>
        <v>0</v>
      </c>
      <c r="H207" s="252">
        <f>data!AX65</f>
        <v>0</v>
      </c>
      <c r="I207" s="252">
        <f>data!AY65</f>
        <v>0</v>
      </c>
    </row>
    <row r="208" spans="1:9" ht="20.149999999999999" customHeight="1" x14ac:dyDescent="0.35">
      <c r="A208" s="244">
        <v>11</v>
      </c>
      <c r="B208" s="252" t="s">
        <v>525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444009</v>
      </c>
      <c r="G208" s="252">
        <f>data!AW66</f>
        <v>0</v>
      </c>
      <c r="H208" s="252">
        <f>data!AX66</f>
        <v>0</v>
      </c>
      <c r="I208" s="252">
        <f>data!AY66</f>
        <v>1621</v>
      </c>
    </row>
    <row r="209" spans="1:9" ht="20.149999999999999" customHeight="1" x14ac:dyDescent="0.35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225568</v>
      </c>
      <c r="G209" s="252">
        <f>data!AW67</f>
        <v>0</v>
      </c>
      <c r="H209" s="252">
        <f>data!AX67</f>
        <v>0</v>
      </c>
      <c r="I209" s="252">
        <f>data!AY67</f>
        <v>137375</v>
      </c>
    </row>
    <row r="210" spans="1:9" ht="20.149999999999999" customHeight="1" x14ac:dyDescent="0.35">
      <c r="A210" s="244">
        <v>13</v>
      </c>
      <c r="B210" s="252" t="s">
        <v>1008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504635</v>
      </c>
      <c r="G210" s="252">
        <f>data!AW68</f>
        <v>0</v>
      </c>
      <c r="H210" s="252">
        <f>data!AX68</f>
        <v>0</v>
      </c>
      <c r="I210" s="252">
        <f>data!AY68</f>
        <v>11191</v>
      </c>
    </row>
    <row r="211" spans="1:9" ht="20.149999999999999" customHeight="1" x14ac:dyDescent="0.35">
      <c r="A211" s="244">
        <v>14</v>
      </c>
      <c r="B211" s="252" t="s">
        <v>1009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937459.78</v>
      </c>
      <c r="G211" s="252">
        <f>data!AW69</f>
        <v>0</v>
      </c>
      <c r="H211" s="252">
        <f>data!AX69</f>
        <v>0</v>
      </c>
      <c r="I211" s="252">
        <f>data!AY69</f>
        <v>166910</v>
      </c>
    </row>
    <row r="212" spans="1:9" ht="20.149999999999999" customHeight="1" x14ac:dyDescent="0.35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-6592838</v>
      </c>
      <c r="G212" s="252">
        <f>-data!AW84</f>
        <v>0</v>
      </c>
      <c r="H212" s="252">
        <f>-data!AX84</f>
        <v>0</v>
      </c>
      <c r="I212" s="252">
        <f>-data!AY84</f>
        <v>-3047</v>
      </c>
    </row>
    <row r="213" spans="1:9" ht="20.149999999999999" customHeight="1" x14ac:dyDescent="0.35">
      <c r="A213" s="244">
        <v>16</v>
      </c>
      <c r="B213" s="260" t="s">
        <v>1010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34336187.780000001</v>
      </c>
      <c r="G213" s="252">
        <f>data!AW85</f>
        <v>0</v>
      </c>
      <c r="H213" s="252">
        <f>data!AX85</f>
        <v>0</v>
      </c>
      <c r="I213" s="252">
        <f>data!AY85</f>
        <v>3024346</v>
      </c>
    </row>
    <row r="214" spans="1:9" ht="20.149999999999999" customHeight="1" x14ac:dyDescent="0.35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49999999999999" customHeight="1" x14ac:dyDescent="0.35">
      <c r="A215" s="244">
        <v>18</v>
      </c>
      <c r="B215" s="252" t="s">
        <v>1011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3145891</v>
      </c>
      <c r="G215" s="266"/>
      <c r="H215" s="252"/>
      <c r="I215" s="252"/>
    </row>
    <row r="216" spans="1:9" ht="20.149999999999999" customHeight="1" x14ac:dyDescent="0.35">
      <c r="A216" s="244">
        <v>19</v>
      </c>
      <c r="B216" s="260" t="s">
        <v>1012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20548514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49999999999999" customHeight="1" x14ac:dyDescent="0.35">
      <c r="A217" s="244">
        <v>20</v>
      </c>
      <c r="B217" s="260" t="s">
        <v>1013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31262205</v>
      </c>
      <c r="G217" s="267" t="str">
        <f>IF(data!AW74&gt;0,data!AW74,"")</f>
        <v/>
      </c>
      <c r="H217" s="267" t="str">
        <f>IF(data!AX74&gt;0,data!AX74,"")</f>
        <v/>
      </c>
      <c r="I217" s="267" t="str">
        <f>IF(data!AY74&gt;0,data!AY74,"")</f>
        <v/>
      </c>
    </row>
    <row r="218" spans="1:9" ht="20.149999999999999" customHeight="1" x14ac:dyDescent="0.35">
      <c r="A218" s="244">
        <v>21</v>
      </c>
      <c r="B218" s="260" t="s">
        <v>1014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51810719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49999999999999" customHeight="1" x14ac:dyDescent="0.35">
      <c r="A219" s="244" t="s">
        <v>1015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49999999999999" customHeight="1" x14ac:dyDescent="0.35">
      <c r="A220" s="244">
        <v>22</v>
      </c>
      <c r="B220" s="252" t="s">
        <v>1016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10888</v>
      </c>
      <c r="G220" s="252">
        <f>data!AW90</f>
        <v>0</v>
      </c>
      <c r="H220" s="252">
        <f>data!AX90</f>
        <v>0</v>
      </c>
      <c r="I220" s="252">
        <f>data!AY90</f>
        <v>6631</v>
      </c>
    </row>
    <row r="221" spans="1:9" ht="20.149999999999999" customHeight="1" x14ac:dyDescent="0.35">
      <c r="A221" s="244">
        <v>23</v>
      </c>
      <c r="B221" s="252" t="s">
        <v>1017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 t="str">
        <f>IF(data!AX77&gt;0,data!AX77,"")</f>
        <v/>
      </c>
      <c r="I221" s="267">
        <f>IF(data!AY77&gt;0,data!AY77,"")</f>
        <v>51314</v>
      </c>
    </row>
    <row r="222" spans="1:9" ht="20.149999999999999" customHeight="1" x14ac:dyDescent="0.35">
      <c r="A222" s="244">
        <v>24</v>
      </c>
      <c r="B222" s="252" t="s">
        <v>1018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5447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49999999999999" customHeight="1" x14ac:dyDescent="0.35">
      <c r="A223" s="244">
        <v>25</v>
      </c>
      <c r="B223" s="252" t="s">
        <v>1019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168.59</v>
      </c>
      <c r="G223" s="252">
        <f>data!AW93</f>
        <v>0</v>
      </c>
      <c r="H223" s="267" t="str">
        <f>IF(data!AX79&gt;0,data!AX79,"")</f>
        <v/>
      </c>
      <c r="I223" s="267" t="str">
        <f>IF(data!AY79&gt;0,data!AY79,"")</f>
        <v/>
      </c>
    </row>
    <row r="224" spans="1:9" ht="20.149999999999999" customHeight="1" x14ac:dyDescent="0.35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0</v>
      </c>
      <c r="G224" s="267" t="str">
        <f>IF(data!AW80&gt;0,data!AW80,"")</f>
        <v/>
      </c>
      <c r="H224" s="267" t="str">
        <f>IF(data!AX80&gt;0,data!AX80,"")</f>
        <v/>
      </c>
      <c r="I224" s="267" t="str">
        <f>IF(data!AY80&gt;0,data!AY80,"")</f>
        <v/>
      </c>
    </row>
    <row r="225" spans="1:9" ht="20.149999999999999" customHeight="1" x14ac:dyDescent="0.35">
      <c r="A225" s="245" t="s">
        <v>1001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49999999999999" customHeight="1" x14ac:dyDescent="0.35">
      <c r="D226" s="248"/>
      <c r="I226" s="249" t="s">
        <v>1042</v>
      </c>
    </row>
    <row r="227" spans="1:9" ht="20.149999999999999" customHeight="1" x14ac:dyDescent="0.35">
      <c r="A227" s="248"/>
    </row>
    <row r="228" spans="1:9" ht="20.149999999999999" customHeight="1" x14ac:dyDescent="0.35">
      <c r="A228" s="250" t="str">
        <f>"Hospital: "&amp;data!C98</f>
        <v xml:space="preserve">Hospital: YAKIMA VALLEY MEMORIAL </v>
      </c>
      <c r="G228" s="251"/>
      <c r="H228" s="250" t="str">
        <f>"FYE: "&amp;data!C96</f>
        <v>FYE: 12/31/2023</v>
      </c>
    </row>
    <row r="229" spans="1:9" ht="20.149999999999999" customHeight="1" x14ac:dyDescent="0.35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49999999999999" customHeight="1" x14ac:dyDescent="0.35">
      <c r="A230" s="255">
        <v>2</v>
      </c>
      <c r="B230" s="256" t="s">
        <v>1003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49999999999999" customHeight="1" x14ac:dyDescent="0.35">
      <c r="A231" s="255"/>
      <c r="B231" s="256"/>
      <c r="C231" s="258" t="s">
        <v>163</v>
      </c>
      <c r="D231" s="258" t="s">
        <v>216</v>
      </c>
      <c r="E231" s="258" t="s">
        <v>1043</v>
      </c>
      <c r="F231" s="258" t="s">
        <v>1044</v>
      </c>
      <c r="G231" s="258" t="s">
        <v>166</v>
      </c>
      <c r="H231" s="258" t="s">
        <v>167</v>
      </c>
      <c r="I231" s="258" t="s">
        <v>168</v>
      </c>
    </row>
    <row r="232" spans="1:9" ht="20.149999999999999" customHeight="1" x14ac:dyDescent="0.35">
      <c r="A232" s="244">
        <v>3</v>
      </c>
      <c r="B232" s="252" t="s">
        <v>1007</v>
      </c>
      <c r="C232" s="254" t="s">
        <v>1045</v>
      </c>
      <c r="D232" s="254" t="s">
        <v>1046</v>
      </c>
      <c r="E232" s="264"/>
      <c r="F232" s="264"/>
      <c r="G232" s="264"/>
      <c r="H232" s="254" t="s">
        <v>260</v>
      </c>
      <c r="I232" s="264"/>
    </row>
    <row r="233" spans="1:9" ht="20.149999999999999" customHeight="1" x14ac:dyDescent="0.35">
      <c r="A233" s="244">
        <v>4</v>
      </c>
      <c r="B233" s="252" t="s">
        <v>261</v>
      </c>
      <c r="C233" s="252">
        <f>data!AZ59</f>
        <v>214032</v>
      </c>
      <c r="D233" s="252">
        <f>data!BA59</f>
        <v>0</v>
      </c>
      <c r="E233" s="264"/>
      <c r="F233" s="264"/>
      <c r="G233" s="264"/>
      <c r="H233" s="252">
        <f>data!BE59</f>
        <v>1060797</v>
      </c>
      <c r="I233" s="264"/>
    </row>
    <row r="234" spans="1:9" ht="20.149999999999999" customHeight="1" x14ac:dyDescent="0.35">
      <c r="A234" s="244">
        <v>5</v>
      </c>
      <c r="B234" s="252" t="s">
        <v>262</v>
      </c>
      <c r="C234" s="259">
        <f>data!AZ60</f>
        <v>23.8</v>
      </c>
      <c r="D234" s="259">
        <f>data!BA60</f>
        <v>2.68</v>
      </c>
      <c r="E234" s="259">
        <f>data!BB60</f>
        <v>0</v>
      </c>
      <c r="F234" s="259">
        <f>data!BC60</f>
        <v>0</v>
      </c>
      <c r="G234" s="259">
        <f>data!BD60</f>
        <v>19.36</v>
      </c>
      <c r="H234" s="259">
        <f>data!BE60</f>
        <v>20.11</v>
      </c>
      <c r="I234" s="259">
        <f>data!BF60</f>
        <v>65.89</v>
      </c>
    </row>
    <row r="235" spans="1:9" ht="20.149999999999999" customHeight="1" x14ac:dyDescent="0.35">
      <c r="A235" s="244">
        <v>6</v>
      </c>
      <c r="B235" s="252" t="s">
        <v>263</v>
      </c>
      <c r="C235" s="252">
        <f>data!AZ61</f>
        <v>1012754</v>
      </c>
      <c r="D235" s="252">
        <f>data!BA61</f>
        <v>103467</v>
      </c>
      <c r="E235" s="252">
        <f>data!BB61</f>
        <v>0</v>
      </c>
      <c r="F235" s="252">
        <f>data!BC61</f>
        <v>0</v>
      </c>
      <c r="G235" s="252">
        <f>data!BD61</f>
        <v>1075325</v>
      </c>
      <c r="H235" s="252">
        <f>data!BE61</f>
        <v>1338083</v>
      </c>
      <c r="I235" s="252">
        <f>data!BF61</f>
        <v>2489766</v>
      </c>
    </row>
    <row r="236" spans="1:9" ht="20.149999999999999" customHeight="1" x14ac:dyDescent="0.35">
      <c r="A236" s="244">
        <v>7</v>
      </c>
      <c r="B236" s="252" t="s">
        <v>11</v>
      </c>
      <c r="C236" s="252">
        <f>data!AZ62</f>
        <v>230004</v>
      </c>
      <c r="D236" s="252">
        <f>data!BA62</f>
        <v>23498</v>
      </c>
      <c r="E236" s="252">
        <f>data!BB62</f>
        <v>0</v>
      </c>
      <c r="F236" s="252">
        <f>data!BC62</f>
        <v>0</v>
      </c>
      <c r="G236" s="252">
        <f>data!BD62</f>
        <v>244215</v>
      </c>
      <c r="H236" s="252">
        <f>data!BE62</f>
        <v>303889</v>
      </c>
      <c r="I236" s="252">
        <f>data!BF62</f>
        <v>565445</v>
      </c>
    </row>
    <row r="237" spans="1:9" ht="20.149999999999999" customHeight="1" x14ac:dyDescent="0.35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49999999999999" customHeight="1" x14ac:dyDescent="0.35">
      <c r="A238" s="244">
        <v>9</v>
      </c>
      <c r="B238" s="252" t="s">
        <v>265</v>
      </c>
      <c r="C238" s="252">
        <f>data!AZ64</f>
        <v>884307</v>
      </c>
      <c r="D238" s="252">
        <f>data!BA64</f>
        <v>342664.19</v>
      </c>
      <c r="E238" s="252">
        <f>data!BB64</f>
        <v>0</v>
      </c>
      <c r="F238" s="252">
        <f>data!BC64</f>
        <v>0</v>
      </c>
      <c r="G238" s="252">
        <f>data!BD64</f>
        <v>-178377</v>
      </c>
      <c r="H238" s="252">
        <f>data!BE64</f>
        <v>145552</v>
      </c>
      <c r="I238" s="252">
        <f>data!BF64</f>
        <v>304208</v>
      </c>
    </row>
    <row r="239" spans="1:9" ht="20.149999999999999" customHeight="1" x14ac:dyDescent="0.35">
      <c r="A239" s="244">
        <v>10</v>
      </c>
      <c r="B239" s="252" t="s">
        <v>524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0</v>
      </c>
      <c r="G239" s="252">
        <f>data!BD65</f>
        <v>0</v>
      </c>
      <c r="H239" s="252">
        <f>data!BE65</f>
        <v>2295722</v>
      </c>
      <c r="I239" s="252">
        <f>data!BF65</f>
        <v>118346</v>
      </c>
    </row>
    <row r="240" spans="1:9" ht="20.149999999999999" customHeight="1" x14ac:dyDescent="0.35">
      <c r="A240" s="244">
        <v>11</v>
      </c>
      <c r="B240" s="252" t="s">
        <v>525</v>
      </c>
      <c r="C240" s="252">
        <f>data!AZ66</f>
        <v>0</v>
      </c>
      <c r="D240" s="252">
        <f>data!BA66</f>
        <v>44676</v>
      </c>
      <c r="E240" s="252">
        <f>data!BB66</f>
        <v>0</v>
      </c>
      <c r="F240" s="252">
        <f>data!BC66</f>
        <v>0</v>
      </c>
      <c r="G240" s="252">
        <f>data!BD66</f>
        <v>0</v>
      </c>
      <c r="H240" s="252">
        <f>data!BE66</f>
        <v>286045</v>
      </c>
      <c r="I240" s="252">
        <f>data!BF66</f>
        <v>100485</v>
      </c>
    </row>
    <row r="241" spans="1:9" ht="20.149999999999999" customHeight="1" x14ac:dyDescent="0.35">
      <c r="A241" s="244">
        <v>12</v>
      </c>
      <c r="B241" s="252" t="s">
        <v>16</v>
      </c>
      <c r="C241" s="252">
        <f>data!AZ67</f>
        <v>113343</v>
      </c>
      <c r="D241" s="252">
        <f>data!BA67</f>
        <v>54403</v>
      </c>
      <c r="E241" s="252">
        <f>data!BB67</f>
        <v>0</v>
      </c>
      <c r="F241" s="252">
        <f>data!BC67</f>
        <v>0</v>
      </c>
      <c r="G241" s="252">
        <f>data!BD67</f>
        <v>138018</v>
      </c>
      <c r="H241" s="252">
        <f>data!BE67</f>
        <v>8840228</v>
      </c>
      <c r="I241" s="252">
        <f>data!BF67</f>
        <v>29398</v>
      </c>
    </row>
    <row r="242" spans="1:9" ht="20.149999999999999" customHeight="1" x14ac:dyDescent="0.35">
      <c r="A242" s="244">
        <v>13</v>
      </c>
      <c r="B242" s="252" t="s">
        <v>1008</v>
      </c>
      <c r="C242" s="252">
        <f>data!AZ68</f>
        <v>12</v>
      </c>
      <c r="D242" s="252">
        <f>data!BA68</f>
        <v>231632</v>
      </c>
      <c r="E242" s="252">
        <f>data!BB68</f>
        <v>0</v>
      </c>
      <c r="F242" s="252">
        <f>data!BC68</f>
        <v>0</v>
      </c>
      <c r="G242" s="252">
        <f>data!BD68</f>
        <v>5820</v>
      </c>
      <c r="H242" s="252">
        <f>data!BE68</f>
        <v>3054</v>
      </c>
      <c r="I242" s="252">
        <f>data!BF68</f>
        <v>2870</v>
      </c>
    </row>
    <row r="243" spans="1:9" ht="20.149999999999999" customHeight="1" x14ac:dyDescent="0.35">
      <c r="A243" s="244">
        <v>14</v>
      </c>
      <c r="B243" s="252" t="s">
        <v>1009</v>
      </c>
      <c r="C243" s="252">
        <f>data!AZ69</f>
        <v>210828</v>
      </c>
      <c r="D243" s="252">
        <f>data!BA69</f>
        <v>1086161</v>
      </c>
      <c r="E243" s="252">
        <f>data!BB69</f>
        <v>0</v>
      </c>
      <c r="F243" s="252">
        <f>data!BC69</f>
        <v>0</v>
      </c>
      <c r="G243" s="252">
        <f>data!BD69</f>
        <v>1820443</v>
      </c>
      <c r="H243" s="252">
        <f>data!BE69</f>
        <v>2603283</v>
      </c>
      <c r="I243" s="252">
        <f>data!BF69</f>
        <v>1051288</v>
      </c>
    </row>
    <row r="244" spans="1:9" ht="20.149999999999999" customHeight="1" x14ac:dyDescent="0.35">
      <c r="A244" s="244">
        <v>15</v>
      </c>
      <c r="B244" s="252" t="s">
        <v>284</v>
      </c>
      <c r="C244" s="252">
        <f>-data!AZ84</f>
        <v>-2269848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-67826</v>
      </c>
      <c r="H244" s="252">
        <f>-data!BE84</f>
        <v>0</v>
      </c>
      <c r="I244" s="252">
        <f>-data!BF84</f>
        <v>0</v>
      </c>
    </row>
    <row r="245" spans="1:9" ht="20.149999999999999" customHeight="1" x14ac:dyDescent="0.35">
      <c r="A245" s="244">
        <v>16</v>
      </c>
      <c r="B245" s="260" t="s">
        <v>1010</v>
      </c>
      <c r="C245" s="252">
        <f>data!AZ85</f>
        <v>181400</v>
      </c>
      <c r="D245" s="252">
        <f>data!BA85</f>
        <v>1886501.19</v>
      </c>
      <c r="E245" s="252">
        <f>data!BB85</f>
        <v>0</v>
      </c>
      <c r="F245" s="252">
        <f>data!BC85</f>
        <v>0</v>
      </c>
      <c r="G245" s="252">
        <f>data!BD85</f>
        <v>3037618</v>
      </c>
      <c r="H245" s="252">
        <f>data!BE85</f>
        <v>15815856</v>
      </c>
      <c r="I245" s="252">
        <f>data!BF85</f>
        <v>4661806</v>
      </c>
    </row>
    <row r="246" spans="1:9" ht="20.149999999999999" customHeight="1" x14ac:dyDescent="0.35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49999999999999" customHeight="1" x14ac:dyDescent="0.35">
      <c r="A247" s="244">
        <v>18</v>
      </c>
      <c r="B247" s="252" t="s">
        <v>1011</v>
      </c>
      <c r="C247" s="252"/>
      <c r="D247" s="252"/>
      <c r="E247" s="252"/>
      <c r="F247" s="252"/>
      <c r="G247" s="252"/>
      <c r="H247" s="252"/>
      <c r="I247" s="252"/>
    </row>
    <row r="248" spans="1:9" ht="20.149999999999999" customHeight="1" x14ac:dyDescent="0.35">
      <c r="A248" s="244">
        <v>19</v>
      </c>
      <c r="B248" s="260" t="s">
        <v>1012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 t="str">
        <f>IF(data!BE73&gt;0,data!BE73,"")</f>
        <v/>
      </c>
      <c r="I248" s="267" t="str">
        <f>IF(data!BF73&gt;0,data!BF73,"")</f>
        <v/>
      </c>
    </row>
    <row r="249" spans="1:9" ht="20.149999999999999" customHeight="1" x14ac:dyDescent="0.35">
      <c r="A249" s="244">
        <v>20</v>
      </c>
      <c r="B249" s="260" t="s">
        <v>1013</v>
      </c>
      <c r="C249" s="267" t="str">
        <f>IF(data!AZ74&gt;0,data!AZ74,"")</f>
        <v/>
      </c>
      <c r="D249" s="267">
        <f>IF(data!BA74&gt;0,data!BA74,"")</f>
        <v>1085956</v>
      </c>
      <c r="E249" s="267" t="str">
        <f>IF(data!BB74&gt;0,data!BB74,"")</f>
        <v/>
      </c>
      <c r="F249" s="267" t="str">
        <f>IF(data!BC74&gt;0,data!BC74,"")</f>
        <v/>
      </c>
      <c r="G249" s="267" t="str">
        <f>IF(data!BD74&gt;0,data!BD74,"")</f>
        <v/>
      </c>
      <c r="H249" s="267">
        <f>IF(data!BE74&gt;0,data!BE74,"")</f>
        <v>6</v>
      </c>
      <c r="I249" s="267">
        <f>IF(data!BF74&gt;0,data!BF74,"")</f>
        <v>2175</v>
      </c>
    </row>
    <row r="250" spans="1:9" ht="20.149999999999999" customHeight="1" x14ac:dyDescent="0.35">
      <c r="A250" s="244">
        <v>21</v>
      </c>
      <c r="B250" s="260" t="s">
        <v>1014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49999999999999" customHeight="1" x14ac:dyDescent="0.35">
      <c r="A251" s="244" t="s">
        <v>1015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49999999999999" customHeight="1" x14ac:dyDescent="0.35">
      <c r="A252" s="244">
        <v>22</v>
      </c>
      <c r="B252" s="252" t="s">
        <v>1016</v>
      </c>
      <c r="C252" s="268">
        <f>data!AZ90</f>
        <v>5471</v>
      </c>
      <c r="D252" s="268">
        <f>data!BA90</f>
        <v>2626</v>
      </c>
      <c r="E252" s="268">
        <f>data!BB90</f>
        <v>0</v>
      </c>
      <c r="F252" s="268">
        <f>data!BC90</f>
        <v>0</v>
      </c>
      <c r="G252" s="268">
        <f>data!BD90</f>
        <v>6662</v>
      </c>
      <c r="H252" s="268">
        <f>data!BE90</f>
        <v>426711</v>
      </c>
      <c r="I252" s="268">
        <f>data!BF90</f>
        <v>1419</v>
      </c>
    </row>
    <row r="253" spans="1:9" ht="20.149999999999999" customHeight="1" x14ac:dyDescent="0.35">
      <c r="A253" s="244">
        <v>23</v>
      </c>
      <c r="B253" s="252" t="s">
        <v>1017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>
        <f>IF(data!BD77&gt;0,data!BD77,"")</f>
        <v>1073</v>
      </c>
      <c r="H253" s="267">
        <f>IF(data!BE77&gt;0,data!BE77,"")</f>
        <v>741384</v>
      </c>
      <c r="I253" s="268">
        <f>data!BF91</f>
        <v>0</v>
      </c>
    </row>
    <row r="254" spans="1:9" ht="20.149999999999999" customHeight="1" x14ac:dyDescent="0.35">
      <c r="A254" s="244">
        <v>24</v>
      </c>
      <c r="B254" s="252" t="s">
        <v>1018</v>
      </c>
      <c r="C254" s="267" t="str">
        <f>IF(data!AZ78&gt;0,data!AZ78,"")</f>
        <v/>
      </c>
      <c r="D254" s="268">
        <f>data!BA92</f>
        <v>0</v>
      </c>
      <c r="E254" s="268">
        <f>data!BB92</f>
        <v>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49999999999999" customHeight="1" x14ac:dyDescent="0.35">
      <c r="A255" s="244">
        <v>25</v>
      </c>
      <c r="B255" s="252" t="s">
        <v>1019</v>
      </c>
      <c r="C255" s="267" t="str">
        <f>IF(data!AZ79&gt;0,data!AZ79,"")</f>
        <v/>
      </c>
      <c r="D255" s="267" t="str">
        <f>IF(data!BA79&gt;0,data!BA79,"")</f>
        <v/>
      </c>
      <c r="E255" s="268">
        <f>data!BB93</f>
        <v>0</v>
      </c>
      <c r="F255" s="268">
        <f>data!BC93</f>
        <v>0</v>
      </c>
      <c r="G255" s="267" t="str">
        <f>IF(data!BD79&gt;0,data!BD79,"")</f>
        <v/>
      </c>
      <c r="H255" s="267" t="str">
        <f>IF(data!BE79&gt;0,data!BE79,"")</f>
        <v/>
      </c>
      <c r="I255" s="267" t="str">
        <f>IF(data!BF79&gt;0,data!BF79,"")</f>
        <v/>
      </c>
    </row>
    <row r="256" spans="1:9" ht="20.149999999999999" customHeight="1" x14ac:dyDescent="0.35">
      <c r="A256" s="244">
        <v>26</v>
      </c>
      <c r="B256" s="252" t="s">
        <v>294</v>
      </c>
      <c r="C256" s="267" t="str">
        <f>IF(data!AZ80&gt;0,data!AZ80,"")</f>
        <v/>
      </c>
      <c r="D256" s="267" t="str">
        <f>IF(data!BA80&gt;0,data!BA80,"")</f>
        <v/>
      </c>
      <c r="E256" s="267" t="str">
        <f>IF(data!BB80&gt;0,data!BB80,"")</f>
        <v/>
      </c>
      <c r="F256" s="267" t="str">
        <f>IF(data!BC80&gt;0,data!BC80,"")</f>
        <v/>
      </c>
      <c r="G256" s="267" t="str">
        <f>IF(data!BD80&gt;0,data!BD80,"")</f>
        <v/>
      </c>
      <c r="H256" s="267" t="str">
        <f>IF(data!BE80&gt;0,data!BE80,"")</f>
        <v/>
      </c>
      <c r="I256" s="267" t="str">
        <f>IF(data!BF80&gt;0,data!BF80,"")</f>
        <v/>
      </c>
    </row>
    <row r="257" spans="1:9" ht="20.149999999999999" customHeight="1" x14ac:dyDescent="0.35">
      <c r="A257" s="245" t="s">
        <v>1001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49999999999999" customHeight="1" x14ac:dyDescent="0.35">
      <c r="D258" s="248"/>
      <c r="I258" s="249" t="s">
        <v>1047</v>
      </c>
    </row>
    <row r="259" spans="1:9" ht="20.149999999999999" customHeight="1" x14ac:dyDescent="0.35">
      <c r="A259" s="248"/>
    </row>
    <row r="260" spans="1:9" ht="20.149999999999999" customHeight="1" x14ac:dyDescent="0.35">
      <c r="A260" s="250" t="str">
        <f>"Hospital: "&amp;data!C98</f>
        <v xml:space="preserve">Hospital: YAKIMA VALLEY MEMORIAL </v>
      </c>
      <c r="G260" s="251"/>
      <c r="H260" s="250" t="str">
        <f>"FYE: "&amp;data!C96</f>
        <v>FYE: 12/31/2023</v>
      </c>
    </row>
    <row r="261" spans="1:9" ht="20.149999999999999" customHeight="1" x14ac:dyDescent="0.35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49999999999999" customHeight="1" x14ac:dyDescent="0.35">
      <c r="A262" s="255">
        <v>2</v>
      </c>
      <c r="B262" s="256" t="s">
        <v>1003</v>
      </c>
      <c r="C262" s="258" t="s">
        <v>1048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49999999999999" customHeight="1" x14ac:dyDescent="0.35">
      <c r="A263" s="255"/>
      <c r="B263" s="256"/>
      <c r="C263" s="258" t="s">
        <v>1049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1050</v>
      </c>
    </row>
    <row r="264" spans="1:9" ht="20.149999999999999" customHeight="1" x14ac:dyDescent="0.35">
      <c r="A264" s="244">
        <v>3</v>
      </c>
      <c r="B264" s="252" t="s">
        <v>1007</v>
      </c>
      <c r="C264" s="264"/>
      <c r="D264" s="264"/>
      <c r="E264" s="264"/>
      <c r="F264" s="264"/>
      <c r="G264" s="264"/>
      <c r="H264" s="264"/>
      <c r="I264" s="264"/>
    </row>
    <row r="265" spans="1:9" ht="20.149999999999999" customHeight="1" x14ac:dyDescent="0.35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49999999999999" customHeight="1" x14ac:dyDescent="0.35">
      <c r="A266" s="244">
        <v>5</v>
      </c>
      <c r="B266" s="252" t="s">
        <v>262</v>
      </c>
      <c r="C266" s="259">
        <f>data!BG60</f>
        <v>3.29</v>
      </c>
      <c r="D266" s="259">
        <f>data!BH60</f>
        <v>23.03</v>
      </c>
      <c r="E266" s="259">
        <f>data!BI60</f>
        <v>0.36</v>
      </c>
      <c r="F266" s="259">
        <f>data!BJ60</f>
        <v>9.68</v>
      </c>
      <c r="G266" s="259">
        <f>data!BK60</f>
        <v>63.8</v>
      </c>
      <c r="H266" s="259">
        <f>data!BL60</f>
        <v>53.56</v>
      </c>
      <c r="I266" s="259">
        <f>data!BM60</f>
        <v>8.89</v>
      </c>
    </row>
    <row r="267" spans="1:9" ht="20.149999999999999" customHeight="1" x14ac:dyDescent="0.35">
      <c r="A267" s="244">
        <v>6</v>
      </c>
      <c r="B267" s="252" t="s">
        <v>263</v>
      </c>
      <c r="C267" s="252">
        <f>data!BG61</f>
        <v>131510</v>
      </c>
      <c r="D267" s="252">
        <f>data!BH61</f>
        <v>1922926</v>
      </c>
      <c r="E267" s="252">
        <f>data!BI61</f>
        <v>11690</v>
      </c>
      <c r="F267" s="252">
        <f>data!BJ61</f>
        <v>716720</v>
      </c>
      <c r="G267" s="252">
        <f>data!BK61</f>
        <v>3251878</v>
      </c>
      <c r="H267" s="252">
        <f>data!BL61</f>
        <v>2642976</v>
      </c>
      <c r="I267" s="252">
        <f>data!BM61</f>
        <v>949329</v>
      </c>
    </row>
    <row r="268" spans="1:9" ht="20.149999999999999" customHeight="1" x14ac:dyDescent="0.35">
      <c r="A268" s="244">
        <v>7</v>
      </c>
      <c r="B268" s="252" t="s">
        <v>11</v>
      </c>
      <c r="C268" s="252">
        <f>data!BG62</f>
        <v>29867</v>
      </c>
      <c r="D268" s="252">
        <f>data!BH62</f>
        <v>436711</v>
      </c>
      <c r="E268" s="252">
        <f>data!BI62</f>
        <v>2655</v>
      </c>
      <c r="F268" s="252">
        <f>data!BJ62</f>
        <v>162773</v>
      </c>
      <c r="G268" s="252">
        <f>data!BK62</f>
        <v>738527</v>
      </c>
      <c r="H268" s="252">
        <f>data!BL62</f>
        <v>600240</v>
      </c>
      <c r="I268" s="252">
        <f>data!BM62</f>
        <v>215600</v>
      </c>
    </row>
    <row r="269" spans="1:9" ht="20.149999999999999" customHeight="1" x14ac:dyDescent="0.35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457910</v>
      </c>
    </row>
    <row r="270" spans="1:9" ht="20.149999999999999" customHeight="1" x14ac:dyDescent="0.35">
      <c r="A270" s="244">
        <v>9</v>
      </c>
      <c r="B270" s="252" t="s">
        <v>265</v>
      </c>
      <c r="C270" s="252">
        <f>data!BG64</f>
        <v>244</v>
      </c>
      <c r="D270" s="252">
        <f>data!BH64</f>
        <v>320</v>
      </c>
      <c r="E270" s="252">
        <f>data!BI64</f>
        <v>5510</v>
      </c>
      <c r="F270" s="252">
        <f>data!BJ64</f>
        <v>1040</v>
      </c>
      <c r="G270" s="252">
        <f>data!BK64</f>
        <v>10362</v>
      </c>
      <c r="H270" s="252">
        <f>data!BL64</f>
        <v>53494</v>
      </c>
      <c r="I270" s="252">
        <f>data!BM64</f>
        <v>112</v>
      </c>
    </row>
    <row r="271" spans="1:9" ht="20.149999999999999" customHeight="1" x14ac:dyDescent="0.35">
      <c r="A271" s="244">
        <v>10</v>
      </c>
      <c r="B271" s="252" t="s">
        <v>524</v>
      </c>
      <c r="C271" s="252">
        <f>data!BG65</f>
        <v>0</v>
      </c>
      <c r="D271" s="252">
        <f>data!BH65</f>
        <v>0</v>
      </c>
      <c r="E271" s="252">
        <f>data!BI65</f>
        <v>1373</v>
      </c>
      <c r="F271" s="252">
        <f>data!BJ65</f>
        <v>0</v>
      </c>
      <c r="G271" s="252">
        <f>data!BK65</f>
        <v>0</v>
      </c>
      <c r="H271" s="252">
        <f>data!BL65</f>
        <v>3</v>
      </c>
      <c r="I271" s="252">
        <f>data!BM65</f>
        <v>0</v>
      </c>
    </row>
    <row r="272" spans="1:9" ht="20.149999999999999" customHeight="1" x14ac:dyDescent="0.35">
      <c r="A272" s="244">
        <v>11</v>
      </c>
      <c r="B272" s="252" t="s">
        <v>525</v>
      </c>
      <c r="C272" s="252">
        <f>data!BG66</f>
        <v>0</v>
      </c>
      <c r="D272" s="252">
        <f>data!BH66</f>
        <v>305510</v>
      </c>
      <c r="E272" s="252">
        <f>data!BI66</f>
        <v>2424331</v>
      </c>
      <c r="F272" s="252">
        <f>data!BJ66</f>
        <v>9331</v>
      </c>
      <c r="G272" s="252">
        <f>data!BK66</f>
        <v>1892008</v>
      </c>
      <c r="H272" s="252">
        <f>data!BL66</f>
        <v>1254387</v>
      </c>
      <c r="I272" s="252">
        <f>data!BM66</f>
        <v>76063</v>
      </c>
    </row>
    <row r="273" spans="1:9" ht="20.149999999999999" customHeight="1" x14ac:dyDescent="0.35">
      <c r="A273" s="244">
        <v>12</v>
      </c>
      <c r="B273" s="252" t="s">
        <v>16</v>
      </c>
      <c r="C273" s="252">
        <f>data!BG67</f>
        <v>4061</v>
      </c>
      <c r="D273" s="252">
        <f>data!BH67</f>
        <v>131181</v>
      </c>
      <c r="E273" s="252">
        <f>data!BI67</f>
        <v>19702</v>
      </c>
      <c r="F273" s="252">
        <f>data!BJ67</f>
        <v>68553</v>
      </c>
      <c r="G273" s="252">
        <f>data!BK67</f>
        <v>175453</v>
      </c>
      <c r="H273" s="252">
        <f>data!BL67</f>
        <v>81646</v>
      </c>
      <c r="I273" s="252">
        <f>data!BM67</f>
        <v>46593</v>
      </c>
    </row>
    <row r="274" spans="1:9" ht="20.149999999999999" customHeight="1" x14ac:dyDescent="0.35">
      <c r="A274" s="244">
        <v>13</v>
      </c>
      <c r="B274" s="252" t="s">
        <v>1008</v>
      </c>
      <c r="C274" s="252">
        <f>data!BG68</f>
        <v>70</v>
      </c>
      <c r="D274" s="252">
        <f>data!BH68</f>
        <v>35073</v>
      </c>
      <c r="E274" s="252">
        <f>data!BI68</f>
        <v>191</v>
      </c>
      <c r="F274" s="252">
        <f>data!BJ68</f>
        <v>2146</v>
      </c>
      <c r="G274" s="252">
        <f>data!BK68</f>
        <v>4547</v>
      </c>
      <c r="H274" s="252">
        <f>data!BL68</f>
        <v>28704</v>
      </c>
      <c r="I274" s="252">
        <f>data!BM68</f>
        <v>855</v>
      </c>
    </row>
    <row r="275" spans="1:9" ht="20.149999999999999" customHeight="1" x14ac:dyDescent="0.35">
      <c r="A275" s="244">
        <v>14</v>
      </c>
      <c r="B275" s="252" t="s">
        <v>1009</v>
      </c>
      <c r="C275" s="252">
        <f>data!BG69</f>
        <v>190797</v>
      </c>
      <c r="D275" s="252">
        <f>data!BH69</f>
        <v>12023136</v>
      </c>
      <c r="E275" s="252">
        <f>data!BI69</f>
        <v>117792</v>
      </c>
      <c r="F275" s="252">
        <f>data!BJ69</f>
        <v>437293</v>
      </c>
      <c r="G275" s="252">
        <f>data!BK69</f>
        <v>355420</v>
      </c>
      <c r="H275" s="252">
        <f>data!BL69</f>
        <v>35574</v>
      </c>
      <c r="I275" s="252">
        <f>data!BM69</f>
        <v>2865674</v>
      </c>
    </row>
    <row r="276" spans="1:9" ht="20.149999999999999" customHeight="1" x14ac:dyDescent="0.35">
      <c r="A276" s="244">
        <v>15</v>
      </c>
      <c r="B276" s="252" t="s">
        <v>284</v>
      </c>
      <c r="C276" s="252">
        <f>-data!BG84</f>
        <v>0</v>
      </c>
      <c r="D276" s="252">
        <f>-data!BH84</f>
        <v>-10</v>
      </c>
      <c r="E276" s="252">
        <f>-data!BI84</f>
        <v>-2342</v>
      </c>
      <c r="F276" s="252">
        <f>-data!BJ84</f>
        <v>-88185</v>
      </c>
      <c r="G276" s="252">
        <f>-data!BK84</f>
        <v>-55068</v>
      </c>
      <c r="H276" s="252">
        <f>-data!BL84</f>
        <v>-55</v>
      </c>
      <c r="I276" s="252">
        <f>-data!BM84</f>
        <v>0</v>
      </c>
    </row>
    <row r="277" spans="1:9" ht="20.149999999999999" customHeight="1" x14ac:dyDescent="0.35">
      <c r="A277" s="244">
        <v>16</v>
      </c>
      <c r="B277" s="260" t="s">
        <v>1010</v>
      </c>
      <c r="C277" s="252">
        <f>data!BG85</f>
        <v>356549</v>
      </c>
      <c r="D277" s="252">
        <f>data!BH85</f>
        <v>14854847</v>
      </c>
      <c r="E277" s="252">
        <f>data!BI85</f>
        <v>2580902</v>
      </c>
      <c r="F277" s="252">
        <f>data!BJ85</f>
        <v>1309671</v>
      </c>
      <c r="G277" s="252">
        <f>data!BK85</f>
        <v>6373127</v>
      </c>
      <c r="H277" s="252">
        <f>data!BL85</f>
        <v>4696969</v>
      </c>
      <c r="I277" s="252">
        <f>data!BM85</f>
        <v>4612136</v>
      </c>
    </row>
    <row r="278" spans="1:9" ht="20.149999999999999" customHeight="1" x14ac:dyDescent="0.35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49999999999999" customHeight="1" x14ac:dyDescent="0.35">
      <c r="A279" s="244">
        <v>18</v>
      </c>
      <c r="B279" s="252" t="s">
        <v>1011</v>
      </c>
      <c r="C279" s="252"/>
      <c r="D279" s="252"/>
      <c r="E279" s="252"/>
      <c r="F279" s="252"/>
      <c r="G279" s="252"/>
      <c r="H279" s="252"/>
      <c r="I279" s="252"/>
    </row>
    <row r="280" spans="1:9" ht="20.149999999999999" customHeight="1" x14ac:dyDescent="0.35">
      <c r="A280" s="244">
        <v>19</v>
      </c>
      <c r="B280" s="260" t="s">
        <v>1012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49999999999999" customHeight="1" x14ac:dyDescent="0.35">
      <c r="A281" s="244">
        <v>20</v>
      </c>
      <c r="B281" s="260" t="s">
        <v>1013</v>
      </c>
      <c r="C281" s="267" t="str">
        <f>IF(data!BG74&gt;0,data!BG74,"")</f>
        <v/>
      </c>
      <c r="D281" s="267" t="str">
        <f>IF(data!BH74&gt;0,data!BH74,"")</f>
        <v/>
      </c>
      <c r="E281" s="267" t="str">
        <f>IF(data!BI74&gt;0,data!BI74,"")</f>
        <v/>
      </c>
      <c r="F281" s="267" t="str">
        <f>IF(data!BJ74&gt;0,data!BJ74,"")</f>
        <v/>
      </c>
      <c r="G281" s="267" t="str">
        <f>IF(data!BK74&gt;0,data!BK74,"")</f>
        <v/>
      </c>
      <c r="H281" s="267" t="str">
        <f>IF(data!BL74&gt;0,data!BL74,"")</f>
        <v/>
      </c>
      <c r="I281" s="267" t="str">
        <f>IF(data!BM74&gt;0,data!BM74,"")</f>
        <v/>
      </c>
    </row>
    <row r="282" spans="1:9" ht="20.149999999999999" customHeight="1" x14ac:dyDescent="0.35">
      <c r="A282" s="244">
        <v>21</v>
      </c>
      <c r="B282" s="260" t="s">
        <v>1014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>
        <f>IF(data!BJ75&gt;0,data!BJ75,"")</f>
        <v>336031</v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49999999999999" customHeight="1" x14ac:dyDescent="0.35">
      <c r="A283" s="244" t="s">
        <v>1015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49999999999999" customHeight="1" x14ac:dyDescent="0.35">
      <c r="A284" s="244">
        <v>22</v>
      </c>
      <c r="B284" s="252" t="s">
        <v>1016</v>
      </c>
      <c r="C284" s="268">
        <f>data!BG90</f>
        <v>196</v>
      </c>
      <c r="D284" s="268">
        <f>data!BH90</f>
        <v>6332</v>
      </c>
      <c r="E284" s="268">
        <f>data!BI90</f>
        <v>951</v>
      </c>
      <c r="F284" s="268">
        <f>data!BJ90</f>
        <v>3309</v>
      </c>
      <c r="G284" s="268">
        <f>data!BK90</f>
        <v>8469</v>
      </c>
      <c r="H284" s="268">
        <f>data!BL90</f>
        <v>3941</v>
      </c>
      <c r="I284" s="268">
        <f>data!BM90</f>
        <v>2249</v>
      </c>
    </row>
    <row r="285" spans="1:9" ht="20.149999999999999" customHeight="1" x14ac:dyDescent="0.35">
      <c r="A285" s="244">
        <v>23</v>
      </c>
      <c r="B285" s="252" t="s">
        <v>1017</v>
      </c>
      <c r="C285" s="267">
        <f>IF(data!BG77&gt;0,data!BG77,"")</f>
        <v>1124</v>
      </c>
      <c r="D285" s="268">
        <f>data!BH91</f>
        <v>0</v>
      </c>
      <c r="E285" s="268">
        <f>data!BI91</f>
        <v>0</v>
      </c>
      <c r="F285" s="267">
        <f>IF(data!BJ77&gt;0,data!BJ77,"")</f>
        <v>721</v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49999999999999" customHeight="1" x14ac:dyDescent="0.35">
      <c r="A286" s="244">
        <v>24</v>
      </c>
      <c r="B286" s="252" t="s">
        <v>1018</v>
      </c>
      <c r="C286" s="267" t="str">
        <f>IF(data!BG78&gt;0,data!BG78,"")</f>
        <v/>
      </c>
      <c r="D286" s="268">
        <f>data!BH92</f>
        <v>195</v>
      </c>
      <c r="E286" s="268">
        <f>data!BI92</f>
        <v>286</v>
      </c>
      <c r="F286" s="267" t="str">
        <f>IF(data!BJ78&gt;0,data!BJ78,"")</f>
        <v/>
      </c>
      <c r="G286" s="268">
        <f>data!BK92</f>
        <v>0</v>
      </c>
      <c r="H286" s="268">
        <f>data!BL92</f>
        <v>260</v>
      </c>
      <c r="I286" s="268">
        <f>data!BM92</f>
        <v>0</v>
      </c>
    </row>
    <row r="287" spans="1:9" ht="20.149999999999999" customHeight="1" x14ac:dyDescent="0.35">
      <c r="A287" s="244">
        <v>25</v>
      </c>
      <c r="B287" s="252" t="s">
        <v>1019</v>
      </c>
      <c r="C287" s="267" t="str">
        <f>IF(data!BG79&gt;0,data!BG79,"")</f>
        <v/>
      </c>
      <c r="D287" s="268">
        <f>data!BH93</f>
        <v>0</v>
      </c>
      <c r="E287" s="268">
        <f>data!BI93</f>
        <v>0</v>
      </c>
      <c r="F287" s="267" t="str">
        <f>IF(data!BJ79&gt;0,data!BJ79,"")</f>
        <v/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49999999999999" customHeight="1" x14ac:dyDescent="0.35">
      <c r="A288" s="244">
        <v>26</v>
      </c>
      <c r="B288" s="252" t="s">
        <v>294</v>
      </c>
      <c r="C288" s="267" t="str">
        <f>IF(data!BG80&gt;0,data!BG80,"")</f>
        <v/>
      </c>
      <c r="D288" s="267" t="str">
        <f>IF(data!BH80&gt;0,data!BH80,"")</f>
        <v/>
      </c>
      <c r="E288" s="267" t="str">
        <f>IF(data!BI80&gt;0,data!BI80,"")</f>
        <v/>
      </c>
      <c r="F288" s="267" t="str">
        <f>IF(data!BJ80&gt;0,data!BJ80,"")</f>
        <v/>
      </c>
      <c r="G288" s="267" t="str">
        <f>IF(data!BK80&gt;0,data!BK80,"")</f>
        <v/>
      </c>
      <c r="H288" s="267" t="str">
        <f>IF(data!BL80&gt;0,data!BL80,"")</f>
        <v/>
      </c>
      <c r="I288" s="267" t="str">
        <f>IF(data!BM80&gt;0,data!BM80,"")</f>
        <v/>
      </c>
    </row>
    <row r="289" spans="1:9" ht="20.149999999999999" customHeight="1" x14ac:dyDescent="0.35">
      <c r="A289" s="245" t="s">
        <v>1001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49999999999999" customHeight="1" x14ac:dyDescent="0.35">
      <c r="D290" s="248"/>
      <c r="I290" s="249" t="s">
        <v>1051</v>
      </c>
    </row>
    <row r="291" spans="1:9" ht="20.149999999999999" customHeight="1" x14ac:dyDescent="0.35">
      <c r="A291" s="248"/>
    </row>
    <row r="292" spans="1:9" ht="20.149999999999999" customHeight="1" x14ac:dyDescent="0.35">
      <c r="A292" s="250" t="str">
        <f>"Hospital: "&amp;data!C98</f>
        <v xml:space="preserve">Hospital: YAKIMA VALLEY MEMORIAL </v>
      </c>
      <c r="G292" s="251"/>
      <c r="H292" s="250" t="str">
        <f>"FYE: "&amp;data!C96</f>
        <v>FYE: 12/31/2023</v>
      </c>
    </row>
    <row r="293" spans="1:9" ht="20.149999999999999" customHeight="1" x14ac:dyDescent="0.35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49999999999999" customHeight="1" x14ac:dyDescent="0.35">
      <c r="A294" s="255">
        <v>2</v>
      </c>
      <c r="B294" s="256" t="s">
        <v>1003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49999999999999" customHeight="1" x14ac:dyDescent="0.35">
      <c r="A295" s="255"/>
      <c r="B295" s="256"/>
      <c r="C295" s="258" t="s">
        <v>1052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49999999999999" customHeight="1" x14ac:dyDescent="0.35">
      <c r="A296" s="244">
        <v>3</v>
      </c>
      <c r="B296" s="252" t="s">
        <v>1007</v>
      </c>
      <c r="C296" s="264"/>
      <c r="D296" s="264"/>
      <c r="E296" s="264"/>
      <c r="F296" s="264"/>
      <c r="G296" s="264"/>
      <c r="H296" s="264"/>
      <c r="I296" s="264"/>
    </row>
    <row r="297" spans="1:9" ht="20.149999999999999" customHeight="1" x14ac:dyDescent="0.35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49999999999999" customHeight="1" x14ac:dyDescent="0.35">
      <c r="A298" s="244">
        <v>5</v>
      </c>
      <c r="B298" s="252" t="s">
        <v>262</v>
      </c>
      <c r="C298" s="259">
        <f>data!BN60</f>
        <v>8.74</v>
      </c>
      <c r="D298" s="259">
        <f>data!BO60</f>
        <v>3.69</v>
      </c>
      <c r="E298" s="259">
        <f>data!BP60</f>
        <v>1.78</v>
      </c>
      <c r="F298" s="259">
        <f>data!BQ60</f>
        <v>0</v>
      </c>
      <c r="G298" s="259">
        <f>data!BR60</f>
        <v>23.2</v>
      </c>
      <c r="H298" s="259">
        <f>data!BS60</f>
        <v>1</v>
      </c>
      <c r="I298" s="259">
        <f>data!BT60</f>
        <v>2.1800000000000002</v>
      </c>
    </row>
    <row r="299" spans="1:9" ht="20.149999999999999" customHeight="1" x14ac:dyDescent="0.35">
      <c r="A299" s="244">
        <v>6</v>
      </c>
      <c r="B299" s="252" t="s">
        <v>263</v>
      </c>
      <c r="C299" s="252">
        <f>data!BN61</f>
        <v>3562639</v>
      </c>
      <c r="D299" s="252">
        <f>data!BO61</f>
        <v>338191</v>
      </c>
      <c r="E299" s="252">
        <f>data!BP61</f>
        <v>174459</v>
      </c>
      <c r="F299" s="252">
        <f>data!BQ61</f>
        <v>0</v>
      </c>
      <c r="G299" s="252">
        <f>data!BR61</f>
        <v>2338940</v>
      </c>
      <c r="H299" s="252">
        <f>data!BS61</f>
        <v>73768</v>
      </c>
      <c r="I299" s="252">
        <f>data!BT61</f>
        <v>153778</v>
      </c>
    </row>
    <row r="300" spans="1:9" ht="20.149999999999999" customHeight="1" x14ac:dyDescent="0.35">
      <c r="A300" s="244">
        <v>7</v>
      </c>
      <c r="B300" s="252" t="s">
        <v>11</v>
      </c>
      <c r="C300" s="252">
        <f>data!BN62</f>
        <v>809103</v>
      </c>
      <c r="D300" s="252">
        <f>data!BO62</f>
        <v>76806</v>
      </c>
      <c r="E300" s="252">
        <f>data!BP62</f>
        <v>39621</v>
      </c>
      <c r="F300" s="252">
        <f>data!BQ62</f>
        <v>0</v>
      </c>
      <c r="G300" s="252">
        <f>data!BR62</f>
        <v>531191</v>
      </c>
      <c r="H300" s="252">
        <f>data!BS62</f>
        <v>16753</v>
      </c>
      <c r="I300" s="252">
        <f>data!BT62</f>
        <v>34924</v>
      </c>
    </row>
    <row r="301" spans="1:9" ht="20.149999999999999" customHeight="1" x14ac:dyDescent="0.35">
      <c r="A301" s="244">
        <v>8</v>
      </c>
      <c r="B301" s="252" t="s">
        <v>264</v>
      </c>
      <c r="C301" s="252">
        <f>data!BN63</f>
        <v>757906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49999999999999" customHeight="1" x14ac:dyDescent="0.35">
      <c r="A302" s="244">
        <v>9</v>
      </c>
      <c r="B302" s="252" t="s">
        <v>265</v>
      </c>
      <c r="C302" s="252">
        <f>data!BN64</f>
        <v>24031</v>
      </c>
      <c r="D302" s="252">
        <f>data!BO64</f>
        <v>102385</v>
      </c>
      <c r="E302" s="252">
        <f>data!BP64</f>
        <v>882</v>
      </c>
      <c r="F302" s="252">
        <f>data!BQ64</f>
        <v>0</v>
      </c>
      <c r="G302" s="252">
        <f>data!BR64</f>
        <v>1687</v>
      </c>
      <c r="H302" s="252">
        <f>data!BS64</f>
        <v>373</v>
      </c>
      <c r="I302" s="252">
        <f>data!BT64</f>
        <v>0</v>
      </c>
    </row>
    <row r="303" spans="1:9" ht="20.149999999999999" customHeight="1" x14ac:dyDescent="0.35">
      <c r="A303" s="244">
        <v>10</v>
      </c>
      <c r="B303" s="252" t="s">
        <v>524</v>
      </c>
      <c r="C303" s="252">
        <f>data!BN65</f>
        <v>617</v>
      </c>
      <c r="D303" s="252">
        <f>data!BO65</f>
        <v>4722</v>
      </c>
      <c r="E303" s="252">
        <f>data!BP65</f>
        <v>5843</v>
      </c>
      <c r="F303" s="252">
        <f>data!BQ65</f>
        <v>0</v>
      </c>
      <c r="G303" s="252">
        <f>data!BR65</f>
        <v>121</v>
      </c>
      <c r="H303" s="252">
        <f>data!BS65</f>
        <v>0</v>
      </c>
      <c r="I303" s="252">
        <f>data!BT65</f>
        <v>0</v>
      </c>
    </row>
    <row r="304" spans="1:9" ht="20.149999999999999" customHeight="1" x14ac:dyDescent="0.35">
      <c r="A304" s="244">
        <v>11</v>
      </c>
      <c r="B304" s="252" t="s">
        <v>525</v>
      </c>
      <c r="C304" s="252">
        <f>data!BN66</f>
        <v>468688</v>
      </c>
      <c r="D304" s="252">
        <f>data!BO66</f>
        <v>73735</v>
      </c>
      <c r="E304" s="252">
        <f>data!BP66</f>
        <v>26876</v>
      </c>
      <c r="F304" s="252">
        <f>data!BQ66</f>
        <v>0</v>
      </c>
      <c r="G304" s="252">
        <f>data!BR66</f>
        <v>48414</v>
      </c>
      <c r="H304" s="252">
        <f>data!BS66</f>
        <v>443</v>
      </c>
      <c r="I304" s="252">
        <f>data!BT66</f>
        <v>0</v>
      </c>
    </row>
    <row r="305" spans="1:9" ht="20.149999999999999" customHeight="1" x14ac:dyDescent="0.35">
      <c r="A305" s="244">
        <v>12</v>
      </c>
      <c r="B305" s="252" t="s">
        <v>16</v>
      </c>
      <c r="C305" s="252">
        <f>data!BN67</f>
        <v>36524</v>
      </c>
      <c r="D305" s="252">
        <f>data!BO67</f>
        <v>52083</v>
      </c>
      <c r="E305" s="252">
        <f>data!BP67</f>
        <v>76695</v>
      </c>
      <c r="F305" s="252">
        <f>data!BQ67</f>
        <v>0</v>
      </c>
      <c r="G305" s="252">
        <f>data!BR67</f>
        <v>73546</v>
      </c>
      <c r="H305" s="252">
        <f>data!BS67</f>
        <v>10483</v>
      </c>
      <c r="I305" s="252">
        <f>data!BT67</f>
        <v>6194</v>
      </c>
    </row>
    <row r="306" spans="1:9" ht="20.149999999999999" customHeight="1" x14ac:dyDescent="0.35">
      <c r="A306" s="244">
        <v>13</v>
      </c>
      <c r="B306" s="252" t="s">
        <v>1008</v>
      </c>
      <c r="C306" s="252">
        <f>data!BN68</f>
        <v>3793</v>
      </c>
      <c r="D306" s="252">
        <f>data!BO68</f>
        <v>52102</v>
      </c>
      <c r="E306" s="252">
        <f>data!BP68</f>
        <v>971</v>
      </c>
      <c r="F306" s="252">
        <f>data!BQ68</f>
        <v>0</v>
      </c>
      <c r="G306" s="252">
        <f>data!BR68</f>
        <v>241376</v>
      </c>
      <c r="H306" s="252">
        <f>data!BS68</f>
        <v>104</v>
      </c>
      <c r="I306" s="252">
        <f>data!BT68</f>
        <v>29</v>
      </c>
    </row>
    <row r="307" spans="1:9" ht="20.149999999999999" customHeight="1" x14ac:dyDescent="0.35">
      <c r="A307" s="244">
        <v>14</v>
      </c>
      <c r="B307" s="252" t="s">
        <v>1009</v>
      </c>
      <c r="C307" s="252">
        <f>data!BN69</f>
        <v>32656476</v>
      </c>
      <c r="D307" s="252">
        <f>data!BO69</f>
        <v>167924</v>
      </c>
      <c r="E307" s="252">
        <f>data!BP69</f>
        <v>94228</v>
      </c>
      <c r="F307" s="252">
        <f>data!BQ69</f>
        <v>0</v>
      </c>
      <c r="G307" s="252">
        <f>data!BR69</f>
        <v>971309</v>
      </c>
      <c r="H307" s="252">
        <f>data!BS69</f>
        <v>13925</v>
      </c>
      <c r="I307" s="252">
        <f>data!BT69</f>
        <v>712</v>
      </c>
    </row>
    <row r="308" spans="1:9" ht="20.149999999999999" customHeight="1" x14ac:dyDescent="0.35">
      <c r="A308" s="244">
        <v>15</v>
      </c>
      <c r="B308" s="252" t="s">
        <v>284</v>
      </c>
      <c r="C308" s="252">
        <f>-data!BN84</f>
        <v>-2516995</v>
      </c>
      <c r="D308" s="252">
        <f>-data!BO84</f>
        <v>-6205</v>
      </c>
      <c r="E308" s="252">
        <f>-data!BP84</f>
        <v>0</v>
      </c>
      <c r="F308" s="252">
        <f>-data!BQ84</f>
        <v>0</v>
      </c>
      <c r="G308" s="252">
        <f>-data!BR84</f>
        <v>0</v>
      </c>
      <c r="H308" s="252">
        <f>-data!BS84</f>
        <v>0</v>
      </c>
      <c r="I308" s="252">
        <f>-data!BT84</f>
        <v>0</v>
      </c>
    </row>
    <row r="309" spans="1:9" ht="20.149999999999999" customHeight="1" x14ac:dyDescent="0.35">
      <c r="A309" s="244">
        <v>16</v>
      </c>
      <c r="B309" s="260" t="s">
        <v>1010</v>
      </c>
      <c r="C309" s="252">
        <f>data!BN85</f>
        <v>35802782</v>
      </c>
      <c r="D309" s="252">
        <f>data!BO85</f>
        <v>861743</v>
      </c>
      <c r="E309" s="252">
        <f>data!BP85</f>
        <v>419575</v>
      </c>
      <c r="F309" s="252">
        <f>data!BQ85</f>
        <v>0</v>
      </c>
      <c r="G309" s="252">
        <f>data!BR85</f>
        <v>4206584</v>
      </c>
      <c r="H309" s="252">
        <f>data!BS85</f>
        <v>115849</v>
      </c>
      <c r="I309" s="252">
        <f>data!BT85</f>
        <v>195637</v>
      </c>
    </row>
    <row r="310" spans="1:9" ht="20.149999999999999" customHeight="1" x14ac:dyDescent="0.35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49999999999999" customHeight="1" x14ac:dyDescent="0.35">
      <c r="A311" s="244">
        <v>18</v>
      </c>
      <c r="B311" s="252" t="s">
        <v>1011</v>
      </c>
      <c r="C311" s="252"/>
      <c r="D311" s="252"/>
      <c r="E311" s="252"/>
      <c r="F311" s="252"/>
      <c r="G311" s="252"/>
      <c r="H311" s="252"/>
      <c r="I311" s="252"/>
    </row>
    <row r="312" spans="1:9" ht="20.149999999999999" customHeight="1" x14ac:dyDescent="0.35">
      <c r="A312" s="244">
        <v>19</v>
      </c>
      <c r="B312" s="260" t="s">
        <v>1012</v>
      </c>
      <c r="C312" s="267">
        <f>IF(data!BN73&gt;0,data!BN73,"")</f>
        <v>11729</v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49999999999999" customHeight="1" x14ac:dyDescent="0.35">
      <c r="A313" s="244">
        <v>20</v>
      </c>
      <c r="B313" s="260" t="s">
        <v>1013</v>
      </c>
      <c r="C313" s="267" t="str">
        <f>IF(data!BN74&gt;0,data!BN74,"")</f>
        <v/>
      </c>
      <c r="D313" s="267" t="str">
        <f>IF(data!BO74&gt;0,data!BO74,"")</f>
        <v/>
      </c>
      <c r="E313" s="267" t="str">
        <f>IF(data!BP74&gt;0,data!BP74,"")</f>
        <v/>
      </c>
      <c r="F313" s="267" t="str">
        <f>IF(data!BQ74&gt;0,data!BQ74,"")</f>
        <v/>
      </c>
      <c r="G313" s="267" t="str">
        <f>IF(data!BR74&gt;0,data!BR74,"")</f>
        <v/>
      </c>
      <c r="H313" s="267" t="str">
        <f>IF(data!BS74&gt;0,data!BS74,"")</f>
        <v/>
      </c>
      <c r="I313" s="267" t="str">
        <f>IF(data!BT74&gt;0,data!BT74,"")</f>
        <v/>
      </c>
    </row>
    <row r="314" spans="1:9" ht="20.149999999999999" customHeight="1" x14ac:dyDescent="0.35">
      <c r="A314" s="244">
        <v>21</v>
      </c>
      <c r="B314" s="260" t="s">
        <v>1014</v>
      </c>
      <c r="C314" s="267">
        <f>IF(data!BN75&gt;0,data!BN75,"")</f>
        <v>18844112</v>
      </c>
      <c r="D314" s="267">
        <f>IF(data!BO75&gt;0,data!BO75,"")</f>
        <v>1440</v>
      </c>
      <c r="E314" s="267" t="str">
        <f>IF(data!BP75&gt;0,data!BP75,"")</f>
        <v/>
      </c>
      <c r="F314" s="267" t="str">
        <f>IF(data!BQ75&gt;0,data!BQ75,"")</f>
        <v/>
      </c>
      <c r="G314" s="267" t="str">
        <f>IF(data!BR75&gt;0,data!BR75,"")</f>
        <v/>
      </c>
      <c r="H314" s="267" t="str">
        <f>IF(data!BS75&gt;0,data!BS75,"")</f>
        <v/>
      </c>
      <c r="I314" s="267" t="str">
        <f>IF(data!BT75&gt;0,data!BT75,"")</f>
        <v/>
      </c>
    </row>
    <row r="315" spans="1:9" ht="20.149999999999999" customHeight="1" x14ac:dyDescent="0.35">
      <c r="A315" s="244" t="s">
        <v>1015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49999999999999" customHeight="1" x14ac:dyDescent="0.35">
      <c r="A316" s="244">
        <v>22</v>
      </c>
      <c r="B316" s="252" t="s">
        <v>1016</v>
      </c>
      <c r="C316" s="268">
        <f>data!BN90</f>
        <v>1763</v>
      </c>
      <c r="D316" s="268">
        <f>data!BO90</f>
        <v>2514</v>
      </c>
      <c r="E316" s="268">
        <f>data!BP90</f>
        <v>3702</v>
      </c>
      <c r="F316" s="268">
        <f>data!BQ90</f>
        <v>0</v>
      </c>
      <c r="G316" s="268">
        <f>data!BR90</f>
        <v>3550</v>
      </c>
      <c r="H316" s="268">
        <f>data!BS90</f>
        <v>506</v>
      </c>
      <c r="I316" s="268">
        <f>data!BT90</f>
        <v>299</v>
      </c>
    </row>
    <row r="317" spans="1:9" ht="20.149999999999999" customHeight="1" x14ac:dyDescent="0.35">
      <c r="A317" s="244">
        <v>23</v>
      </c>
      <c r="B317" s="252" t="s">
        <v>1017</v>
      </c>
      <c r="C317" s="267">
        <f>IF(data!BN77&gt;0,data!BN77,"")</f>
        <v>126</v>
      </c>
      <c r="D317" s="267">
        <f>IF(data!BO77&gt;0,data!BO77,"")</f>
        <v>44476</v>
      </c>
      <c r="E317" s="267">
        <f>IF(data!BP77&gt;0,data!BP77,"")</f>
        <v>91</v>
      </c>
      <c r="F317" s="267" t="str">
        <f>IF(data!BQ77&gt;0,data!BQ77,"")</f>
        <v/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49999999999999" customHeight="1" x14ac:dyDescent="0.35">
      <c r="A318" s="244">
        <v>24</v>
      </c>
      <c r="B318" s="252" t="s">
        <v>1018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65</v>
      </c>
      <c r="I318" s="268">
        <f>data!BT92</f>
        <v>0</v>
      </c>
    </row>
    <row r="319" spans="1:9" ht="20.149999999999999" customHeight="1" x14ac:dyDescent="0.35">
      <c r="A319" s="244">
        <v>25</v>
      </c>
      <c r="B319" s="252" t="s">
        <v>1019</v>
      </c>
      <c r="C319" s="267">
        <f>IF(data!BN79&gt;0,data!BN79,"")</f>
        <v>58</v>
      </c>
      <c r="D319" s="267" t="str">
        <f>IF(data!BO79&gt;0,data!BO79,"")</f>
        <v/>
      </c>
      <c r="E319" s="267" t="str">
        <f>IF(data!BP79&gt;0,data!BP79,"")</f>
        <v/>
      </c>
      <c r="F319" s="267" t="str">
        <f>IF(data!BQ79&gt;0,data!BQ79,"")</f>
        <v/>
      </c>
      <c r="G319" s="267">
        <f>IF(data!BR79&gt;0,data!BR79,"")</f>
        <v>234627</v>
      </c>
      <c r="H319" s="268">
        <f>data!BS93</f>
        <v>0</v>
      </c>
      <c r="I319" s="268">
        <f>data!BT93</f>
        <v>0</v>
      </c>
    </row>
    <row r="320" spans="1:9" ht="20.149999999999999" customHeight="1" x14ac:dyDescent="0.35">
      <c r="A320" s="244">
        <v>26</v>
      </c>
      <c r="B320" s="252" t="s">
        <v>294</v>
      </c>
      <c r="C320" s="270" t="str">
        <f>IF(data!BN80&gt;0,data!BN80,"")</f>
        <v/>
      </c>
      <c r="D320" s="270" t="str">
        <f>IF(data!BO80&gt;0,data!BO80,"")</f>
        <v/>
      </c>
      <c r="E320" s="270" t="str">
        <f>IF(data!BP80&gt;0,data!BP80,"")</f>
        <v/>
      </c>
      <c r="F320" s="270" t="str">
        <f>IF(data!BQ80&gt;0,data!BQ80,"")</f>
        <v/>
      </c>
      <c r="G320" s="270" t="str">
        <f>IF(data!BR80&gt;0,data!BR80,"")</f>
        <v/>
      </c>
      <c r="H320" s="270" t="str">
        <f>IF(data!BS80&gt;0,data!BS80,"")</f>
        <v/>
      </c>
      <c r="I320" s="270" t="str">
        <f>IF(data!BT80&gt;0,data!BT80,"")</f>
        <v/>
      </c>
    </row>
    <row r="321" spans="1:9" ht="20.149999999999999" customHeight="1" x14ac:dyDescent="0.35">
      <c r="A321" s="245" t="s">
        <v>1001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49999999999999" customHeight="1" x14ac:dyDescent="0.35">
      <c r="D322" s="248"/>
      <c r="I322" s="249" t="s">
        <v>1053</v>
      </c>
    </row>
    <row r="323" spans="1:9" ht="20.149999999999999" customHeight="1" x14ac:dyDescent="0.35">
      <c r="A323" s="248"/>
    </row>
    <row r="324" spans="1:9" ht="20.149999999999999" customHeight="1" x14ac:dyDescent="0.35">
      <c r="A324" s="250" t="str">
        <f>"Hospital: "&amp;data!C98</f>
        <v xml:space="preserve">Hospital: YAKIMA VALLEY MEMORIAL </v>
      </c>
      <c r="G324" s="251"/>
      <c r="H324" s="250" t="str">
        <f>"FYE: "&amp;data!C96</f>
        <v>FYE: 12/31/2023</v>
      </c>
    </row>
    <row r="325" spans="1:9" ht="20.149999999999999" customHeight="1" x14ac:dyDescent="0.35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49999999999999" customHeight="1" x14ac:dyDescent="0.35">
      <c r="A326" s="255">
        <v>2</v>
      </c>
      <c r="B326" s="256" t="s">
        <v>1003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49999999999999" customHeight="1" x14ac:dyDescent="0.35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1052</v>
      </c>
      <c r="H327" s="258" t="s">
        <v>179</v>
      </c>
      <c r="I327" s="258" t="s">
        <v>228</v>
      </c>
    </row>
    <row r="328" spans="1:9" ht="20.149999999999999" customHeight="1" x14ac:dyDescent="0.35">
      <c r="A328" s="244">
        <v>3</v>
      </c>
      <c r="B328" s="252" t="s">
        <v>1007</v>
      </c>
      <c r="C328" s="264"/>
      <c r="D328" s="264"/>
      <c r="E328" s="264"/>
      <c r="F328" s="264"/>
      <c r="G328" s="264"/>
      <c r="H328" s="264"/>
      <c r="I328" s="264"/>
    </row>
    <row r="329" spans="1:9" ht="20.149999999999999" customHeight="1" x14ac:dyDescent="0.35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49999999999999" customHeight="1" x14ac:dyDescent="0.35">
      <c r="A330" s="244">
        <v>5</v>
      </c>
      <c r="B330" s="252" t="s">
        <v>262</v>
      </c>
      <c r="C330" s="259">
        <f>data!BU60</f>
        <v>0</v>
      </c>
      <c r="D330" s="259">
        <f>data!BV60</f>
        <v>59.54</v>
      </c>
      <c r="E330" s="259">
        <f>data!BW60</f>
        <v>3.46</v>
      </c>
      <c r="F330" s="259">
        <f>data!BX60</f>
        <v>53.61</v>
      </c>
      <c r="G330" s="259">
        <f>data!BY60</f>
        <v>11.77</v>
      </c>
      <c r="H330" s="259">
        <f>data!BZ60</f>
        <v>15.95</v>
      </c>
      <c r="I330" s="259">
        <f>data!CA60</f>
        <v>1.96</v>
      </c>
    </row>
    <row r="331" spans="1:9" ht="20.149999999999999" customHeight="1" x14ac:dyDescent="0.35">
      <c r="A331" s="244">
        <v>6</v>
      </c>
      <c r="B331" s="252" t="s">
        <v>263</v>
      </c>
      <c r="C331" s="271">
        <f>data!BU61</f>
        <v>0</v>
      </c>
      <c r="D331" s="271">
        <f>data!BV61</f>
        <v>3243873</v>
      </c>
      <c r="E331" s="271">
        <f>data!BW61</f>
        <v>249937</v>
      </c>
      <c r="F331" s="271">
        <f>data!BX61</f>
        <v>5577829</v>
      </c>
      <c r="G331" s="271">
        <f>data!BY61</f>
        <v>1095644</v>
      </c>
      <c r="H331" s="271">
        <f>data!BZ61</f>
        <v>1058237</v>
      </c>
      <c r="I331" s="271">
        <f>data!CA61</f>
        <v>247416</v>
      </c>
    </row>
    <row r="332" spans="1:9" ht="20.149999999999999" customHeight="1" x14ac:dyDescent="0.35">
      <c r="A332" s="244">
        <v>7</v>
      </c>
      <c r="B332" s="252" t="s">
        <v>11</v>
      </c>
      <c r="C332" s="271">
        <f>data!BU62</f>
        <v>0</v>
      </c>
      <c r="D332" s="271">
        <f>data!BV62</f>
        <v>736709</v>
      </c>
      <c r="E332" s="271">
        <f>data!BW62</f>
        <v>56763</v>
      </c>
      <c r="F332" s="271">
        <f>data!BX62</f>
        <v>1266768</v>
      </c>
      <c r="G332" s="271">
        <f>data!BY62</f>
        <v>248829</v>
      </c>
      <c r="H332" s="271">
        <f>data!BZ62</f>
        <v>240334</v>
      </c>
      <c r="I332" s="271">
        <f>data!CA62</f>
        <v>56190</v>
      </c>
    </row>
    <row r="333" spans="1:9" ht="20.149999999999999" customHeight="1" x14ac:dyDescent="0.35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42000</v>
      </c>
      <c r="F333" s="271">
        <f>data!BX63</f>
        <v>0</v>
      </c>
      <c r="G333" s="271">
        <f>data!BY63</f>
        <v>0</v>
      </c>
      <c r="H333" s="271">
        <f>data!BZ63</f>
        <v>96251</v>
      </c>
      <c r="I333" s="271">
        <f>data!CA63</f>
        <v>0</v>
      </c>
    </row>
    <row r="334" spans="1:9" ht="20.149999999999999" customHeight="1" x14ac:dyDescent="0.35">
      <c r="A334" s="244">
        <v>9</v>
      </c>
      <c r="B334" s="252" t="s">
        <v>265</v>
      </c>
      <c r="C334" s="271">
        <f>data!BU64</f>
        <v>0</v>
      </c>
      <c r="D334" s="271">
        <f>data!BV64</f>
        <v>5204</v>
      </c>
      <c r="E334" s="271">
        <f>data!BW64</f>
        <v>616</v>
      </c>
      <c r="F334" s="271">
        <f>data!BX64</f>
        <v>8253</v>
      </c>
      <c r="G334" s="271">
        <f>data!BY64</f>
        <v>1604</v>
      </c>
      <c r="H334" s="271">
        <f>data!BZ64</f>
        <v>639112</v>
      </c>
      <c r="I334" s="271">
        <f>data!CA64</f>
        <v>11226</v>
      </c>
    </row>
    <row r="335" spans="1:9" ht="20.149999999999999" customHeight="1" x14ac:dyDescent="0.35">
      <c r="A335" s="244">
        <v>10</v>
      </c>
      <c r="B335" s="252" t="s">
        <v>524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2562</v>
      </c>
      <c r="G335" s="271">
        <f>data!BY65</f>
        <v>0</v>
      </c>
      <c r="H335" s="271">
        <f>data!BZ65</f>
        <v>0</v>
      </c>
      <c r="I335" s="271">
        <f>data!CA65</f>
        <v>60</v>
      </c>
    </row>
    <row r="336" spans="1:9" ht="20.149999999999999" customHeight="1" x14ac:dyDescent="0.35">
      <c r="A336" s="244">
        <v>11</v>
      </c>
      <c r="B336" s="252" t="s">
        <v>525</v>
      </c>
      <c r="C336" s="271">
        <f>data!BU66</f>
        <v>0</v>
      </c>
      <c r="D336" s="271">
        <f>data!BV66</f>
        <v>1063763</v>
      </c>
      <c r="E336" s="271">
        <f>data!BW66</f>
        <v>65961</v>
      </c>
      <c r="F336" s="271">
        <f>data!BX66</f>
        <v>1001925</v>
      </c>
      <c r="G336" s="271">
        <f>data!BY66</f>
        <v>0</v>
      </c>
      <c r="H336" s="271">
        <f>data!BZ66</f>
        <v>682</v>
      </c>
      <c r="I336" s="271">
        <f>data!CA66</f>
        <v>1140</v>
      </c>
    </row>
    <row r="337" spans="1:9" ht="20.149999999999999" customHeight="1" x14ac:dyDescent="0.35">
      <c r="A337" s="244">
        <v>12</v>
      </c>
      <c r="B337" s="252" t="s">
        <v>16</v>
      </c>
      <c r="C337" s="271">
        <f>data!BU67</f>
        <v>0</v>
      </c>
      <c r="D337" s="271">
        <f>data!BV67</f>
        <v>76695</v>
      </c>
      <c r="E337" s="271">
        <f>data!BW67</f>
        <v>35986</v>
      </c>
      <c r="F337" s="271">
        <f>data!BX67</f>
        <v>88131</v>
      </c>
      <c r="G337" s="271">
        <f>data!BY67</f>
        <v>6215</v>
      </c>
      <c r="H337" s="271">
        <f>data!BZ67</f>
        <v>8763</v>
      </c>
      <c r="I337" s="271">
        <f>data!CA67</f>
        <v>32795</v>
      </c>
    </row>
    <row r="338" spans="1:9" ht="20.149999999999999" customHeight="1" x14ac:dyDescent="0.35">
      <c r="A338" s="244">
        <v>13</v>
      </c>
      <c r="B338" s="252" t="s">
        <v>1008</v>
      </c>
      <c r="C338" s="271">
        <f>data!BU68</f>
        <v>0</v>
      </c>
      <c r="D338" s="271">
        <f>data!BV68</f>
        <v>68521</v>
      </c>
      <c r="E338" s="271">
        <f>data!BW68</f>
        <v>2038</v>
      </c>
      <c r="F338" s="271">
        <f>data!BX68</f>
        <v>37899</v>
      </c>
      <c r="G338" s="271">
        <f>data!BY68</f>
        <v>421</v>
      </c>
      <c r="H338" s="271">
        <f>data!BZ68</f>
        <v>367</v>
      </c>
      <c r="I338" s="271">
        <f>data!CA68</f>
        <v>0</v>
      </c>
    </row>
    <row r="339" spans="1:9" ht="20.149999999999999" customHeight="1" x14ac:dyDescent="0.35">
      <c r="A339" s="244">
        <v>14</v>
      </c>
      <c r="B339" s="252" t="s">
        <v>1009</v>
      </c>
      <c r="C339" s="271">
        <f>data!BU69</f>
        <v>0</v>
      </c>
      <c r="D339" s="271">
        <f>data!BV69</f>
        <v>27340</v>
      </c>
      <c r="E339" s="271">
        <f>data!BW69</f>
        <v>317337</v>
      </c>
      <c r="F339" s="271">
        <f>data!BX69</f>
        <v>384767</v>
      </c>
      <c r="G339" s="271">
        <f>data!BY69</f>
        <v>179954</v>
      </c>
      <c r="H339" s="271">
        <f>data!BZ69</f>
        <v>1615198</v>
      </c>
      <c r="I339" s="271">
        <f>data!CA69</f>
        <v>18418</v>
      </c>
    </row>
    <row r="340" spans="1:9" ht="20.149999999999999" customHeight="1" x14ac:dyDescent="0.35">
      <c r="A340" s="244">
        <v>15</v>
      </c>
      <c r="B340" s="252" t="s">
        <v>284</v>
      </c>
      <c r="C340" s="252">
        <f>-data!BU84</f>
        <v>0</v>
      </c>
      <c r="D340" s="252">
        <f>-data!BV84</f>
        <v>-16020</v>
      </c>
      <c r="E340" s="252">
        <f>-data!BW84</f>
        <v>-138214</v>
      </c>
      <c r="F340" s="252">
        <f>-data!BX84</f>
        <v>-9000</v>
      </c>
      <c r="G340" s="252">
        <f>-data!BY84</f>
        <v>0</v>
      </c>
      <c r="H340" s="252">
        <f>-data!BZ84</f>
        <v>0</v>
      </c>
      <c r="I340" s="252">
        <f>-data!CA84</f>
        <v>0</v>
      </c>
    </row>
    <row r="341" spans="1:9" ht="20.149999999999999" customHeight="1" x14ac:dyDescent="0.35">
      <c r="A341" s="244">
        <v>16</v>
      </c>
      <c r="B341" s="260" t="s">
        <v>1010</v>
      </c>
      <c r="C341" s="252">
        <f>data!BU85</f>
        <v>0</v>
      </c>
      <c r="D341" s="252">
        <f>data!BV85</f>
        <v>5206085</v>
      </c>
      <c r="E341" s="252">
        <f>data!BW85</f>
        <v>632424</v>
      </c>
      <c r="F341" s="252">
        <f>data!BX85</f>
        <v>8359134</v>
      </c>
      <c r="G341" s="252">
        <f>data!BY85</f>
        <v>1532667</v>
      </c>
      <c r="H341" s="252">
        <f>data!BZ85</f>
        <v>3658944</v>
      </c>
      <c r="I341" s="252">
        <f>data!CA85</f>
        <v>367245</v>
      </c>
    </row>
    <row r="342" spans="1:9" ht="20.149999999999999" customHeight="1" x14ac:dyDescent="0.35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49999999999999" customHeight="1" x14ac:dyDescent="0.35">
      <c r="A343" s="244">
        <v>18</v>
      </c>
      <c r="B343" s="252" t="s">
        <v>1011</v>
      </c>
      <c r="C343" s="252"/>
      <c r="D343" s="252"/>
      <c r="E343" s="252"/>
      <c r="F343" s="252"/>
      <c r="G343" s="252"/>
      <c r="H343" s="252"/>
      <c r="I343" s="252"/>
    </row>
    <row r="344" spans="1:9" ht="20.149999999999999" customHeight="1" x14ac:dyDescent="0.35">
      <c r="A344" s="244">
        <v>19</v>
      </c>
      <c r="B344" s="260" t="s">
        <v>1012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49999999999999" customHeight="1" x14ac:dyDescent="0.35">
      <c r="A345" s="244">
        <v>20</v>
      </c>
      <c r="B345" s="260" t="s">
        <v>1013</v>
      </c>
      <c r="C345" s="267" t="str">
        <f>IF(data!BU74&gt;0,data!BU74,"")</f>
        <v/>
      </c>
      <c r="D345" s="267" t="str">
        <f>IF(data!BV74&gt;0,data!BV74,"")</f>
        <v/>
      </c>
      <c r="E345" s="267" t="str">
        <f>IF(data!BW74&gt;0,data!BW74,"")</f>
        <v/>
      </c>
      <c r="F345" s="267" t="str">
        <f>IF(data!BX74&gt;0,data!BX74,"")</f>
        <v/>
      </c>
      <c r="G345" s="267" t="str">
        <f>IF(data!BY74&gt;0,data!BY74,"")</f>
        <v/>
      </c>
      <c r="H345" s="267" t="str">
        <f>IF(data!BZ74&gt;0,data!BZ74,"")</f>
        <v/>
      </c>
      <c r="I345" s="267" t="str">
        <f>IF(data!CA74&gt;0,data!CA74,"")</f>
        <v/>
      </c>
    </row>
    <row r="346" spans="1:9" ht="20.149999999999999" customHeight="1" x14ac:dyDescent="0.35">
      <c r="A346" s="244">
        <v>21</v>
      </c>
      <c r="B346" s="260" t="s">
        <v>1014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>
        <f>IF(data!BX75&gt;0,data!BX75,"")</f>
        <v>2198</v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49999999999999" customHeight="1" x14ac:dyDescent="0.35">
      <c r="A347" s="244" t="s">
        <v>1015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49999999999999" customHeight="1" x14ac:dyDescent="0.35">
      <c r="A348" s="244">
        <v>22</v>
      </c>
      <c r="B348" s="252" t="s">
        <v>1016</v>
      </c>
      <c r="C348" s="268">
        <f>data!BU90</f>
        <v>0</v>
      </c>
      <c r="D348" s="268">
        <f>data!BV90</f>
        <v>3702</v>
      </c>
      <c r="E348" s="268">
        <f>data!BW90</f>
        <v>1737</v>
      </c>
      <c r="F348" s="268">
        <f>data!BX90</f>
        <v>4254</v>
      </c>
      <c r="G348" s="268">
        <f>data!BY90</f>
        <v>300</v>
      </c>
      <c r="H348" s="268">
        <f>data!BZ90</f>
        <v>423</v>
      </c>
      <c r="I348" s="268">
        <f>data!CA90</f>
        <v>1583</v>
      </c>
    </row>
    <row r="349" spans="1:9" ht="20.149999999999999" customHeight="1" x14ac:dyDescent="0.35">
      <c r="A349" s="244">
        <v>23</v>
      </c>
      <c r="B349" s="252" t="s">
        <v>1017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49999999999999" customHeight="1" x14ac:dyDescent="0.35">
      <c r="A350" s="244">
        <v>24</v>
      </c>
      <c r="B350" s="252" t="s">
        <v>1018</v>
      </c>
      <c r="C350" s="268">
        <f>data!BU92</f>
        <v>0</v>
      </c>
      <c r="D350" s="268">
        <f>data!BV92</f>
        <v>0</v>
      </c>
      <c r="E350" s="268">
        <f>data!BW92</f>
        <v>52</v>
      </c>
      <c r="F350" s="268">
        <f>data!BX92</f>
        <v>338</v>
      </c>
      <c r="G350" s="268">
        <f>data!BY92</f>
        <v>195</v>
      </c>
      <c r="H350" s="268">
        <f>data!BZ92</f>
        <v>2262</v>
      </c>
      <c r="I350" s="268">
        <f>data!CA92</f>
        <v>130</v>
      </c>
    </row>
    <row r="351" spans="1:9" ht="20.149999999999999" customHeight="1" x14ac:dyDescent="0.35">
      <c r="A351" s="244">
        <v>25</v>
      </c>
      <c r="B351" s="252" t="s">
        <v>1019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49999999999999" customHeight="1" x14ac:dyDescent="0.35">
      <c r="A352" s="244">
        <v>26</v>
      </c>
      <c r="B352" s="252" t="s">
        <v>294</v>
      </c>
      <c r="C352" s="270" t="str">
        <f>IF(data!BU80&gt;0,data!BU80,"")</f>
        <v/>
      </c>
      <c r="D352" s="270" t="str">
        <f>IF(data!BV80&gt;0,data!BV80,"")</f>
        <v/>
      </c>
      <c r="E352" s="270" t="str">
        <f>IF(data!BW80&gt;0,data!BW80,"")</f>
        <v/>
      </c>
      <c r="F352" s="270" t="str">
        <f>IF(data!BX80&gt;0,data!BX80,"")</f>
        <v/>
      </c>
      <c r="G352" s="270" t="str">
        <f>IF(data!BY80&gt;0,data!BY80,"")</f>
        <v/>
      </c>
      <c r="H352" s="270" t="str">
        <f>IF(data!BZ80&gt;0,data!BZ80,"")</f>
        <v/>
      </c>
      <c r="I352" s="270" t="str">
        <f>IF(data!CA80&gt;0,data!CA80,"")</f>
        <v/>
      </c>
    </row>
    <row r="353" spans="1:9" ht="20.149999999999999" customHeight="1" x14ac:dyDescent="0.35">
      <c r="A353" s="245" t="s">
        <v>1001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49999999999999" customHeight="1" x14ac:dyDescent="0.35">
      <c r="D354" s="248"/>
      <c r="I354" s="249" t="s">
        <v>1054</v>
      </c>
    </row>
    <row r="355" spans="1:9" ht="20.149999999999999" customHeight="1" x14ac:dyDescent="0.35">
      <c r="A355" s="248"/>
    </row>
    <row r="356" spans="1:9" ht="20.149999999999999" customHeight="1" x14ac:dyDescent="0.35">
      <c r="A356" s="250" t="str">
        <f>"Hospital: "&amp;data!C98</f>
        <v xml:space="preserve">Hospital: YAKIMA VALLEY MEMORIAL </v>
      </c>
      <c r="G356" s="251"/>
      <c r="H356" s="250" t="str">
        <f>"FYE: "&amp;data!C96</f>
        <v>FYE: 12/31/2023</v>
      </c>
    </row>
    <row r="357" spans="1:9" ht="20.149999999999999" customHeight="1" x14ac:dyDescent="0.35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49999999999999" customHeight="1" x14ac:dyDescent="0.35">
      <c r="A358" s="255">
        <v>2</v>
      </c>
      <c r="B358" s="256" t="s">
        <v>1003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49999999999999" customHeight="1" x14ac:dyDescent="0.35">
      <c r="A359" s="255"/>
      <c r="B359" s="256"/>
      <c r="C359" s="258" t="s">
        <v>228</v>
      </c>
      <c r="D359" s="258" t="s">
        <v>1055</v>
      </c>
      <c r="E359" s="258" t="s">
        <v>240</v>
      </c>
      <c r="F359" s="273"/>
      <c r="G359" s="273"/>
      <c r="H359" s="273"/>
      <c r="I359" s="258" t="s">
        <v>230</v>
      </c>
    </row>
    <row r="360" spans="1:9" ht="20.149999999999999" customHeight="1" x14ac:dyDescent="0.35">
      <c r="A360" s="244">
        <v>3</v>
      </c>
      <c r="B360" s="252" t="s">
        <v>1007</v>
      </c>
      <c r="C360" s="264"/>
      <c r="D360" s="264"/>
      <c r="E360" s="264"/>
      <c r="F360" s="264"/>
      <c r="G360" s="264"/>
      <c r="H360" s="264"/>
      <c r="I360" s="264"/>
    </row>
    <row r="361" spans="1:9" ht="20.149999999999999" customHeight="1" x14ac:dyDescent="0.35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49999999999999" customHeight="1" x14ac:dyDescent="0.35">
      <c r="A362" s="244">
        <v>5</v>
      </c>
      <c r="B362" s="252" t="s">
        <v>262</v>
      </c>
      <c r="C362" s="259">
        <f>data!CB60</f>
        <v>0</v>
      </c>
      <c r="D362" s="259">
        <f>data!CC60</f>
        <v>97.89</v>
      </c>
      <c r="E362" s="274"/>
      <c r="F362" s="262"/>
      <c r="G362" s="262"/>
      <c r="H362" s="262"/>
      <c r="I362" s="275">
        <f>data!CE60</f>
        <v>2272.08</v>
      </c>
    </row>
    <row r="363" spans="1:9" ht="20.149999999999999" customHeight="1" x14ac:dyDescent="0.35">
      <c r="A363" s="244">
        <v>6</v>
      </c>
      <c r="B363" s="252" t="s">
        <v>263</v>
      </c>
      <c r="C363" s="271">
        <f>data!CB61</f>
        <v>0</v>
      </c>
      <c r="D363" s="271">
        <f>data!CC61</f>
        <v>7985695</v>
      </c>
      <c r="E363" s="276"/>
      <c r="F363" s="276"/>
      <c r="G363" s="276"/>
      <c r="H363" s="276"/>
      <c r="I363" s="271">
        <f>data!CE61</f>
        <v>235061102</v>
      </c>
    </row>
    <row r="364" spans="1:9" ht="20.149999999999999" customHeight="1" x14ac:dyDescent="0.35">
      <c r="A364" s="244">
        <v>7</v>
      </c>
      <c r="B364" s="252" t="s">
        <v>11</v>
      </c>
      <c r="C364" s="271">
        <f>data!CB62</f>
        <v>0</v>
      </c>
      <c r="D364" s="271">
        <f>data!CC62</f>
        <v>1813613</v>
      </c>
      <c r="E364" s="276"/>
      <c r="F364" s="276"/>
      <c r="G364" s="276"/>
      <c r="H364" s="276"/>
      <c r="I364" s="271">
        <f>data!CE62</f>
        <v>53384199</v>
      </c>
    </row>
    <row r="365" spans="1:9" ht="20.149999999999999" customHeight="1" x14ac:dyDescent="0.35">
      <c r="A365" s="244">
        <v>8</v>
      </c>
      <c r="B365" s="252" t="s">
        <v>264</v>
      </c>
      <c r="C365" s="271">
        <f>data!CB63</f>
        <v>0</v>
      </c>
      <c r="D365" s="271">
        <f>data!CC63</f>
        <v>40653</v>
      </c>
      <c r="E365" s="276"/>
      <c r="F365" s="276"/>
      <c r="G365" s="276"/>
      <c r="H365" s="276"/>
      <c r="I365" s="271">
        <f>data!CE63</f>
        <v>36228291</v>
      </c>
    </row>
    <row r="366" spans="1:9" ht="20.149999999999999" customHeight="1" x14ac:dyDescent="0.35">
      <c r="A366" s="244">
        <v>9</v>
      </c>
      <c r="B366" s="252" t="s">
        <v>265</v>
      </c>
      <c r="C366" s="271">
        <f>data!CB64</f>
        <v>0</v>
      </c>
      <c r="D366" s="271">
        <f>data!CC64</f>
        <v>254020</v>
      </c>
      <c r="E366" s="276"/>
      <c r="F366" s="276"/>
      <c r="G366" s="276"/>
      <c r="H366" s="276"/>
      <c r="I366" s="271">
        <f>data!CE64</f>
        <v>98973061.189999998</v>
      </c>
    </row>
    <row r="367" spans="1:9" ht="20.149999999999999" customHeight="1" x14ac:dyDescent="0.35">
      <c r="A367" s="244">
        <v>10</v>
      </c>
      <c r="B367" s="252" t="s">
        <v>524</v>
      </c>
      <c r="C367" s="271">
        <f>data!CB65</f>
        <v>0</v>
      </c>
      <c r="D367" s="271">
        <f>data!CC65</f>
        <v>169366</v>
      </c>
      <c r="E367" s="276"/>
      <c r="F367" s="276"/>
      <c r="G367" s="276"/>
      <c r="H367" s="276"/>
      <c r="I367" s="271">
        <f>data!CE65</f>
        <v>3447835</v>
      </c>
    </row>
    <row r="368" spans="1:9" ht="20.149999999999999" customHeight="1" x14ac:dyDescent="0.35">
      <c r="A368" s="244">
        <v>11</v>
      </c>
      <c r="B368" s="252" t="s">
        <v>525</v>
      </c>
      <c r="C368" s="271">
        <f>data!CB66</f>
        <v>0</v>
      </c>
      <c r="D368" s="271">
        <f>data!CC66</f>
        <v>1189327</v>
      </c>
      <c r="E368" s="276"/>
      <c r="F368" s="276"/>
      <c r="G368" s="276"/>
      <c r="H368" s="276"/>
      <c r="I368" s="271">
        <f>data!CE66</f>
        <v>24682710</v>
      </c>
    </row>
    <row r="369" spans="1:9" ht="20.149999999999999" customHeight="1" x14ac:dyDescent="0.35">
      <c r="A369" s="244">
        <v>12</v>
      </c>
      <c r="B369" s="252" t="s">
        <v>16</v>
      </c>
      <c r="C369" s="271">
        <f>data!CB67</f>
        <v>0</v>
      </c>
      <c r="D369" s="271">
        <f>data!CC67</f>
        <v>380035</v>
      </c>
      <c r="E369" s="276"/>
      <c r="F369" s="276"/>
      <c r="G369" s="276"/>
      <c r="H369" s="276"/>
      <c r="I369" s="271">
        <f>data!CE67</f>
        <v>21976669</v>
      </c>
    </row>
    <row r="370" spans="1:9" ht="20.149999999999999" customHeight="1" x14ac:dyDescent="0.35">
      <c r="A370" s="244">
        <v>13</v>
      </c>
      <c r="B370" s="252" t="s">
        <v>1008</v>
      </c>
      <c r="C370" s="271">
        <f>data!CB68</f>
        <v>0</v>
      </c>
      <c r="D370" s="271">
        <f>data!CC68</f>
        <v>105769</v>
      </c>
      <c r="E370" s="276"/>
      <c r="F370" s="276"/>
      <c r="G370" s="276"/>
      <c r="H370" s="276"/>
      <c r="I370" s="271">
        <f>data!CE68</f>
        <v>8819738</v>
      </c>
    </row>
    <row r="371" spans="1:9" ht="20.149999999999999" customHeight="1" x14ac:dyDescent="0.35">
      <c r="A371" s="244">
        <v>14</v>
      </c>
      <c r="B371" s="252" t="s">
        <v>1009</v>
      </c>
      <c r="C371" s="271">
        <f>data!CB69</f>
        <v>0</v>
      </c>
      <c r="D371" s="271">
        <f>data!CC69</f>
        <v>3610721</v>
      </c>
      <c r="E371" s="271">
        <f>data!CD69</f>
        <v>-162546350.15000001</v>
      </c>
      <c r="F371" s="276"/>
      <c r="G371" s="276"/>
      <c r="H371" s="276"/>
      <c r="I371" s="271">
        <f>data!CE69</f>
        <v>-50308269.659999996</v>
      </c>
    </row>
    <row r="372" spans="1:9" ht="20.149999999999999" customHeight="1" x14ac:dyDescent="0.35">
      <c r="A372" s="244">
        <v>15</v>
      </c>
      <c r="B372" s="252" t="s">
        <v>284</v>
      </c>
      <c r="C372" s="252">
        <f>-data!CB84</f>
        <v>0</v>
      </c>
      <c r="D372" s="252">
        <f>-data!CC84</f>
        <v>-4929715</v>
      </c>
      <c r="E372" s="252">
        <f>-data!CD84</f>
        <v>-8813547</v>
      </c>
      <c r="F372" s="262"/>
      <c r="G372" s="262"/>
      <c r="H372" s="262"/>
      <c r="I372" s="252">
        <f>-data!CE84</f>
        <v>-27240120</v>
      </c>
    </row>
    <row r="373" spans="1:9" ht="20.149999999999999" customHeight="1" x14ac:dyDescent="0.35">
      <c r="A373" s="244">
        <v>16</v>
      </c>
      <c r="B373" s="260" t="s">
        <v>1010</v>
      </c>
      <c r="C373" s="271">
        <f>data!CB85</f>
        <v>0</v>
      </c>
      <c r="D373" s="271">
        <f>data!CC85</f>
        <v>10619484</v>
      </c>
      <c r="E373" s="271">
        <f>data!CD85</f>
        <v>-171359897.15000001</v>
      </c>
      <c r="F373" s="276"/>
      <c r="G373" s="276"/>
      <c r="H373" s="276"/>
      <c r="I373" s="252">
        <f>data!CE85</f>
        <v>377785095.53000009</v>
      </c>
    </row>
    <row r="374" spans="1:9" ht="20.149999999999999" customHeight="1" x14ac:dyDescent="0.35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49999999999999" customHeight="1" x14ac:dyDescent="0.35">
      <c r="A375" s="244">
        <v>18</v>
      </c>
      <c r="B375" s="252" t="s">
        <v>1011</v>
      </c>
      <c r="C375" s="252"/>
      <c r="D375" s="252"/>
      <c r="E375" s="252"/>
      <c r="F375" s="252"/>
      <c r="G375" s="252"/>
      <c r="H375" s="252"/>
      <c r="I375" s="252"/>
    </row>
    <row r="376" spans="1:9" ht="20.149999999999999" customHeight="1" x14ac:dyDescent="0.35">
      <c r="A376" s="244">
        <v>19</v>
      </c>
      <c r="B376" s="260" t="s">
        <v>1012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545669185</v>
      </c>
    </row>
    <row r="377" spans="1:9" ht="20.149999999999999" customHeight="1" x14ac:dyDescent="0.35">
      <c r="A377" s="244">
        <v>20</v>
      </c>
      <c r="B377" s="260" t="s">
        <v>1013</v>
      </c>
      <c r="C377" s="267" t="str">
        <f>IF(data!CB74&gt;0,data!CB74,"")</f>
        <v/>
      </c>
      <c r="D377" s="267">
        <f>IF(data!CC74&gt;0,data!CC74,"")</f>
        <v>64</v>
      </c>
      <c r="E377" s="262"/>
      <c r="F377" s="262"/>
      <c r="G377" s="262"/>
      <c r="H377" s="262"/>
      <c r="I377" s="268">
        <f>data!CE88</f>
        <v>1244691742</v>
      </c>
    </row>
    <row r="378" spans="1:9" ht="20.149999999999999" customHeight="1" x14ac:dyDescent="0.35">
      <c r="A378" s="244">
        <v>21</v>
      </c>
      <c r="B378" s="260" t="s">
        <v>1014</v>
      </c>
      <c r="C378" s="267" t="str">
        <f>IF(data!CB75&gt;0,data!CB75,"")</f>
        <v/>
      </c>
      <c r="D378" s="267">
        <f>IF(data!CC75&gt;0,data!CC75,"")</f>
        <v>323845</v>
      </c>
      <c r="E378" s="262"/>
      <c r="F378" s="262"/>
      <c r="G378" s="262"/>
      <c r="H378" s="262"/>
      <c r="I378" s="268">
        <f>data!CE89</f>
        <v>1790360927</v>
      </c>
    </row>
    <row r="379" spans="1:9" ht="20.149999999999999" customHeight="1" x14ac:dyDescent="0.35">
      <c r="A379" s="244" t="s">
        <v>1015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49999999999999" customHeight="1" x14ac:dyDescent="0.35">
      <c r="A380" s="244">
        <v>22</v>
      </c>
      <c r="B380" s="252" t="s">
        <v>1016</v>
      </c>
      <c r="C380" s="268">
        <f>data!CB90</f>
        <v>0</v>
      </c>
      <c r="D380" s="268">
        <f>data!CC90</f>
        <v>18344</v>
      </c>
      <c r="E380" s="262"/>
      <c r="F380" s="262"/>
      <c r="G380" s="262"/>
      <c r="H380" s="262"/>
      <c r="I380" s="252">
        <f>data!CE90</f>
        <v>1060797</v>
      </c>
    </row>
    <row r="381" spans="1:9" ht="20.149999999999999" customHeight="1" x14ac:dyDescent="0.35">
      <c r="A381" s="244">
        <v>23</v>
      </c>
      <c r="B381" s="252" t="s">
        <v>1017</v>
      </c>
      <c r="C381" s="268">
        <f>data!CB91</f>
        <v>0</v>
      </c>
      <c r="D381" s="267">
        <f>IF(data!CC77&gt;0,data!CC77,"")</f>
        <v>93914</v>
      </c>
      <c r="E381" s="262"/>
      <c r="F381" s="262"/>
      <c r="G381" s="262"/>
      <c r="H381" s="262"/>
      <c r="I381" s="252">
        <f>data!CE91</f>
        <v>184130</v>
      </c>
    </row>
    <row r="382" spans="1:9" ht="20.149999999999999" customHeight="1" x14ac:dyDescent="0.35">
      <c r="A382" s="244">
        <v>24</v>
      </c>
      <c r="B382" s="252" t="s">
        <v>1018</v>
      </c>
      <c r="C382" s="268">
        <f>data!CB92</f>
        <v>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117104</v>
      </c>
    </row>
    <row r="383" spans="1:9" ht="20.149999999999999" customHeight="1" x14ac:dyDescent="0.35">
      <c r="A383" s="244">
        <v>25</v>
      </c>
      <c r="B383" s="252" t="s">
        <v>1019</v>
      </c>
      <c r="C383" s="268">
        <f>data!CB93</f>
        <v>0</v>
      </c>
      <c r="D383" s="267" t="str">
        <f>IF(data!CC79&gt;0,data!CC79,"")</f>
        <v/>
      </c>
      <c r="E383" s="262"/>
      <c r="F383" s="262"/>
      <c r="G383" s="262"/>
      <c r="H383" s="262"/>
      <c r="I383" s="252">
        <f>data!CE93</f>
        <v>1791467.5280000002</v>
      </c>
    </row>
    <row r="384" spans="1:9" ht="20.149999999999999" customHeight="1" x14ac:dyDescent="0.35">
      <c r="A384" s="244">
        <v>26</v>
      </c>
      <c r="B384" s="252" t="s">
        <v>294</v>
      </c>
      <c r="C384" s="267" t="str">
        <f>IF(data!CB80&gt;0,data!CB80,"")</f>
        <v/>
      </c>
      <c r="D384" s="267" t="str">
        <f>IF(data!CC80&gt;0,data!CC80,"")</f>
        <v/>
      </c>
      <c r="E384" s="274"/>
      <c r="F384" s="262"/>
      <c r="G384" s="262"/>
      <c r="H384" s="262"/>
      <c r="I384" s="259">
        <f>data!CE94</f>
        <v>18.440000000000001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28FC-C2F7-4A97-BED5-54B793306899}">
  <sheetPr syncVertical="1" syncRef="C382" transitionEvaluation="1" transitionEntry="1" codeName="Sheet1">
    <tabColor rgb="FF92D050"/>
    <pageSetUpPr autoPageBreaks="0" fitToPage="1"/>
  </sheetPr>
  <dimension ref="A1:CF716"/>
  <sheetViews>
    <sheetView topLeftCell="A43" zoomScaleNormal="100" workbookViewId="0">
      <pane xSplit="2" ySplit="16" topLeftCell="C382" activePane="bottomRight" state="frozen"/>
      <selection activeCell="Q74" sqref="Q74"/>
      <selection pane="topRight" activeCell="Q74" sqref="Q74"/>
      <selection pane="bottomLeft" activeCell="Q74" sqref="Q74"/>
      <selection pane="bottomRight" activeCell="C128" sqref="C12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18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3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93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ht="16.5" customHeight="1" x14ac:dyDescent="0.35">
      <c r="A34" s="14" t="s">
        <v>27</v>
      </c>
      <c r="B34" s="66"/>
      <c r="C34" s="66"/>
      <c r="D34" s="66"/>
    </row>
    <row r="35" spans="1:83" ht="16.5" customHeight="1" x14ac:dyDescent="0.35">
      <c r="B35" s="66"/>
      <c r="C35" s="66"/>
      <c r="D35" s="66"/>
    </row>
    <row r="36" spans="1:83" x14ac:dyDescent="0.35">
      <c r="A36" s="303" t="s">
        <v>28</v>
      </c>
      <c r="B36" s="304"/>
      <c r="C36" s="305"/>
      <c r="D36" s="304"/>
      <c r="E36" s="304"/>
      <c r="F36" s="304"/>
      <c r="G36" s="306"/>
    </row>
    <row r="37" spans="1:83" x14ac:dyDescent="0.35">
      <c r="A37" s="307" t="s">
        <v>29</v>
      </c>
      <c r="B37" s="308"/>
      <c r="C37" s="309"/>
      <c r="D37" s="310"/>
      <c r="E37" s="310"/>
      <c r="F37" s="310"/>
      <c r="G37" s="311"/>
    </row>
    <row r="38" spans="1:83" x14ac:dyDescent="0.35">
      <c r="A38" s="312" t="s">
        <v>30</v>
      </c>
      <c r="B38" s="308"/>
      <c r="C38" s="309"/>
      <c r="D38" s="310"/>
      <c r="E38" s="310"/>
      <c r="F38" s="310"/>
      <c r="G38" s="311"/>
    </row>
    <row r="39" spans="1:83" x14ac:dyDescent="0.35">
      <c r="A39" s="313" t="s">
        <v>31</v>
      </c>
      <c r="B39" s="310"/>
      <c r="C39" s="309"/>
      <c r="D39" s="310"/>
      <c r="E39" s="310"/>
      <c r="F39" s="310"/>
      <c r="G39" s="311"/>
    </row>
    <row r="40" spans="1:83" x14ac:dyDescent="0.35">
      <c r="A40" s="314" t="s">
        <v>32</v>
      </c>
      <c r="B40" s="315"/>
      <c r="C40" s="316"/>
      <c r="D40" s="315"/>
      <c r="E40" s="315"/>
      <c r="F40" s="315"/>
      <c r="G40" s="31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7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0</v>
      </c>
    </row>
    <row r="48" spans="1:83" x14ac:dyDescent="0.35">
      <c r="A48" s="28" t="s">
        <v>232</v>
      </c>
      <c r="B48" s="277">
        <v>53384198.240000002</v>
      </c>
      <c r="C48" s="28">
        <f t="shared" ref="C48:AH48" si="0">IF($B$48,(ROUND((($B$48/$CE$61)*C61),0)))</f>
        <v>1222630</v>
      </c>
      <c r="D48" s="28">
        <f t="shared" si="0"/>
        <v>0</v>
      </c>
      <c r="E48" s="28">
        <f t="shared" si="0"/>
        <v>4678863</v>
      </c>
      <c r="F48" s="28">
        <f t="shared" si="0"/>
        <v>987707</v>
      </c>
      <c r="G48" s="28">
        <f t="shared" si="0"/>
        <v>0</v>
      </c>
      <c r="H48" s="28">
        <f t="shared" si="0"/>
        <v>913237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1116802</v>
      </c>
      <c r="P48" s="28">
        <f t="shared" si="0"/>
        <v>2042359</v>
      </c>
      <c r="Q48" s="28">
        <f t="shared" si="0"/>
        <v>714849</v>
      </c>
      <c r="R48" s="28">
        <f t="shared" si="0"/>
        <v>47499</v>
      </c>
      <c r="S48" s="28">
        <f t="shared" si="0"/>
        <v>259015</v>
      </c>
      <c r="T48" s="28">
        <f t="shared" si="0"/>
        <v>256355</v>
      </c>
      <c r="U48" s="28">
        <f t="shared" si="0"/>
        <v>1113162</v>
      </c>
      <c r="V48" s="28">
        <f t="shared" si="0"/>
        <v>22803</v>
      </c>
      <c r="W48" s="28">
        <f t="shared" si="0"/>
        <v>263895</v>
      </c>
      <c r="X48" s="28">
        <f t="shared" si="0"/>
        <v>343565</v>
      </c>
      <c r="Y48" s="28">
        <f t="shared" si="0"/>
        <v>1450753</v>
      </c>
      <c r="Z48" s="28">
        <f t="shared" si="0"/>
        <v>293833</v>
      </c>
      <c r="AA48" s="28">
        <f t="shared" si="0"/>
        <v>116250</v>
      </c>
      <c r="AB48" s="28">
        <f t="shared" si="0"/>
        <v>1300699</v>
      </c>
      <c r="AC48" s="28">
        <f t="shared" si="0"/>
        <v>417211</v>
      </c>
      <c r="AD48" s="28">
        <f t="shared" si="0"/>
        <v>0</v>
      </c>
      <c r="AE48" s="28">
        <f t="shared" si="0"/>
        <v>591585</v>
      </c>
      <c r="AF48" s="28">
        <f t="shared" si="0"/>
        <v>0</v>
      </c>
      <c r="AG48" s="28">
        <f t="shared" si="0"/>
        <v>2148939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1597391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15024227</v>
      </c>
      <c r="AQ48" s="28">
        <f t="shared" si="1"/>
        <v>0</v>
      </c>
      <c r="AR48" s="28">
        <f t="shared" si="1"/>
        <v>1748844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4836991</v>
      </c>
      <c r="AW48" s="28">
        <f t="shared" si="1"/>
        <v>0</v>
      </c>
      <c r="AX48" s="28">
        <f t="shared" si="1"/>
        <v>0</v>
      </c>
      <c r="AY48" s="28">
        <f t="shared" si="1"/>
        <v>393707</v>
      </c>
      <c r="AZ48" s="28">
        <f t="shared" si="1"/>
        <v>230004</v>
      </c>
      <c r="BA48" s="28">
        <f t="shared" si="1"/>
        <v>23498</v>
      </c>
      <c r="BB48" s="28">
        <f t="shared" si="1"/>
        <v>0</v>
      </c>
      <c r="BC48" s="28">
        <f t="shared" si="1"/>
        <v>0</v>
      </c>
      <c r="BD48" s="28">
        <f t="shared" si="1"/>
        <v>244215</v>
      </c>
      <c r="BE48" s="28">
        <f t="shared" si="1"/>
        <v>303889</v>
      </c>
      <c r="BF48" s="28">
        <f t="shared" si="1"/>
        <v>565445</v>
      </c>
      <c r="BG48" s="28">
        <f t="shared" si="1"/>
        <v>29867</v>
      </c>
      <c r="BH48" s="28">
        <f t="shared" si="1"/>
        <v>436711</v>
      </c>
      <c r="BI48" s="28">
        <f t="shared" si="1"/>
        <v>2655</v>
      </c>
      <c r="BJ48" s="28">
        <f t="shared" si="1"/>
        <v>162773</v>
      </c>
      <c r="BK48" s="28">
        <f t="shared" si="1"/>
        <v>738527</v>
      </c>
      <c r="BL48" s="28">
        <f t="shared" si="1"/>
        <v>600240</v>
      </c>
      <c r="BM48" s="28">
        <f t="shared" si="1"/>
        <v>215600</v>
      </c>
      <c r="BN48" s="28">
        <f t="shared" si="1"/>
        <v>809103</v>
      </c>
      <c r="BO48" s="28">
        <f t="shared" ref="BO48:CD48" si="2">IF($B$48,(ROUND((($B$48/$CE$61)*BO61),0)))</f>
        <v>76806</v>
      </c>
      <c r="BP48" s="28">
        <f t="shared" si="2"/>
        <v>39621</v>
      </c>
      <c r="BQ48" s="28">
        <f t="shared" si="2"/>
        <v>0</v>
      </c>
      <c r="BR48" s="28">
        <f t="shared" si="2"/>
        <v>531191</v>
      </c>
      <c r="BS48" s="28">
        <f t="shared" si="2"/>
        <v>16753</v>
      </c>
      <c r="BT48" s="28">
        <f t="shared" si="2"/>
        <v>34924</v>
      </c>
      <c r="BU48" s="28">
        <f t="shared" si="2"/>
        <v>0</v>
      </c>
      <c r="BV48" s="28">
        <f t="shared" si="2"/>
        <v>736709</v>
      </c>
      <c r="BW48" s="28">
        <f t="shared" si="2"/>
        <v>56763</v>
      </c>
      <c r="BX48" s="28">
        <f t="shared" si="2"/>
        <v>1266768</v>
      </c>
      <c r="BY48" s="28">
        <f t="shared" si="2"/>
        <v>248829</v>
      </c>
      <c r="BZ48" s="28">
        <f t="shared" si="2"/>
        <v>240334</v>
      </c>
      <c r="CA48" s="28">
        <f t="shared" si="2"/>
        <v>56190</v>
      </c>
      <c r="CB48" s="28">
        <f t="shared" si="2"/>
        <v>0</v>
      </c>
      <c r="CC48" s="28">
        <f t="shared" si="2"/>
        <v>1813613</v>
      </c>
      <c r="CD48" s="28">
        <f t="shared" si="2"/>
        <v>0</v>
      </c>
      <c r="CE48" s="28">
        <f>SUM(C48:CD48)</f>
        <v>53384199</v>
      </c>
    </row>
    <row r="49" spans="1:83" x14ac:dyDescent="0.35">
      <c r="A49" s="16" t="s">
        <v>233</v>
      </c>
      <c r="B49" s="28">
        <f>B47+B48</f>
        <v>53384198.240000002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 spans="1:83" x14ac:dyDescent="0.35">
      <c r="A52" s="35" t="s">
        <v>235</v>
      </c>
      <c r="B52" s="278">
        <v>21976671.309999999</v>
      </c>
      <c r="C52" s="28">
        <f t="shared" ref="C52:AH52" si="3">IF($B$52,ROUND(($B$52/($CE$90+$CF$90)*C90),0))</f>
        <v>233092</v>
      </c>
      <c r="D52" s="28">
        <f t="shared" si="3"/>
        <v>0</v>
      </c>
      <c r="E52" s="28">
        <f t="shared" si="3"/>
        <v>1306254</v>
      </c>
      <c r="F52" s="28">
        <f t="shared" si="3"/>
        <v>384888</v>
      </c>
      <c r="G52" s="28">
        <f t="shared" si="3"/>
        <v>0</v>
      </c>
      <c r="H52" s="28">
        <f t="shared" si="3"/>
        <v>273709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217514</v>
      </c>
      <c r="P52" s="28">
        <f t="shared" si="3"/>
        <v>875659</v>
      </c>
      <c r="Q52" s="28">
        <f t="shared" si="3"/>
        <v>57673</v>
      </c>
      <c r="R52" s="28">
        <f t="shared" si="3"/>
        <v>12848</v>
      </c>
      <c r="S52" s="28">
        <f t="shared" si="3"/>
        <v>704858</v>
      </c>
      <c r="T52" s="28">
        <f t="shared" si="3"/>
        <v>5993</v>
      </c>
      <c r="U52" s="28">
        <f t="shared" si="3"/>
        <v>242615</v>
      </c>
      <c r="V52" s="28">
        <f t="shared" si="3"/>
        <v>4638</v>
      </c>
      <c r="W52" s="28">
        <f t="shared" si="3"/>
        <v>46713</v>
      </c>
      <c r="X52" s="28">
        <f t="shared" si="3"/>
        <v>49073</v>
      </c>
      <c r="Y52" s="28">
        <f t="shared" si="3"/>
        <v>830116</v>
      </c>
      <c r="Z52" s="28">
        <f t="shared" si="3"/>
        <v>260553</v>
      </c>
      <c r="AA52" s="28">
        <f t="shared" si="3"/>
        <v>46959</v>
      </c>
      <c r="AB52" s="28">
        <f t="shared" si="3"/>
        <v>211459</v>
      </c>
      <c r="AC52" s="28">
        <f t="shared" si="3"/>
        <v>63132</v>
      </c>
      <c r="AD52" s="28">
        <f t="shared" si="3"/>
        <v>5480</v>
      </c>
      <c r="AE52" s="28">
        <f t="shared" si="3"/>
        <v>226401</v>
      </c>
      <c r="AF52" s="28">
        <f t="shared" si="3"/>
        <v>0</v>
      </c>
      <c r="AG52" s="28">
        <f t="shared" si="3"/>
        <v>367750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348540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3549636</v>
      </c>
      <c r="AQ52" s="28">
        <f t="shared" si="4"/>
        <v>0</v>
      </c>
      <c r="AR52" s="28">
        <f t="shared" si="4"/>
        <v>706828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223466</v>
      </c>
      <c r="AW52" s="28">
        <f t="shared" si="4"/>
        <v>0</v>
      </c>
      <c r="AX52" s="28">
        <f t="shared" si="4"/>
        <v>0</v>
      </c>
      <c r="AY52" s="28">
        <f t="shared" si="4"/>
        <v>136095</v>
      </c>
      <c r="AZ52" s="28">
        <f t="shared" si="4"/>
        <v>90326</v>
      </c>
      <c r="BA52" s="28">
        <f t="shared" si="4"/>
        <v>53896</v>
      </c>
      <c r="BB52" s="28">
        <f t="shared" si="4"/>
        <v>0</v>
      </c>
      <c r="BC52" s="28">
        <f t="shared" si="4"/>
        <v>0</v>
      </c>
      <c r="BD52" s="28">
        <f t="shared" si="4"/>
        <v>136731</v>
      </c>
      <c r="BE52" s="28">
        <f t="shared" si="4"/>
        <v>8757842</v>
      </c>
      <c r="BF52" s="28">
        <f t="shared" si="4"/>
        <v>29124</v>
      </c>
      <c r="BG52" s="28">
        <f t="shared" si="4"/>
        <v>4023</v>
      </c>
      <c r="BH52" s="28">
        <f t="shared" si="4"/>
        <v>129958</v>
      </c>
      <c r="BI52" s="28">
        <f t="shared" si="4"/>
        <v>19518</v>
      </c>
      <c r="BJ52" s="28">
        <f t="shared" si="4"/>
        <v>54184</v>
      </c>
      <c r="BK52" s="28">
        <f t="shared" si="4"/>
        <v>173818</v>
      </c>
      <c r="BL52" s="28">
        <f t="shared" si="4"/>
        <v>80885</v>
      </c>
      <c r="BM52" s="28">
        <f t="shared" si="4"/>
        <v>46159</v>
      </c>
      <c r="BN52" s="28">
        <f t="shared" si="4"/>
        <v>36184</v>
      </c>
      <c r="BO52" s="28">
        <f t="shared" ref="BO52:CD52" si="5">IF($B$52,ROUND(($B$52/($CE$90+$CF$90)*BO90),0))</f>
        <v>51597</v>
      </c>
      <c r="BP52" s="28">
        <f t="shared" si="5"/>
        <v>75980</v>
      </c>
      <c r="BQ52" s="28">
        <f t="shared" si="5"/>
        <v>0</v>
      </c>
      <c r="BR52" s="28">
        <f t="shared" si="5"/>
        <v>72860</v>
      </c>
      <c r="BS52" s="28">
        <f t="shared" si="5"/>
        <v>10385</v>
      </c>
      <c r="BT52" s="28">
        <f t="shared" si="5"/>
        <v>6137</v>
      </c>
      <c r="BU52" s="28">
        <f t="shared" si="5"/>
        <v>0</v>
      </c>
      <c r="BV52" s="28">
        <f t="shared" si="5"/>
        <v>75980</v>
      </c>
      <c r="BW52" s="28">
        <f t="shared" si="5"/>
        <v>35650</v>
      </c>
      <c r="BX52" s="28">
        <f t="shared" si="5"/>
        <v>42485</v>
      </c>
      <c r="BY52" s="28">
        <f t="shared" si="5"/>
        <v>6157</v>
      </c>
      <c r="BZ52" s="28">
        <f t="shared" si="5"/>
        <v>8682</v>
      </c>
      <c r="CA52" s="28">
        <f t="shared" si="5"/>
        <v>32490</v>
      </c>
      <c r="CB52" s="28">
        <f t="shared" si="5"/>
        <v>425936</v>
      </c>
      <c r="CC52" s="28">
        <f t="shared" si="5"/>
        <v>127742</v>
      </c>
      <c r="CD52" s="28">
        <f t="shared" si="5"/>
        <v>0</v>
      </c>
      <c r="CE52" s="28">
        <f>SUM(C52:CD52)</f>
        <v>21976671</v>
      </c>
    </row>
    <row r="53" spans="1:83" x14ac:dyDescent="0.35">
      <c r="A53" s="16" t="s">
        <v>233</v>
      </c>
      <c r="B53" s="28">
        <f>B51+B52</f>
        <v>21976671.309999999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5379</v>
      </c>
      <c r="D59" s="20">
        <v>0</v>
      </c>
      <c r="E59" s="20">
        <v>42734</v>
      </c>
      <c r="F59" s="20">
        <v>8583</v>
      </c>
      <c r="G59" s="20">
        <v>0</v>
      </c>
      <c r="H59" s="20">
        <v>4680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21595</v>
      </c>
      <c r="P59" s="26">
        <v>958305</v>
      </c>
      <c r="Q59" s="26">
        <v>1228800</v>
      </c>
      <c r="R59" s="26">
        <v>805060</v>
      </c>
      <c r="S59" s="279">
        <v>0</v>
      </c>
      <c r="T59" s="279">
        <v>0</v>
      </c>
      <c r="U59" s="27">
        <v>2825506</v>
      </c>
      <c r="V59" s="26">
        <v>822562</v>
      </c>
      <c r="W59" s="26">
        <v>51385</v>
      </c>
      <c r="X59" s="26">
        <v>142198</v>
      </c>
      <c r="Y59" s="26">
        <v>199183</v>
      </c>
      <c r="Z59" s="26">
        <v>34811</v>
      </c>
      <c r="AA59" s="26">
        <v>20659</v>
      </c>
      <c r="AB59" s="279">
        <v>0</v>
      </c>
      <c r="AC59" s="26">
        <v>20355</v>
      </c>
      <c r="AD59" s="26">
        <v>0</v>
      </c>
      <c r="AE59" s="26">
        <v>61922</v>
      </c>
      <c r="AF59" s="26">
        <v>0</v>
      </c>
      <c r="AG59" s="26">
        <v>90053</v>
      </c>
      <c r="AH59" s="26">
        <v>0</v>
      </c>
      <c r="AI59" s="26">
        <v>0</v>
      </c>
      <c r="AJ59" s="26">
        <v>27989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41712</v>
      </c>
      <c r="AQ59" s="26">
        <v>0</v>
      </c>
      <c r="AR59" s="26">
        <v>44432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197802.78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1070776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35">
      <c r="A60" s="218" t="s">
        <v>262</v>
      </c>
      <c r="B60" s="219"/>
      <c r="C60" s="280">
        <v>47.48</v>
      </c>
      <c r="D60" s="280">
        <v>0</v>
      </c>
      <c r="E60" s="280">
        <v>242.95</v>
      </c>
      <c r="F60" s="280">
        <v>42.38</v>
      </c>
      <c r="G60" s="280">
        <v>0</v>
      </c>
      <c r="H60" s="280">
        <v>36.799999999999997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48.87</v>
      </c>
      <c r="P60" s="281">
        <v>105.59</v>
      </c>
      <c r="Q60" s="281">
        <v>30.89</v>
      </c>
      <c r="R60" s="281">
        <v>2.42</v>
      </c>
      <c r="S60" s="282">
        <v>21.76</v>
      </c>
      <c r="T60" s="282">
        <v>9.4</v>
      </c>
      <c r="U60" s="283">
        <v>73.599999999999994</v>
      </c>
      <c r="V60" s="281">
        <v>2.2200000000000002</v>
      </c>
      <c r="W60" s="281">
        <v>11.01</v>
      </c>
      <c r="X60" s="281">
        <v>15.89</v>
      </c>
      <c r="Y60" s="281">
        <v>73.739999999999995</v>
      </c>
      <c r="Z60" s="281">
        <v>11.84</v>
      </c>
      <c r="AA60" s="281">
        <v>5.24</v>
      </c>
      <c r="AB60" s="282">
        <v>62.23</v>
      </c>
      <c r="AC60" s="281">
        <v>18</v>
      </c>
      <c r="AD60" s="281">
        <v>0</v>
      </c>
      <c r="AE60" s="281">
        <v>25.96</v>
      </c>
      <c r="AF60" s="281">
        <v>0</v>
      </c>
      <c r="AG60" s="281">
        <v>104.36</v>
      </c>
      <c r="AH60" s="281">
        <v>0</v>
      </c>
      <c r="AI60" s="281">
        <v>0</v>
      </c>
      <c r="AJ60" s="281">
        <v>66.16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390.48</v>
      </c>
      <c r="AQ60" s="281">
        <v>0</v>
      </c>
      <c r="AR60" s="281">
        <v>78.63</v>
      </c>
      <c r="AS60" s="281">
        <v>0</v>
      </c>
      <c r="AT60" s="281">
        <v>0</v>
      </c>
      <c r="AU60" s="281">
        <v>0</v>
      </c>
      <c r="AV60" s="282">
        <v>130.38999999999999</v>
      </c>
      <c r="AW60" s="282">
        <v>0</v>
      </c>
      <c r="AX60" s="282">
        <v>0</v>
      </c>
      <c r="AY60" s="281">
        <v>34.57</v>
      </c>
      <c r="AZ60" s="281">
        <v>23.8</v>
      </c>
      <c r="BA60" s="282">
        <v>2.68</v>
      </c>
      <c r="BB60" s="282">
        <v>0</v>
      </c>
      <c r="BC60" s="282">
        <v>0</v>
      </c>
      <c r="BD60" s="282">
        <v>19.36</v>
      </c>
      <c r="BE60" s="281">
        <v>20.11</v>
      </c>
      <c r="BF60" s="282">
        <v>65.89</v>
      </c>
      <c r="BG60" s="282">
        <v>3.29</v>
      </c>
      <c r="BH60" s="282">
        <v>23.03</v>
      </c>
      <c r="BI60" s="282">
        <v>0.36</v>
      </c>
      <c r="BJ60" s="282">
        <v>9.68</v>
      </c>
      <c r="BK60" s="282">
        <v>63.8</v>
      </c>
      <c r="BL60" s="282">
        <v>53.56</v>
      </c>
      <c r="BM60" s="282">
        <v>8.89</v>
      </c>
      <c r="BN60" s="282">
        <v>8.74</v>
      </c>
      <c r="BO60" s="282">
        <v>3.69</v>
      </c>
      <c r="BP60" s="282">
        <v>1.78</v>
      </c>
      <c r="BQ60" s="282">
        <v>0</v>
      </c>
      <c r="BR60" s="282">
        <v>23.2</v>
      </c>
      <c r="BS60" s="282">
        <v>1</v>
      </c>
      <c r="BT60" s="282">
        <v>2.1800000000000002</v>
      </c>
      <c r="BU60" s="282">
        <v>0</v>
      </c>
      <c r="BV60" s="282">
        <v>59.54</v>
      </c>
      <c r="BW60" s="282">
        <v>3.46</v>
      </c>
      <c r="BX60" s="282">
        <v>53.61</v>
      </c>
      <c r="BY60" s="282">
        <v>11.77</v>
      </c>
      <c r="BZ60" s="282">
        <v>15.95</v>
      </c>
      <c r="CA60" s="282">
        <v>1.96</v>
      </c>
      <c r="CB60" s="282">
        <v>0</v>
      </c>
      <c r="CC60" s="282">
        <v>97.89</v>
      </c>
      <c r="CD60" s="220" t="s">
        <v>248</v>
      </c>
      <c r="CE60" s="238">
        <f t="shared" ref="CE60:CE68" si="6">SUM(C60:CD60)</f>
        <v>2272.08</v>
      </c>
    </row>
    <row r="61" spans="1:83" x14ac:dyDescent="0.35">
      <c r="A61" s="35" t="s">
        <v>263</v>
      </c>
      <c r="B61" s="16"/>
      <c r="C61" s="20">
        <v>5383478</v>
      </c>
      <c r="D61" s="20">
        <v>0</v>
      </c>
      <c r="E61" s="20">
        <v>20601954</v>
      </c>
      <c r="F61" s="20">
        <v>4349067</v>
      </c>
      <c r="G61" s="20">
        <v>0</v>
      </c>
      <c r="H61" s="20">
        <v>4021161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4917497</v>
      </c>
      <c r="P61" s="26">
        <v>8992906</v>
      </c>
      <c r="Q61" s="26">
        <v>3147619</v>
      </c>
      <c r="R61" s="26">
        <v>209146</v>
      </c>
      <c r="S61" s="284">
        <v>1140495</v>
      </c>
      <c r="T61" s="284">
        <v>1128783</v>
      </c>
      <c r="U61" s="27">
        <v>4901472</v>
      </c>
      <c r="V61" s="26">
        <v>100407</v>
      </c>
      <c r="W61" s="26">
        <v>1161983</v>
      </c>
      <c r="X61" s="26">
        <v>1512784</v>
      </c>
      <c r="Y61" s="26">
        <v>6387948</v>
      </c>
      <c r="Z61" s="26">
        <v>1293806</v>
      </c>
      <c r="AA61" s="26">
        <v>511870</v>
      </c>
      <c r="AB61" s="285">
        <v>5727231</v>
      </c>
      <c r="AC61" s="26">
        <v>1837060</v>
      </c>
      <c r="AD61" s="26">
        <v>0</v>
      </c>
      <c r="AE61" s="26">
        <v>2604864</v>
      </c>
      <c r="AF61" s="26">
        <v>0</v>
      </c>
      <c r="AG61" s="26">
        <v>9462201</v>
      </c>
      <c r="AH61" s="26">
        <v>0</v>
      </c>
      <c r="AI61" s="26">
        <v>0</v>
      </c>
      <c r="AJ61" s="26">
        <v>7033624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66154619</v>
      </c>
      <c r="AQ61" s="26">
        <v>0</v>
      </c>
      <c r="AR61" s="26">
        <v>7700505</v>
      </c>
      <c r="AS61" s="26">
        <v>0</v>
      </c>
      <c r="AT61" s="26">
        <v>0</v>
      </c>
      <c r="AU61" s="26">
        <v>0</v>
      </c>
      <c r="AV61" s="284">
        <v>21298221</v>
      </c>
      <c r="AW61" s="284">
        <v>0</v>
      </c>
      <c r="AX61" s="284">
        <v>0</v>
      </c>
      <c r="AY61" s="26">
        <v>1733571</v>
      </c>
      <c r="AZ61" s="26">
        <v>1012754</v>
      </c>
      <c r="BA61" s="284">
        <v>103467</v>
      </c>
      <c r="BB61" s="284">
        <v>0</v>
      </c>
      <c r="BC61" s="284">
        <v>0</v>
      </c>
      <c r="BD61" s="284">
        <v>1075325</v>
      </c>
      <c r="BE61" s="26">
        <v>1338083</v>
      </c>
      <c r="BF61" s="284">
        <v>2489766</v>
      </c>
      <c r="BG61" s="284">
        <v>131510</v>
      </c>
      <c r="BH61" s="284">
        <v>1922926</v>
      </c>
      <c r="BI61" s="284">
        <v>11690</v>
      </c>
      <c r="BJ61" s="284">
        <v>716720</v>
      </c>
      <c r="BK61" s="284">
        <v>3251878</v>
      </c>
      <c r="BL61" s="284">
        <v>2642976</v>
      </c>
      <c r="BM61" s="284">
        <v>949329</v>
      </c>
      <c r="BN61" s="284">
        <v>3562639</v>
      </c>
      <c r="BO61" s="284">
        <v>338191</v>
      </c>
      <c r="BP61" s="284">
        <v>174459</v>
      </c>
      <c r="BQ61" s="284">
        <v>0</v>
      </c>
      <c r="BR61" s="284">
        <v>2338940</v>
      </c>
      <c r="BS61" s="284">
        <v>73768</v>
      </c>
      <c r="BT61" s="284">
        <v>153778</v>
      </c>
      <c r="BU61" s="284">
        <v>0</v>
      </c>
      <c r="BV61" s="284">
        <v>3243873</v>
      </c>
      <c r="BW61" s="284">
        <v>249937</v>
      </c>
      <c r="BX61" s="284">
        <v>5577829</v>
      </c>
      <c r="BY61" s="284">
        <v>1095644</v>
      </c>
      <c r="BZ61" s="284">
        <v>1058237</v>
      </c>
      <c r="CA61" s="284">
        <v>247416</v>
      </c>
      <c r="CB61" s="284">
        <v>0</v>
      </c>
      <c r="CC61" s="284">
        <v>7985695</v>
      </c>
      <c r="CD61" s="25" t="s">
        <v>248</v>
      </c>
      <c r="CE61" s="28">
        <f t="shared" si="6"/>
        <v>235061102</v>
      </c>
    </row>
    <row r="62" spans="1:83" x14ac:dyDescent="0.35">
      <c r="A62" s="35" t="s">
        <v>11</v>
      </c>
      <c r="B62" s="16"/>
      <c r="C62" s="28">
        <f t="shared" ref="C62:AH62" si="7">ROUND(C47+C48,0)</f>
        <v>1222630</v>
      </c>
      <c r="D62" s="28">
        <f t="shared" si="7"/>
        <v>0</v>
      </c>
      <c r="E62" s="28">
        <f t="shared" si="7"/>
        <v>4678863</v>
      </c>
      <c r="F62" s="28">
        <f t="shared" si="7"/>
        <v>987707</v>
      </c>
      <c r="G62" s="28">
        <f t="shared" si="7"/>
        <v>0</v>
      </c>
      <c r="H62" s="28">
        <f t="shared" si="7"/>
        <v>913237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1116802</v>
      </c>
      <c r="P62" s="28">
        <f t="shared" si="7"/>
        <v>2042359</v>
      </c>
      <c r="Q62" s="28">
        <f t="shared" si="7"/>
        <v>714849</v>
      </c>
      <c r="R62" s="28">
        <f t="shared" si="7"/>
        <v>47499</v>
      </c>
      <c r="S62" s="28">
        <f t="shared" si="7"/>
        <v>259015</v>
      </c>
      <c r="T62" s="28">
        <f t="shared" si="7"/>
        <v>256355</v>
      </c>
      <c r="U62" s="28">
        <f t="shared" si="7"/>
        <v>1113162</v>
      </c>
      <c r="V62" s="28">
        <f t="shared" si="7"/>
        <v>22803</v>
      </c>
      <c r="W62" s="28">
        <f t="shared" si="7"/>
        <v>263895</v>
      </c>
      <c r="X62" s="28">
        <f t="shared" si="7"/>
        <v>343565</v>
      </c>
      <c r="Y62" s="28">
        <f t="shared" si="7"/>
        <v>1450753</v>
      </c>
      <c r="Z62" s="28">
        <f t="shared" si="7"/>
        <v>293833</v>
      </c>
      <c r="AA62" s="28">
        <f t="shared" si="7"/>
        <v>116250</v>
      </c>
      <c r="AB62" s="28">
        <f t="shared" si="7"/>
        <v>1300699</v>
      </c>
      <c r="AC62" s="28">
        <f t="shared" si="7"/>
        <v>417211</v>
      </c>
      <c r="AD62" s="28">
        <f t="shared" si="7"/>
        <v>0</v>
      </c>
      <c r="AE62" s="28">
        <f t="shared" si="7"/>
        <v>591585</v>
      </c>
      <c r="AF62" s="28">
        <f t="shared" si="7"/>
        <v>0</v>
      </c>
      <c r="AG62" s="28">
        <f t="shared" si="7"/>
        <v>2148939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1597391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15024227</v>
      </c>
      <c r="AQ62" s="28">
        <f t="shared" si="8"/>
        <v>0</v>
      </c>
      <c r="AR62" s="28">
        <f t="shared" si="8"/>
        <v>1748844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4836991</v>
      </c>
      <c r="AW62" s="28">
        <f t="shared" si="8"/>
        <v>0</v>
      </c>
      <c r="AX62" s="28">
        <f t="shared" si="8"/>
        <v>0</v>
      </c>
      <c r="AY62" s="28">
        <f t="shared" si="8"/>
        <v>393707</v>
      </c>
      <c r="AZ62" s="28">
        <f t="shared" si="8"/>
        <v>230004</v>
      </c>
      <c r="BA62" s="28">
        <f t="shared" si="8"/>
        <v>23498</v>
      </c>
      <c r="BB62" s="28">
        <f t="shared" si="8"/>
        <v>0</v>
      </c>
      <c r="BC62" s="28">
        <f t="shared" si="8"/>
        <v>0</v>
      </c>
      <c r="BD62" s="28">
        <f t="shared" si="8"/>
        <v>244215</v>
      </c>
      <c r="BE62" s="28">
        <f t="shared" si="8"/>
        <v>303889</v>
      </c>
      <c r="BF62" s="28">
        <f t="shared" si="8"/>
        <v>565445</v>
      </c>
      <c r="BG62" s="28">
        <f t="shared" si="8"/>
        <v>29867</v>
      </c>
      <c r="BH62" s="28">
        <f t="shared" si="8"/>
        <v>436711</v>
      </c>
      <c r="BI62" s="28">
        <f t="shared" si="8"/>
        <v>2655</v>
      </c>
      <c r="BJ62" s="28">
        <f t="shared" si="8"/>
        <v>162773</v>
      </c>
      <c r="BK62" s="28">
        <f t="shared" si="8"/>
        <v>738527</v>
      </c>
      <c r="BL62" s="28">
        <f t="shared" si="8"/>
        <v>600240</v>
      </c>
      <c r="BM62" s="28">
        <f t="shared" si="8"/>
        <v>215600</v>
      </c>
      <c r="BN62" s="28">
        <f t="shared" si="8"/>
        <v>809103</v>
      </c>
      <c r="BO62" s="28">
        <f t="shared" ref="BO62:CC62" si="9">ROUND(BO47+BO48,0)</f>
        <v>76806</v>
      </c>
      <c r="BP62" s="28">
        <f t="shared" si="9"/>
        <v>39621</v>
      </c>
      <c r="BQ62" s="28">
        <f t="shared" si="9"/>
        <v>0</v>
      </c>
      <c r="BR62" s="28">
        <f t="shared" si="9"/>
        <v>531191</v>
      </c>
      <c r="BS62" s="28">
        <f t="shared" si="9"/>
        <v>16753</v>
      </c>
      <c r="BT62" s="28">
        <f t="shared" si="9"/>
        <v>34924</v>
      </c>
      <c r="BU62" s="28">
        <f t="shared" si="9"/>
        <v>0</v>
      </c>
      <c r="BV62" s="28">
        <f t="shared" si="9"/>
        <v>736709</v>
      </c>
      <c r="BW62" s="28">
        <f t="shared" si="9"/>
        <v>56763</v>
      </c>
      <c r="BX62" s="28">
        <f t="shared" si="9"/>
        <v>1266768</v>
      </c>
      <c r="BY62" s="28">
        <f t="shared" si="9"/>
        <v>248829</v>
      </c>
      <c r="BZ62" s="28">
        <f t="shared" si="9"/>
        <v>240334</v>
      </c>
      <c r="CA62" s="28">
        <f t="shared" si="9"/>
        <v>56190</v>
      </c>
      <c r="CB62" s="28">
        <f t="shared" si="9"/>
        <v>0</v>
      </c>
      <c r="CC62" s="28">
        <f t="shared" si="9"/>
        <v>1813613</v>
      </c>
      <c r="CD62" s="25" t="s">
        <v>248</v>
      </c>
      <c r="CE62" s="28">
        <f t="shared" si="6"/>
        <v>53384199</v>
      </c>
    </row>
    <row r="63" spans="1:83" x14ac:dyDescent="0.35">
      <c r="A63" s="35" t="s">
        <v>264</v>
      </c>
      <c r="B63" s="16"/>
      <c r="C63" s="20">
        <v>606612</v>
      </c>
      <c r="D63" s="20">
        <v>0</v>
      </c>
      <c r="E63" s="20">
        <v>0</v>
      </c>
      <c r="F63" s="20">
        <v>0</v>
      </c>
      <c r="G63" s="20">
        <v>0</v>
      </c>
      <c r="H63" s="20">
        <v>541863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16625</v>
      </c>
      <c r="Q63" s="26">
        <v>2500000</v>
      </c>
      <c r="R63" s="26">
        <v>0</v>
      </c>
      <c r="S63" s="284">
        <v>0</v>
      </c>
      <c r="T63" s="284">
        <v>0</v>
      </c>
      <c r="U63" s="27">
        <v>132957</v>
      </c>
      <c r="V63" s="26">
        <v>0</v>
      </c>
      <c r="W63" s="26">
        <v>0</v>
      </c>
      <c r="X63" s="26">
        <v>0</v>
      </c>
      <c r="Y63" s="26">
        <v>71592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13814828</v>
      </c>
      <c r="AH63" s="26">
        <v>0</v>
      </c>
      <c r="AI63" s="26">
        <v>0</v>
      </c>
      <c r="AJ63" s="26">
        <v>1982452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12974092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2192550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58972.5</v>
      </c>
      <c r="BI63" s="284">
        <v>2708333.29</v>
      </c>
      <c r="BJ63" s="284">
        <v>0</v>
      </c>
      <c r="BK63" s="284">
        <v>0</v>
      </c>
      <c r="BL63" s="284">
        <v>0</v>
      </c>
      <c r="BM63" s="284">
        <v>457910</v>
      </c>
      <c r="BN63" s="284">
        <v>757906</v>
      </c>
      <c r="BO63" s="284">
        <v>0</v>
      </c>
      <c r="BP63" s="284">
        <v>0</v>
      </c>
      <c r="BQ63" s="284">
        <v>0</v>
      </c>
      <c r="BR63" s="284">
        <v>-1440</v>
      </c>
      <c r="BS63" s="284">
        <v>0</v>
      </c>
      <c r="BT63" s="284">
        <v>0</v>
      </c>
      <c r="BU63" s="284">
        <v>0</v>
      </c>
      <c r="BV63" s="284">
        <v>0</v>
      </c>
      <c r="BW63" s="284">
        <v>42000</v>
      </c>
      <c r="BX63" s="284">
        <v>0</v>
      </c>
      <c r="BY63" s="284">
        <v>0</v>
      </c>
      <c r="BZ63" s="284">
        <v>96251</v>
      </c>
      <c r="CA63" s="284">
        <v>0</v>
      </c>
      <c r="CB63" s="284">
        <v>0</v>
      </c>
      <c r="CC63" s="284">
        <v>40653</v>
      </c>
      <c r="CD63" s="25" t="s">
        <v>248</v>
      </c>
      <c r="CE63" s="28">
        <f t="shared" si="6"/>
        <v>38994156.789999999</v>
      </c>
    </row>
    <row r="64" spans="1:83" x14ac:dyDescent="0.35">
      <c r="A64" s="35" t="s">
        <v>265</v>
      </c>
      <c r="B64" s="16"/>
      <c r="C64" s="20">
        <v>528043</v>
      </c>
      <c r="D64" s="20">
        <v>0</v>
      </c>
      <c r="E64" s="20">
        <v>1521076</v>
      </c>
      <c r="F64" s="20">
        <v>162409</v>
      </c>
      <c r="G64" s="20">
        <v>0</v>
      </c>
      <c r="H64" s="20">
        <v>61368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695639</v>
      </c>
      <c r="P64" s="26">
        <v>19436507</v>
      </c>
      <c r="Q64" s="26">
        <v>2072</v>
      </c>
      <c r="R64" s="26">
        <v>-176</v>
      </c>
      <c r="S64" s="284">
        <v>821066</v>
      </c>
      <c r="T64" s="284">
        <v>4540346</v>
      </c>
      <c r="U64" s="27">
        <v>15437</v>
      </c>
      <c r="V64" s="26">
        <v>1738</v>
      </c>
      <c r="W64" s="26">
        <v>40484</v>
      </c>
      <c r="X64" s="26">
        <v>377196</v>
      </c>
      <c r="Y64" s="26">
        <v>9512829</v>
      </c>
      <c r="Z64" s="26">
        <v>61289</v>
      </c>
      <c r="AA64" s="26">
        <v>566457</v>
      </c>
      <c r="AB64" s="285">
        <v>12284941</v>
      </c>
      <c r="AC64" s="26">
        <v>490870</v>
      </c>
      <c r="AD64" s="26">
        <v>0</v>
      </c>
      <c r="AE64" s="26">
        <v>15855</v>
      </c>
      <c r="AF64" s="26">
        <v>0</v>
      </c>
      <c r="AG64" s="26">
        <v>1800184</v>
      </c>
      <c r="AH64" s="26">
        <v>0</v>
      </c>
      <c r="AI64" s="26">
        <v>0</v>
      </c>
      <c r="AJ64" s="26">
        <v>27702734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3331411</v>
      </c>
      <c r="AQ64" s="26">
        <v>0</v>
      </c>
      <c r="AR64" s="26">
        <v>1334473</v>
      </c>
      <c r="AS64" s="26">
        <v>0</v>
      </c>
      <c r="AT64" s="26">
        <v>0</v>
      </c>
      <c r="AU64" s="26">
        <v>0</v>
      </c>
      <c r="AV64" s="284">
        <v>10466966</v>
      </c>
      <c r="AW64" s="284">
        <v>0</v>
      </c>
      <c r="AX64" s="284">
        <v>0</v>
      </c>
      <c r="AY64" s="26">
        <v>583018</v>
      </c>
      <c r="AZ64" s="26">
        <v>884307</v>
      </c>
      <c r="BA64" s="284">
        <v>342664.19</v>
      </c>
      <c r="BB64" s="284">
        <v>0</v>
      </c>
      <c r="BC64" s="284">
        <v>0</v>
      </c>
      <c r="BD64" s="284">
        <v>-178377</v>
      </c>
      <c r="BE64" s="26">
        <v>145552</v>
      </c>
      <c r="BF64" s="284">
        <v>304208</v>
      </c>
      <c r="BG64" s="284">
        <v>244</v>
      </c>
      <c r="BH64" s="284">
        <v>320</v>
      </c>
      <c r="BI64" s="284">
        <v>5510</v>
      </c>
      <c r="BJ64" s="284">
        <v>1040</v>
      </c>
      <c r="BK64" s="284">
        <v>10362</v>
      </c>
      <c r="BL64" s="284">
        <v>53494</v>
      </c>
      <c r="BM64" s="284">
        <v>112</v>
      </c>
      <c r="BN64" s="284">
        <v>24031</v>
      </c>
      <c r="BO64" s="284">
        <v>102385</v>
      </c>
      <c r="BP64" s="284">
        <v>882</v>
      </c>
      <c r="BQ64" s="284">
        <v>0</v>
      </c>
      <c r="BR64" s="284">
        <v>1687</v>
      </c>
      <c r="BS64" s="284">
        <v>373</v>
      </c>
      <c r="BT64" s="284">
        <v>67.33</v>
      </c>
      <c r="BU64" s="284">
        <v>0</v>
      </c>
      <c r="BV64" s="284">
        <v>5204</v>
      </c>
      <c r="BW64" s="284">
        <v>616</v>
      </c>
      <c r="BX64" s="284">
        <v>8253</v>
      </c>
      <c r="BY64" s="284">
        <v>1604</v>
      </c>
      <c r="BZ64" s="284">
        <v>639112</v>
      </c>
      <c r="CA64" s="284">
        <v>11226</v>
      </c>
      <c r="CB64" s="284">
        <v>0</v>
      </c>
      <c r="CC64" s="284">
        <v>254020</v>
      </c>
      <c r="CD64" s="25" t="s">
        <v>248</v>
      </c>
      <c r="CE64" s="28">
        <f t="shared" si="6"/>
        <v>98973128.519999996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46101</v>
      </c>
      <c r="Q65" s="26">
        <v>0</v>
      </c>
      <c r="R65" s="26">
        <v>0</v>
      </c>
      <c r="S65" s="284">
        <v>0</v>
      </c>
      <c r="T65" s="284">
        <v>0</v>
      </c>
      <c r="U65" s="27">
        <v>7448</v>
      </c>
      <c r="V65" s="26">
        <v>0</v>
      </c>
      <c r="W65" s="26">
        <v>0</v>
      </c>
      <c r="X65" s="26">
        <v>0</v>
      </c>
      <c r="Y65" s="26">
        <v>157983</v>
      </c>
      <c r="Z65" s="26">
        <v>0</v>
      </c>
      <c r="AA65" s="26">
        <v>0</v>
      </c>
      <c r="AB65" s="285">
        <v>4378</v>
      </c>
      <c r="AC65" s="26">
        <v>0</v>
      </c>
      <c r="AD65" s="26">
        <v>0</v>
      </c>
      <c r="AE65" s="26">
        <v>10470</v>
      </c>
      <c r="AF65" s="26">
        <v>0</v>
      </c>
      <c r="AG65" s="26">
        <v>0</v>
      </c>
      <c r="AH65" s="26">
        <v>0</v>
      </c>
      <c r="AI65" s="26">
        <v>0</v>
      </c>
      <c r="AJ65" s="26">
        <v>163914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351793</v>
      </c>
      <c r="AQ65" s="26">
        <v>0</v>
      </c>
      <c r="AR65" s="26">
        <v>84387</v>
      </c>
      <c r="AS65" s="26">
        <v>0</v>
      </c>
      <c r="AT65" s="26">
        <v>0</v>
      </c>
      <c r="AU65" s="26">
        <v>0</v>
      </c>
      <c r="AV65" s="284">
        <v>22626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2295722</v>
      </c>
      <c r="BF65" s="284">
        <v>118346</v>
      </c>
      <c r="BG65" s="284">
        <v>0</v>
      </c>
      <c r="BH65" s="284">
        <v>0</v>
      </c>
      <c r="BI65" s="284">
        <v>1373</v>
      </c>
      <c r="BJ65" s="284">
        <v>0</v>
      </c>
      <c r="BK65" s="284">
        <v>0</v>
      </c>
      <c r="BL65" s="284">
        <v>3</v>
      </c>
      <c r="BM65" s="284">
        <v>18238.099999999999</v>
      </c>
      <c r="BN65" s="284">
        <v>617</v>
      </c>
      <c r="BO65" s="284">
        <v>4722</v>
      </c>
      <c r="BP65" s="284">
        <v>5843</v>
      </c>
      <c r="BQ65" s="284">
        <v>0</v>
      </c>
      <c r="BR65" s="284">
        <v>121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2562</v>
      </c>
      <c r="BY65" s="284">
        <v>0</v>
      </c>
      <c r="BZ65" s="284">
        <v>0</v>
      </c>
      <c r="CA65" s="284">
        <v>60</v>
      </c>
      <c r="CB65" s="284">
        <v>0</v>
      </c>
      <c r="CC65" s="284">
        <v>169366</v>
      </c>
      <c r="CD65" s="25" t="s">
        <v>248</v>
      </c>
      <c r="CE65" s="28">
        <f t="shared" si="6"/>
        <v>3466073.1</v>
      </c>
    </row>
    <row r="66" spans="1:83" x14ac:dyDescent="0.35">
      <c r="A66" s="35" t="s">
        <v>267</v>
      </c>
      <c r="B66" s="16"/>
      <c r="C66" s="20">
        <v>14468</v>
      </c>
      <c r="D66" s="20">
        <v>0</v>
      </c>
      <c r="E66" s="20">
        <v>1271</v>
      </c>
      <c r="F66" s="20">
        <v>0</v>
      </c>
      <c r="G66" s="20">
        <v>0</v>
      </c>
      <c r="H66" s="20">
        <v>920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1950</v>
      </c>
      <c r="P66" s="26">
        <v>1542666</v>
      </c>
      <c r="Q66" s="26">
        <v>0</v>
      </c>
      <c r="R66" s="26">
        <v>0</v>
      </c>
      <c r="S66" s="284">
        <v>2048</v>
      </c>
      <c r="T66" s="284">
        <v>0</v>
      </c>
      <c r="U66" s="27">
        <v>1907490</v>
      </c>
      <c r="V66" s="26">
        <v>0</v>
      </c>
      <c r="W66" s="26">
        <v>448772</v>
      </c>
      <c r="X66" s="26">
        <v>236610</v>
      </c>
      <c r="Y66" s="26">
        <v>352194</v>
      </c>
      <c r="Z66" s="26">
        <v>1085406</v>
      </c>
      <c r="AA66" s="26">
        <v>59874</v>
      </c>
      <c r="AB66" s="285">
        <v>204638</v>
      </c>
      <c r="AC66" s="26">
        <v>518</v>
      </c>
      <c r="AD66" s="26">
        <v>1778074</v>
      </c>
      <c r="AE66" s="26">
        <v>16</v>
      </c>
      <c r="AF66" s="26">
        <v>0</v>
      </c>
      <c r="AG66" s="26">
        <v>1327618</v>
      </c>
      <c r="AH66" s="26">
        <v>0</v>
      </c>
      <c r="AI66" s="26">
        <v>0</v>
      </c>
      <c r="AJ66" s="26">
        <v>81067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3838098</v>
      </c>
      <c r="AQ66" s="26">
        <v>0</v>
      </c>
      <c r="AR66" s="26">
        <v>1019592</v>
      </c>
      <c r="AS66" s="26">
        <v>0</v>
      </c>
      <c r="AT66" s="26">
        <v>0</v>
      </c>
      <c r="AU66" s="26">
        <v>0</v>
      </c>
      <c r="AV66" s="284">
        <v>444009</v>
      </c>
      <c r="AW66" s="284">
        <v>0</v>
      </c>
      <c r="AX66" s="284">
        <v>0</v>
      </c>
      <c r="AY66" s="26">
        <v>1621</v>
      </c>
      <c r="AZ66" s="26">
        <v>675.79</v>
      </c>
      <c r="BA66" s="284">
        <v>44676</v>
      </c>
      <c r="BB66" s="284">
        <v>0</v>
      </c>
      <c r="BC66" s="284">
        <v>0</v>
      </c>
      <c r="BD66" s="284">
        <v>3807.27</v>
      </c>
      <c r="BE66" s="26">
        <v>286045</v>
      </c>
      <c r="BF66" s="284">
        <v>100485</v>
      </c>
      <c r="BG66" s="284">
        <v>46653.22</v>
      </c>
      <c r="BH66" s="284">
        <v>305510</v>
      </c>
      <c r="BI66" s="284">
        <v>2424331</v>
      </c>
      <c r="BJ66" s="284">
        <v>9331</v>
      </c>
      <c r="BK66" s="284">
        <v>1892008</v>
      </c>
      <c r="BL66" s="284">
        <v>1254387</v>
      </c>
      <c r="BM66" s="284">
        <v>76063</v>
      </c>
      <c r="BN66" s="284">
        <v>468688</v>
      </c>
      <c r="BO66" s="284">
        <v>73735</v>
      </c>
      <c r="BP66" s="284">
        <v>26876</v>
      </c>
      <c r="BQ66" s="284">
        <v>0</v>
      </c>
      <c r="BR66" s="284">
        <v>48414</v>
      </c>
      <c r="BS66" s="284">
        <v>443</v>
      </c>
      <c r="BT66" s="284">
        <v>0</v>
      </c>
      <c r="BU66" s="284">
        <v>0</v>
      </c>
      <c r="BV66" s="284">
        <v>1063763</v>
      </c>
      <c r="BW66" s="284">
        <v>65961</v>
      </c>
      <c r="BX66" s="284">
        <v>1001925</v>
      </c>
      <c r="BY66" s="284">
        <v>15111.49</v>
      </c>
      <c r="BZ66" s="284">
        <v>682</v>
      </c>
      <c r="CA66" s="284">
        <v>1140</v>
      </c>
      <c r="CB66" s="284">
        <v>0</v>
      </c>
      <c r="CC66" s="284">
        <v>1189327</v>
      </c>
      <c r="CD66" s="25" t="s">
        <v>248</v>
      </c>
      <c r="CE66" s="28">
        <f t="shared" si="6"/>
        <v>24748957.77</v>
      </c>
    </row>
    <row r="67" spans="1:83" x14ac:dyDescent="0.35">
      <c r="A67" s="35" t="s">
        <v>16</v>
      </c>
      <c r="B67" s="16"/>
      <c r="C67" s="28">
        <f t="shared" ref="C67:AH67" si="10">ROUND(C51+C52,0)</f>
        <v>233092</v>
      </c>
      <c r="D67" s="28">
        <f t="shared" si="10"/>
        <v>0</v>
      </c>
      <c r="E67" s="28">
        <f t="shared" si="10"/>
        <v>1306254</v>
      </c>
      <c r="F67" s="28">
        <f t="shared" si="10"/>
        <v>384888</v>
      </c>
      <c r="G67" s="28">
        <f t="shared" si="10"/>
        <v>0</v>
      </c>
      <c r="H67" s="28">
        <f t="shared" si="10"/>
        <v>273709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217514</v>
      </c>
      <c r="P67" s="28">
        <f t="shared" si="10"/>
        <v>875659</v>
      </c>
      <c r="Q67" s="28">
        <f t="shared" si="10"/>
        <v>57673</v>
      </c>
      <c r="R67" s="28">
        <f t="shared" si="10"/>
        <v>12848</v>
      </c>
      <c r="S67" s="28">
        <f t="shared" si="10"/>
        <v>704858</v>
      </c>
      <c r="T67" s="28">
        <f t="shared" si="10"/>
        <v>5993</v>
      </c>
      <c r="U67" s="28">
        <f t="shared" si="10"/>
        <v>242615</v>
      </c>
      <c r="V67" s="28">
        <f t="shared" si="10"/>
        <v>4638</v>
      </c>
      <c r="W67" s="28">
        <f t="shared" si="10"/>
        <v>46713</v>
      </c>
      <c r="X67" s="28">
        <f t="shared" si="10"/>
        <v>49073</v>
      </c>
      <c r="Y67" s="28">
        <f t="shared" si="10"/>
        <v>830116</v>
      </c>
      <c r="Z67" s="28">
        <f t="shared" si="10"/>
        <v>260553</v>
      </c>
      <c r="AA67" s="28">
        <f t="shared" si="10"/>
        <v>46959</v>
      </c>
      <c r="AB67" s="28">
        <f t="shared" si="10"/>
        <v>211459</v>
      </c>
      <c r="AC67" s="28">
        <f t="shared" si="10"/>
        <v>63132</v>
      </c>
      <c r="AD67" s="28">
        <f t="shared" si="10"/>
        <v>5480</v>
      </c>
      <c r="AE67" s="28">
        <f t="shared" si="10"/>
        <v>226401</v>
      </c>
      <c r="AF67" s="28">
        <f t="shared" si="10"/>
        <v>0</v>
      </c>
      <c r="AG67" s="28">
        <f t="shared" si="10"/>
        <v>367750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348540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3549636</v>
      </c>
      <c r="AQ67" s="28">
        <f t="shared" si="11"/>
        <v>0</v>
      </c>
      <c r="AR67" s="28">
        <f t="shared" si="11"/>
        <v>706828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223466</v>
      </c>
      <c r="AW67" s="28">
        <f t="shared" si="11"/>
        <v>0</v>
      </c>
      <c r="AX67" s="28">
        <f t="shared" si="11"/>
        <v>0</v>
      </c>
      <c r="AY67" s="28">
        <f t="shared" si="11"/>
        <v>136095</v>
      </c>
      <c r="AZ67" s="28">
        <f t="shared" si="11"/>
        <v>90326</v>
      </c>
      <c r="BA67" s="28">
        <f t="shared" si="11"/>
        <v>53896</v>
      </c>
      <c r="BB67" s="28">
        <f t="shared" si="11"/>
        <v>0</v>
      </c>
      <c r="BC67" s="28">
        <f t="shared" si="11"/>
        <v>0</v>
      </c>
      <c r="BD67" s="28">
        <f t="shared" si="11"/>
        <v>136731</v>
      </c>
      <c r="BE67" s="28">
        <f t="shared" si="11"/>
        <v>8757842</v>
      </c>
      <c r="BF67" s="28">
        <f t="shared" si="11"/>
        <v>29124</v>
      </c>
      <c r="BG67" s="28">
        <f t="shared" si="11"/>
        <v>4023</v>
      </c>
      <c r="BH67" s="28">
        <f t="shared" si="11"/>
        <v>129958</v>
      </c>
      <c r="BI67" s="28">
        <f t="shared" si="11"/>
        <v>19518</v>
      </c>
      <c r="BJ67" s="28">
        <f t="shared" si="11"/>
        <v>54184</v>
      </c>
      <c r="BK67" s="28">
        <f t="shared" si="11"/>
        <v>173818</v>
      </c>
      <c r="BL67" s="28">
        <f t="shared" si="11"/>
        <v>80885</v>
      </c>
      <c r="BM67" s="28">
        <f t="shared" si="11"/>
        <v>46159</v>
      </c>
      <c r="BN67" s="28">
        <f t="shared" si="11"/>
        <v>36184</v>
      </c>
      <c r="BO67" s="28">
        <f t="shared" ref="BO67:CC67" si="12">ROUND(BO51+BO52,0)</f>
        <v>51597</v>
      </c>
      <c r="BP67" s="28">
        <f t="shared" si="12"/>
        <v>75980</v>
      </c>
      <c r="BQ67" s="28">
        <f t="shared" si="12"/>
        <v>0</v>
      </c>
      <c r="BR67" s="28">
        <f t="shared" si="12"/>
        <v>72860</v>
      </c>
      <c r="BS67" s="28">
        <f t="shared" si="12"/>
        <v>10385</v>
      </c>
      <c r="BT67" s="28">
        <f t="shared" si="12"/>
        <v>6137</v>
      </c>
      <c r="BU67" s="28">
        <f t="shared" si="12"/>
        <v>0</v>
      </c>
      <c r="BV67" s="28">
        <f t="shared" si="12"/>
        <v>75980</v>
      </c>
      <c r="BW67" s="28">
        <f t="shared" si="12"/>
        <v>35650</v>
      </c>
      <c r="BX67" s="28">
        <f t="shared" si="12"/>
        <v>42485</v>
      </c>
      <c r="BY67" s="28">
        <f t="shared" si="12"/>
        <v>6157</v>
      </c>
      <c r="BZ67" s="28">
        <f t="shared" si="12"/>
        <v>8682</v>
      </c>
      <c r="CA67" s="28">
        <f t="shared" si="12"/>
        <v>32490</v>
      </c>
      <c r="CB67" s="28">
        <f t="shared" si="12"/>
        <v>425936</v>
      </c>
      <c r="CC67" s="28">
        <f t="shared" si="12"/>
        <v>127742</v>
      </c>
      <c r="CD67" s="25" t="s">
        <v>248</v>
      </c>
      <c r="CE67" s="28">
        <f t="shared" si="6"/>
        <v>21976671</v>
      </c>
    </row>
    <row r="68" spans="1:83" x14ac:dyDescent="0.35">
      <c r="A68" s="35" t="s">
        <v>268</v>
      </c>
      <c r="B68" s="28"/>
      <c r="C68" s="20">
        <v>2026</v>
      </c>
      <c r="D68" s="20">
        <v>0</v>
      </c>
      <c r="E68" s="20">
        <v>10619</v>
      </c>
      <c r="F68" s="20">
        <v>26949</v>
      </c>
      <c r="G68" s="20">
        <v>0</v>
      </c>
      <c r="H68" s="20">
        <v>2786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1563</v>
      </c>
      <c r="P68" s="26">
        <v>775198</v>
      </c>
      <c r="Q68" s="26">
        <v>1391</v>
      </c>
      <c r="R68" s="26">
        <v>226</v>
      </c>
      <c r="S68" s="284">
        <v>80942</v>
      </c>
      <c r="T68" s="284">
        <v>368</v>
      </c>
      <c r="U68" s="27">
        <v>700771</v>
      </c>
      <c r="V68" s="26">
        <v>43</v>
      </c>
      <c r="W68" s="26">
        <v>436</v>
      </c>
      <c r="X68" s="26">
        <v>972</v>
      </c>
      <c r="Y68" s="26">
        <v>147156</v>
      </c>
      <c r="Z68" s="26">
        <v>4296</v>
      </c>
      <c r="AA68" s="26">
        <v>939</v>
      </c>
      <c r="AB68" s="285">
        <v>80879</v>
      </c>
      <c r="AC68" s="26">
        <v>29066</v>
      </c>
      <c r="AD68" s="26">
        <v>0</v>
      </c>
      <c r="AE68" s="26">
        <v>163282</v>
      </c>
      <c r="AF68" s="26">
        <v>0</v>
      </c>
      <c r="AG68" s="26">
        <v>6012</v>
      </c>
      <c r="AH68" s="26">
        <v>0</v>
      </c>
      <c r="AI68" s="26">
        <v>0</v>
      </c>
      <c r="AJ68" s="26">
        <v>92321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5159669</v>
      </c>
      <c r="AQ68" s="26">
        <v>0</v>
      </c>
      <c r="AR68" s="26">
        <v>187638</v>
      </c>
      <c r="AS68" s="26">
        <v>0</v>
      </c>
      <c r="AT68" s="26">
        <v>0</v>
      </c>
      <c r="AU68" s="26">
        <v>0</v>
      </c>
      <c r="AV68" s="284">
        <v>504635</v>
      </c>
      <c r="AW68" s="284">
        <v>0</v>
      </c>
      <c r="AX68" s="284">
        <v>0</v>
      </c>
      <c r="AY68" s="26">
        <v>11191</v>
      </c>
      <c r="AZ68" s="26">
        <v>12</v>
      </c>
      <c r="BA68" s="284">
        <v>231632</v>
      </c>
      <c r="BB68" s="284">
        <v>0</v>
      </c>
      <c r="BC68" s="284">
        <v>0</v>
      </c>
      <c r="BD68" s="284">
        <v>5820</v>
      </c>
      <c r="BE68" s="26">
        <v>3054</v>
      </c>
      <c r="BF68" s="284">
        <v>2870</v>
      </c>
      <c r="BG68" s="284">
        <v>70</v>
      </c>
      <c r="BH68" s="284">
        <v>35073</v>
      </c>
      <c r="BI68" s="284">
        <v>191</v>
      </c>
      <c r="BJ68" s="284">
        <v>2146</v>
      </c>
      <c r="BK68" s="284">
        <v>4547</v>
      </c>
      <c r="BL68" s="284">
        <v>28704</v>
      </c>
      <c r="BM68" s="284">
        <v>855</v>
      </c>
      <c r="BN68" s="284">
        <v>3793</v>
      </c>
      <c r="BO68" s="284">
        <v>52102</v>
      </c>
      <c r="BP68" s="284">
        <v>971</v>
      </c>
      <c r="BQ68" s="284">
        <v>0</v>
      </c>
      <c r="BR68" s="284">
        <v>241376</v>
      </c>
      <c r="BS68" s="284">
        <v>104</v>
      </c>
      <c r="BT68" s="284">
        <v>29</v>
      </c>
      <c r="BU68" s="284">
        <v>0</v>
      </c>
      <c r="BV68" s="284">
        <v>68521</v>
      </c>
      <c r="BW68" s="284">
        <v>2038</v>
      </c>
      <c r="BX68" s="284">
        <v>37899</v>
      </c>
      <c r="BY68" s="284">
        <v>421</v>
      </c>
      <c r="BZ68" s="284">
        <v>367</v>
      </c>
      <c r="CA68" s="284">
        <v>0</v>
      </c>
      <c r="CB68" s="284">
        <v>0</v>
      </c>
      <c r="CC68" s="284">
        <v>105769</v>
      </c>
      <c r="CD68" s="25" t="s">
        <v>248</v>
      </c>
      <c r="CE68" s="28">
        <f t="shared" si="6"/>
        <v>8819738</v>
      </c>
    </row>
    <row r="69" spans="1:83" x14ac:dyDescent="0.35">
      <c r="A69" s="35" t="s">
        <v>269</v>
      </c>
      <c r="B69" s="16"/>
      <c r="C69" s="28">
        <f t="shared" ref="C69:AH69" si="13">SUM(C70:C83)</f>
        <v>1004842.26</v>
      </c>
      <c r="D69" s="28">
        <f t="shared" si="13"/>
        <v>0</v>
      </c>
      <c r="E69" s="28">
        <f t="shared" si="13"/>
        <v>2132752.1700000004</v>
      </c>
      <c r="F69" s="28">
        <f t="shared" si="13"/>
        <v>100429.33</v>
      </c>
      <c r="G69" s="28">
        <f t="shared" si="13"/>
        <v>0</v>
      </c>
      <c r="H69" s="28">
        <f t="shared" si="13"/>
        <v>40758.339999999997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317776.47000000003</v>
      </c>
      <c r="P69" s="28">
        <f t="shared" si="13"/>
        <v>2119466.31</v>
      </c>
      <c r="Q69" s="28">
        <f t="shared" si="13"/>
        <v>78052.569999999992</v>
      </c>
      <c r="R69" s="28">
        <f t="shared" si="13"/>
        <v>237653.44999999998</v>
      </c>
      <c r="S69" s="28">
        <f t="shared" si="13"/>
        <v>43346.47</v>
      </c>
      <c r="T69" s="28">
        <f t="shared" si="13"/>
        <v>6028.86</v>
      </c>
      <c r="U69" s="28">
        <f t="shared" si="13"/>
        <v>2828809.88</v>
      </c>
      <c r="V69" s="28">
        <f t="shared" si="13"/>
        <v>804762.27</v>
      </c>
      <c r="W69" s="28">
        <f t="shared" si="13"/>
        <v>9499.6700000000019</v>
      </c>
      <c r="X69" s="28">
        <f t="shared" si="13"/>
        <v>78302.92</v>
      </c>
      <c r="Y69" s="28">
        <f t="shared" si="13"/>
        <v>501848.48000000004</v>
      </c>
      <c r="Z69" s="28">
        <f t="shared" si="13"/>
        <v>875725.2</v>
      </c>
      <c r="AA69" s="28">
        <f t="shared" si="13"/>
        <v>-1106202.6700000002</v>
      </c>
      <c r="AB69" s="28">
        <f t="shared" si="13"/>
        <v>668712.01</v>
      </c>
      <c r="AC69" s="28">
        <f t="shared" si="13"/>
        <v>407213.03</v>
      </c>
      <c r="AD69" s="28">
        <f t="shared" si="13"/>
        <v>7444.39</v>
      </c>
      <c r="AE69" s="28">
        <f t="shared" si="13"/>
        <v>29648.13</v>
      </c>
      <c r="AF69" s="28">
        <f t="shared" si="13"/>
        <v>0</v>
      </c>
      <c r="AG69" s="28">
        <f t="shared" si="13"/>
        <v>1994733.09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738513.87000000011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4505742.4499999993</v>
      </c>
      <c r="AQ69" s="28">
        <f t="shared" si="14"/>
        <v>0</v>
      </c>
      <c r="AR69" s="28">
        <f t="shared" si="14"/>
        <v>450892.16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2820661.1</v>
      </c>
      <c r="AW69" s="28">
        <f t="shared" si="14"/>
        <v>0</v>
      </c>
      <c r="AX69" s="28">
        <f t="shared" si="14"/>
        <v>0</v>
      </c>
      <c r="AY69" s="28">
        <f t="shared" si="14"/>
        <v>140018.20000000001</v>
      </c>
      <c r="AZ69" s="28">
        <f t="shared" si="14"/>
        <v>200588.95</v>
      </c>
      <c r="BA69" s="28">
        <f t="shared" si="14"/>
        <v>1086238.04</v>
      </c>
      <c r="BB69" s="28">
        <f t="shared" si="14"/>
        <v>0</v>
      </c>
      <c r="BC69" s="28">
        <f t="shared" si="14"/>
        <v>0</v>
      </c>
      <c r="BD69" s="28">
        <f t="shared" si="14"/>
        <v>740391.2</v>
      </c>
      <c r="BE69" s="28">
        <f t="shared" si="14"/>
        <v>2301939.75</v>
      </c>
      <c r="BF69" s="28">
        <f t="shared" si="14"/>
        <v>1226436.92</v>
      </c>
      <c r="BG69" s="28">
        <f t="shared" si="14"/>
        <v>211282.84</v>
      </c>
      <c r="BH69" s="28">
        <f t="shared" si="14"/>
        <v>11845153.779999999</v>
      </c>
      <c r="BI69" s="28">
        <f t="shared" si="14"/>
        <v>263512.73000000004</v>
      </c>
      <c r="BJ69" s="28">
        <f t="shared" si="14"/>
        <v>410386.03200000001</v>
      </c>
      <c r="BK69" s="28">
        <f t="shared" si="14"/>
        <v>311492.42</v>
      </c>
      <c r="BL69" s="28">
        <f t="shared" si="14"/>
        <v>64456.77</v>
      </c>
      <c r="BM69" s="28">
        <f t="shared" si="14"/>
        <v>2881405.73</v>
      </c>
      <c r="BN69" s="28">
        <f t="shared" si="14"/>
        <v>18794756.859999999</v>
      </c>
      <c r="BO69" s="28">
        <f t="shared" ref="BO69:CD69" si="15">SUM(BO70:BO83)</f>
        <v>85967.739999999991</v>
      </c>
      <c r="BP69" s="28">
        <f t="shared" si="15"/>
        <v>184243.09000000003</v>
      </c>
      <c r="BQ69" s="28">
        <f t="shared" si="15"/>
        <v>0</v>
      </c>
      <c r="BR69" s="28">
        <f t="shared" si="15"/>
        <v>1011780.34</v>
      </c>
      <c r="BS69" s="28">
        <f t="shared" si="15"/>
        <v>12382.59</v>
      </c>
      <c r="BT69" s="28">
        <f t="shared" si="15"/>
        <v>9372.2199999999993</v>
      </c>
      <c r="BU69" s="28">
        <f t="shared" si="15"/>
        <v>0</v>
      </c>
      <c r="BV69" s="28">
        <f t="shared" si="15"/>
        <v>21578.52</v>
      </c>
      <c r="BW69" s="28">
        <f t="shared" si="15"/>
        <v>265070.88</v>
      </c>
      <c r="BX69" s="28">
        <f t="shared" si="15"/>
        <v>307928.24</v>
      </c>
      <c r="BY69" s="28">
        <f t="shared" si="15"/>
        <v>217728.68</v>
      </c>
      <c r="BZ69" s="28">
        <f t="shared" si="15"/>
        <v>1617882.84</v>
      </c>
      <c r="CA69" s="28">
        <f t="shared" si="15"/>
        <v>18831.419999999998</v>
      </c>
      <c r="CB69" s="28">
        <f t="shared" si="15"/>
        <v>0</v>
      </c>
      <c r="CC69" s="28">
        <f t="shared" si="15"/>
        <v>2854285.1100000003</v>
      </c>
      <c r="CD69" s="28">
        <f t="shared" si="15"/>
        <v>-14105421.5</v>
      </c>
      <c r="CE69" s="28">
        <f>SUM(CE70:CE84)</f>
        <v>89217989.701999992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1360152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1360152</v>
      </c>
    </row>
    <row r="71" spans="1:83" x14ac:dyDescent="0.35">
      <c r="A71" s="29" t="s">
        <v>271</v>
      </c>
      <c r="B71" s="30"/>
      <c r="C71" s="241">
        <v>857669</v>
      </c>
      <c r="D71" s="241">
        <v>0</v>
      </c>
      <c r="E71" s="241">
        <v>1788422</v>
      </c>
      <c r="F71" s="241">
        <v>0</v>
      </c>
      <c r="G71" s="241">
        <v>0</v>
      </c>
      <c r="H71" s="241">
        <v>6570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26800</v>
      </c>
      <c r="P71" s="241">
        <v>1134806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801516.7</v>
      </c>
      <c r="W71" s="241">
        <v>0</v>
      </c>
      <c r="X71" s="241">
        <v>0</v>
      </c>
      <c r="Y71" s="241">
        <v>204514</v>
      </c>
      <c r="Z71" s="241">
        <v>0</v>
      </c>
      <c r="AA71" s="241">
        <v>0</v>
      </c>
      <c r="AB71" s="241">
        <v>0</v>
      </c>
      <c r="AC71" s="241">
        <v>358195</v>
      </c>
      <c r="AD71" s="241">
        <v>0</v>
      </c>
      <c r="AE71" s="241">
        <v>0</v>
      </c>
      <c r="AF71" s="241">
        <v>0</v>
      </c>
      <c r="AG71" s="241">
        <v>1823379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56980</v>
      </c>
      <c r="AQ71" s="241">
        <v>0</v>
      </c>
      <c r="AR71" s="241">
        <v>-488.36</v>
      </c>
      <c r="AS71" s="241">
        <v>0</v>
      </c>
      <c r="AT71" s="241">
        <v>0</v>
      </c>
      <c r="AU71" s="241">
        <v>0</v>
      </c>
      <c r="AV71" s="241">
        <v>134699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92174.15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1041.3599999999999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397019</v>
      </c>
      <c r="CA71" s="241">
        <v>0</v>
      </c>
      <c r="CB71" s="241">
        <v>0</v>
      </c>
      <c r="CC71" s="241">
        <v>67913.88</v>
      </c>
      <c r="CD71" s="241">
        <v>0</v>
      </c>
      <c r="CE71" s="28">
        <f t="shared" si="16"/>
        <v>7751210.7300000004</v>
      </c>
    </row>
    <row r="72" spans="1:83" x14ac:dyDescent="0.35">
      <c r="A72" s="29" t="s">
        <v>272</v>
      </c>
      <c r="B72" s="30"/>
      <c r="C72" s="241">
        <v>1267.6600000000001</v>
      </c>
      <c r="D72" s="241">
        <v>0</v>
      </c>
      <c r="E72" s="241">
        <v>22110</v>
      </c>
      <c r="F72" s="241">
        <v>12394</v>
      </c>
      <c r="G72" s="241">
        <v>0</v>
      </c>
      <c r="H72" s="241">
        <v>152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200326</v>
      </c>
      <c r="P72" s="241">
        <v>13612</v>
      </c>
      <c r="Q72" s="241">
        <v>48007</v>
      </c>
      <c r="R72" s="241">
        <v>198666</v>
      </c>
      <c r="S72" s="241">
        <v>140</v>
      </c>
      <c r="T72" s="241">
        <v>815</v>
      </c>
      <c r="U72" s="241">
        <v>383708</v>
      </c>
      <c r="V72" s="241">
        <v>0</v>
      </c>
      <c r="W72" s="241">
        <v>450</v>
      </c>
      <c r="X72" s="241">
        <v>60767</v>
      </c>
      <c r="Y72" s="241">
        <v>228690</v>
      </c>
      <c r="Z72" s="241">
        <v>898119</v>
      </c>
      <c r="AA72" s="241">
        <v>0</v>
      </c>
      <c r="AB72" s="241">
        <v>395947.49</v>
      </c>
      <c r="AC72" s="241">
        <v>1366.59</v>
      </c>
      <c r="AD72" s="241">
        <v>0</v>
      </c>
      <c r="AE72" s="241">
        <v>4306.8100000000004</v>
      </c>
      <c r="AF72" s="241">
        <v>0</v>
      </c>
      <c r="AG72" s="241">
        <v>5444</v>
      </c>
      <c r="AH72" s="241">
        <v>0</v>
      </c>
      <c r="AI72" s="241">
        <v>0</v>
      </c>
      <c r="AJ72" s="241">
        <v>200551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946392</v>
      </c>
      <c r="AQ72" s="241">
        <v>0</v>
      </c>
      <c r="AR72" s="241">
        <v>11903</v>
      </c>
      <c r="AS72" s="241">
        <v>0</v>
      </c>
      <c r="AT72" s="241">
        <v>0</v>
      </c>
      <c r="AU72" s="241">
        <v>0</v>
      </c>
      <c r="AV72" s="241">
        <v>155339</v>
      </c>
      <c r="AW72" s="241">
        <v>0</v>
      </c>
      <c r="AX72" s="241">
        <v>0</v>
      </c>
      <c r="AY72" s="241">
        <v>96789</v>
      </c>
      <c r="AZ72" s="241">
        <v>25192</v>
      </c>
      <c r="BA72" s="241">
        <v>0</v>
      </c>
      <c r="BB72" s="241">
        <v>0</v>
      </c>
      <c r="BC72" s="241">
        <v>0</v>
      </c>
      <c r="BD72" s="241">
        <v>47698</v>
      </c>
      <c r="BE72" s="241">
        <v>1790514</v>
      </c>
      <c r="BF72" s="241">
        <v>102</v>
      </c>
      <c r="BG72" s="241">
        <v>0</v>
      </c>
      <c r="BH72" s="241">
        <v>11473483</v>
      </c>
      <c r="BI72" s="241">
        <v>3446</v>
      </c>
      <c r="BJ72" s="241">
        <v>80199</v>
      </c>
      <c r="BK72" s="241">
        <v>351</v>
      </c>
      <c r="BL72" s="241">
        <v>35112</v>
      </c>
      <c r="BM72" s="241">
        <v>2854799</v>
      </c>
      <c r="BN72" s="241">
        <v>18877</v>
      </c>
      <c r="BO72" s="241">
        <v>34044</v>
      </c>
      <c r="BP72" s="241">
        <v>24657</v>
      </c>
      <c r="BQ72" s="241">
        <v>0</v>
      </c>
      <c r="BR72" s="241">
        <v>724916</v>
      </c>
      <c r="BS72" s="241">
        <v>5192</v>
      </c>
      <c r="BT72" s="241">
        <v>0</v>
      </c>
      <c r="BU72" s="241">
        <v>0</v>
      </c>
      <c r="BV72" s="241">
        <v>6945</v>
      </c>
      <c r="BW72" s="241">
        <v>155091</v>
      </c>
      <c r="BX72" s="241">
        <v>62566</v>
      </c>
      <c r="BY72" s="241">
        <v>177969</v>
      </c>
      <c r="BZ72" s="241">
        <v>1216358</v>
      </c>
      <c r="CA72" s="241">
        <v>5792</v>
      </c>
      <c r="CB72" s="241">
        <v>0</v>
      </c>
      <c r="CC72" s="241">
        <v>495019</v>
      </c>
      <c r="CD72" s="241">
        <v>40134.85</v>
      </c>
      <c r="CE72" s="28">
        <f t="shared" si="16"/>
        <v>23165719.400000002</v>
      </c>
    </row>
    <row r="73" spans="1:83" x14ac:dyDescent="0.35">
      <c r="A73" s="29" t="s">
        <v>273</v>
      </c>
      <c r="B73" s="30"/>
      <c r="C73" s="241">
        <v>720</v>
      </c>
      <c r="D73" s="241">
        <v>0</v>
      </c>
      <c r="E73" s="241">
        <v>0</v>
      </c>
      <c r="F73" s="241">
        <v>0</v>
      </c>
      <c r="G73" s="241">
        <v>0</v>
      </c>
      <c r="H73" s="241">
        <v>7655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623.67999999999995</v>
      </c>
      <c r="R73" s="241">
        <v>734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-1192</v>
      </c>
      <c r="Z73" s="241">
        <v>0</v>
      </c>
      <c r="AA73" s="241">
        <v>-1119457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34713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1521961</v>
      </c>
      <c r="AQ73" s="241">
        <v>0</v>
      </c>
      <c r="AR73" s="241">
        <v>1980</v>
      </c>
      <c r="AS73" s="241">
        <v>0</v>
      </c>
      <c r="AT73" s="241">
        <v>0</v>
      </c>
      <c r="AU73" s="241">
        <v>0</v>
      </c>
      <c r="AV73" s="241">
        <v>2302088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160699.23000000001</v>
      </c>
      <c r="BJ73" s="241">
        <v>0</v>
      </c>
      <c r="BK73" s="241">
        <v>0</v>
      </c>
      <c r="BL73" s="241">
        <v>0</v>
      </c>
      <c r="BM73" s="241">
        <v>9143.4599999999991</v>
      </c>
      <c r="BN73" s="241">
        <v>11729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40</v>
      </c>
      <c r="BW73" s="241">
        <v>0</v>
      </c>
      <c r="BX73" s="241">
        <v>0</v>
      </c>
      <c r="BY73" s="241">
        <v>80</v>
      </c>
      <c r="BZ73" s="241">
        <v>0</v>
      </c>
      <c r="CA73" s="241">
        <v>0</v>
      </c>
      <c r="CB73" s="241">
        <v>0</v>
      </c>
      <c r="CC73" s="241">
        <v>0</v>
      </c>
      <c r="CD73" s="241">
        <v>6348.31</v>
      </c>
      <c r="CE73" s="28">
        <f t="shared" si="16"/>
        <v>2937865.6799999997</v>
      </c>
    </row>
    <row r="74" spans="1:83" x14ac:dyDescent="0.35">
      <c r="A74" s="29" t="s">
        <v>274</v>
      </c>
      <c r="B74" s="30"/>
      <c r="C74" s="241">
        <v>30613</v>
      </c>
      <c r="D74" s="241">
        <v>0</v>
      </c>
      <c r="E74" s="241">
        <v>285190</v>
      </c>
      <c r="F74" s="241">
        <v>56727</v>
      </c>
      <c r="G74" s="241">
        <v>0</v>
      </c>
      <c r="H74" s="241">
        <v>16609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77164</v>
      </c>
      <c r="P74" s="241">
        <v>173071</v>
      </c>
      <c r="Q74" s="241">
        <v>23957</v>
      </c>
      <c r="R74" s="241">
        <v>0</v>
      </c>
      <c r="S74" s="241">
        <v>9614</v>
      </c>
      <c r="T74" s="241">
        <v>0</v>
      </c>
      <c r="U74" s="241">
        <v>13</v>
      </c>
      <c r="V74" s="241">
        <v>0.98</v>
      </c>
      <c r="W74" s="241">
        <v>6231</v>
      </c>
      <c r="X74" s="241">
        <v>13323</v>
      </c>
      <c r="Y74" s="241">
        <v>35966</v>
      </c>
      <c r="Z74" s="241">
        <v>0</v>
      </c>
      <c r="AA74" s="241">
        <v>1713</v>
      </c>
      <c r="AB74" s="241">
        <v>988</v>
      </c>
      <c r="AC74" s="241">
        <v>0</v>
      </c>
      <c r="AD74" s="241">
        <v>0</v>
      </c>
      <c r="AE74" s="241">
        <v>4001</v>
      </c>
      <c r="AF74" s="241">
        <v>0</v>
      </c>
      <c r="AG74" s="241">
        <v>135009</v>
      </c>
      <c r="AH74" s="241">
        <v>0</v>
      </c>
      <c r="AI74" s="241">
        <v>0</v>
      </c>
      <c r="AJ74" s="241">
        <v>360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69955</v>
      </c>
      <c r="AQ74" s="241">
        <v>0</v>
      </c>
      <c r="AR74" s="241">
        <v>32539</v>
      </c>
      <c r="AS74" s="241">
        <v>0</v>
      </c>
      <c r="AT74" s="241">
        <v>0</v>
      </c>
      <c r="AU74" s="241">
        <v>0</v>
      </c>
      <c r="AV74" s="241">
        <v>13766</v>
      </c>
      <c r="AW74" s="241">
        <v>0</v>
      </c>
      <c r="AX74" s="241">
        <v>0</v>
      </c>
      <c r="AY74" s="241">
        <v>0</v>
      </c>
      <c r="AZ74" s="241">
        <v>0</v>
      </c>
      <c r="BA74" s="241">
        <v>1085956</v>
      </c>
      <c r="BB74" s="241">
        <v>0</v>
      </c>
      <c r="BC74" s="241">
        <v>0</v>
      </c>
      <c r="BD74" s="241">
        <v>0</v>
      </c>
      <c r="BE74" s="241">
        <v>6</v>
      </c>
      <c r="BF74" s="241">
        <v>2175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-13.11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64</v>
      </c>
      <c r="CD74" s="241">
        <v>0</v>
      </c>
      <c r="CE74" s="28">
        <f t="shared" si="16"/>
        <v>2074997.8699999999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3100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338399</v>
      </c>
      <c r="BK75" s="241">
        <v>0</v>
      </c>
      <c r="BL75" s="241">
        <v>0</v>
      </c>
      <c r="BM75" s="241">
        <v>0</v>
      </c>
      <c r="BN75" s="241">
        <v>8887684</v>
      </c>
      <c r="BO75" s="241">
        <v>1440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254519</v>
      </c>
      <c r="CD75" s="241">
        <v>42333</v>
      </c>
      <c r="CE75" s="28">
        <f t="shared" si="16"/>
        <v>9527475</v>
      </c>
    </row>
    <row r="76" spans="1:83" x14ac:dyDescent="0.3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759313.48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6391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-439953.13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15050.54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340801.88999999996</v>
      </c>
    </row>
    <row r="77" spans="1:83" x14ac:dyDescent="0.35">
      <c r="A77" s="29" t="s">
        <v>277</v>
      </c>
      <c r="B77" s="30"/>
      <c r="C77" s="241">
        <v>4835.13</v>
      </c>
      <c r="D77" s="241">
        <v>0</v>
      </c>
      <c r="E77" s="241">
        <v>19167.93</v>
      </c>
      <c r="F77" s="241">
        <v>2045.3</v>
      </c>
      <c r="G77" s="241">
        <v>0</v>
      </c>
      <c r="H77" s="241">
        <v>6854.59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7292.03</v>
      </c>
      <c r="P77" s="241">
        <v>513846.04</v>
      </c>
      <c r="Q77" s="241">
        <v>237.84</v>
      </c>
      <c r="R77" s="241">
        <v>5652.61</v>
      </c>
      <c r="S77" s="241">
        <v>27122.69</v>
      </c>
      <c r="T77" s="241">
        <v>5196.1899999999996</v>
      </c>
      <c r="U77" s="241">
        <v>212915.74</v>
      </c>
      <c r="V77" s="241">
        <v>1783.42</v>
      </c>
      <c r="W77" s="241">
        <v>2801.13</v>
      </c>
      <c r="X77" s="241">
        <v>0</v>
      </c>
      <c r="Y77" s="241">
        <v>38815.769999999997</v>
      </c>
      <c r="Z77" s="241">
        <v>-48722.78</v>
      </c>
      <c r="AA77" s="241">
        <v>614.70000000000005</v>
      </c>
      <c r="AB77" s="241">
        <v>21934.76</v>
      </c>
      <c r="AC77" s="241">
        <v>46180.639999999999</v>
      </c>
      <c r="AD77" s="241">
        <v>7444.39</v>
      </c>
      <c r="AE77" s="241">
        <v>0</v>
      </c>
      <c r="AF77" s="241">
        <v>0</v>
      </c>
      <c r="AG77" s="241">
        <v>12409.73</v>
      </c>
      <c r="AH77" s="241">
        <v>0</v>
      </c>
      <c r="AI77" s="241">
        <v>0</v>
      </c>
      <c r="AJ77" s="241">
        <v>54933.96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251727.98</v>
      </c>
      <c r="AQ77" s="241">
        <v>0</v>
      </c>
      <c r="AR77" s="241">
        <v>16176.7</v>
      </c>
      <c r="AS77" s="241">
        <v>0</v>
      </c>
      <c r="AT77" s="241">
        <v>0</v>
      </c>
      <c r="AU77" s="241">
        <v>0</v>
      </c>
      <c r="AV77" s="241">
        <v>16719.73</v>
      </c>
      <c r="AW77" s="241">
        <v>0</v>
      </c>
      <c r="AX77" s="241">
        <v>0</v>
      </c>
      <c r="AY77" s="241">
        <v>18002.939999999999</v>
      </c>
      <c r="AZ77" s="241">
        <v>5152.82</v>
      </c>
      <c r="BA77" s="241">
        <v>0</v>
      </c>
      <c r="BB77" s="241">
        <v>0</v>
      </c>
      <c r="BC77" s="241">
        <v>0</v>
      </c>
      <c r="BD77" s="241">
        <v>32495.86</v>
      </c>
      <c r="BE77" s="241">
        <v>428526.74</v>
      </c>
      <c r="BF77" s="241">
        <v>7691.48</v>
      </c>
      <c r="BG77" s="241">
        <v>1189.32</v>
      </c>
      <c r="BH77" s="241">
        <v>200916.93</v>
      </c>
      <c r="BI77" s="241">
        <v>2869.92</v>
      </c>
      <c r="BJ77" s="241">
        <v>0</v>
      </c>
      <c r="BK77" s="241">
        <v>0</v>
      </c>
      <c r="BL77" s="241">
        <v>27845.759999999998</v>
      </c>
      <c r="BM77" s="241">
        <v>10321.799999999999</v>
      </c>
      <c r="BN77" s="241">
        <v>1378.55</v>
      </c>
      <c r="BO77" s="241">
        <v>19998.75</v>
      </c>
      <c r="BP77" s="241">
        <v>1066.8599999999999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1348.34</v>
      </c>
      <c r="BW77" s="241">
        <v>0</v>
      </c>
      <c r="BX77" s="241">
        <v>21.42</v>
      </c>
      <c r="BY77" s="241">
        <v>38988.769999999997</v>
      </c>
      <c r="BZ77" s="241">
        <v>1296.3499999999999</v>
      </c>
      <c r="CA77" s="241">
        <v>450</v>
      </c>
      <c r="CB77" s="241">
        <v>0</v>
      </c>
      <c r="CC77" s="241">
        <v>23566.16</v>
      </c>
      <c r="CD77" s="241">
        <v>-115258</v>
      </c>
      <c r="CE77" s="28">
        <f t="shared" si="16"/>
        <v>1935856.99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3460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2960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46804.53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5300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255700.64</v>
      </c>
      <c r="BS79" s="241">
        <v>0</v>
      </c>
      <c r="BT79" s="241">
        <v>0</v>
      </c>
      <c r="BU79" s="241">
        <v>0</v>
      </c>
      <c r="BV79" s="241">
        <v>0</v>
      </c>
      <c r="BW79" s="241">
        <v>23589.01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-4965.29</v>
      </c>
      <c r="CD79" s="241">
        <v>0</v>
      </c>
      <c r="CE79" s="28">
        <f t="shared" si="16"/>
        <v>332848.89000000007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16803.72</v>
      </c>
      <c r="Q81" s="241">
        <v>0</v>
      </c>
      <c r="R81" s="241">
        <v>0</v>
      </c>
      <c r="S81" s="241">
        <v>0</v>
      </c>
      <c r="T81" s="241">
        <v>0</v>
      </c>
      <c r="U81" s="241">
        <v>14152.94</v>
      </c>
      <c r="V81" s="241">
        <v>1461.17</v>
      </c>
      <c r="W81" s="241">
        <v>0</v>
      </c>
      <c r="X81" s="241">
        <v>0</v>
      </c>
      <c r="Y81" s="241">
        <v>53417.51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8336.7000000000007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308927.05</v>
      </c>
      <c r="AQ81" s="241">
        <v>0</v>
      </c>
      <c r="AR81" s="241">
        <v>63392.27</v>
      </c>
      <c r="AS81" s="241">
        <v>0</v>
      </c>
      <c r="AT81" s="241">
        <v>0</v>
      </c>
      <c r="AU81" s="241">
        <v>0</v>
      </c>
      <c r="AV81" s="241">
        <v>20136.98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-45760.148000000001</v>
      </c>
      <c r="BK81" s="241">
        <v>0</v>
      </c>
      <c r="BL81" s="241">
        <v>0</v>
      </c>
      <c r="BM81" s="241">
        <v>0</v>
      </c>
      <c r="BN81" s="241">
        <v>9645749.0999999996</v>
      </c>
      <c r="BO81" s="241">
        <v>4383.59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3824.46</v>
      </c>
      <c r="BY81" s="241">
        <v>0</v>
      </c>
      <c r="BZ81" s="241">
        <v>0</v>
      </c>
      <c r="CA81" s="241">
        <v>0</v>
      </c>
      <c r="CB81" s="241">
        <v>0</v>
      </c>
      <c r="CC81" s="241">
        <v>60932.28</v>
      </c>
      <c r="CD81" s="241">
        <v>2327608.04</v>
      </c>
      <c r="CE81" s="28">
        <f t="shared" si="16"/>
        <v>12483365.662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20">
        <v>109737.47</v>
      </c>
      <c r="D83" s="20">
        <v>0</v>
      </c>
      <c r="E83" s="26">
        <v>17862.240000000002</v>
      </c>
      <c r="F83" s="26">
        <v>29263.03</v>
      </c>
      <c r="G83" s="20">
        <v>0</v>
      </c>
      <c r="H83" s="20">
        <v>2917.75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6194.44</v>
      </c>
      <c r="P83" s="26">
        <v>267327.55</v>
      </c>
      <c r="Q83" s="26">
        <v>5227.05</v>
      </c>
      <c r="R83" s="27">
        <v>32600.84</v>
      </c>
      <c r="S83" s="26">
        <v>6469.78</v>
      </c>
      <c r="T83" s="20">
        <v>17.670000000000002</v>
      </c>
      <c r="U83" s="26">
        <v>95094.720000000001</v>
      </c>
      <c r="V83" s="26">
        <v>0</v>
      </c>
      <c r="W83" s="20">
        <v>17.54</v>
      </c>
      <c r="X83" s="26">
        <v>4212.92</v>
      </c>
      <c r="Y83" s="26">
        <v>-58362.8</v>
      </c>
      <c r="Z83" s="26">
        <v>26328.98</v>
      </c>
      <c r="AA83" s="26">
        <v>10926.63</v>
      </c>
      <c r="AB83" s="26">
        <v>249841.76</v>
      </c>
      <c r="AC83" s="26">
        <v>1470.8</v>
      </c>
      <c r="AD83" s="26">
        <v>0</v>
      </c>
      <c r="AE83" s="26">
        <v>21340.32</v>
      </c>
      <c r="AF83" s="26">
        <v>0</v>
      </c>
      <c r="AG83" s="26">
        <v>18491.36</v>
      </c>
      <c r="AH83" s="26">
        <v>0</v>
      </c>
      <c r="AI83" s="26">
        <v>0</v>
      </c>
      <c r="AJ83" s="26">
        <v>430268.21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1739848.02</v>
      </c>
      <c r="AQ83" s="20">
        <v>0</v>
      </c>
      <c r="AR83" s="20">
        <v>325389.55</v>
      </c>
      <c r="AS83" s="20">
        <v>0</v>
      </c>
      <c r="AT83" s="20">
        <v>0</v>
      </c>
      <c r="AU83" s="26">
        <v>0</v>
      </c>
      <c r="AV83" s="26">
        <v>172612.39</v>
      </c>
      <c r="AW83" s="26">
        <v>0</v>
      </c>
      <c r="AX83" s="26">
        <v>0</v>
      </c>
      <c r="AY83" s="26">
        <v>25226.26</v>
      </c>
      <c r="AZ83" s="26">
        <v>170244.13</v>
      </c>
      <c r="BA83" s="26">
        <v>282.04000000000002</v>
      </c>
      <c r="BB83" s="26">
        <v>0</v>
      </c>
      <c r="BC83" s="26">
        <v>0</v>
      </c>
      <c r="BD83" s="26">
        <v>660197.34</v>
      </c>
      <c r="BE83" s="26">
        <v>82893.009999999995</v>
      </c>
      <c r="BF83" s="26">
        <v>1124294.29</v>
      </c>
      <c r="BG83" s="26">
        <v>210093.52</v>
      </c>
      <c r="BH83" s="27">
        <v>170753.85</v>
      </c>
      <c r="BI83" s="26">
        <v>96497.58</v>
      </c>
      <c r="BJ83" s="26">
        <v>37548.18</v>
      </c>
      <c r="BK83" s="26">
        <v>311141.42</v>
      </c>
      <c r="BL83" s="26">
        <v>1499.01</v>
      </c>
      <c r="BM83" s="26">
        <v>7141.47</v>
      </c>
      <c r="BN83" s="26">
        <v>228297.85</v>
      </c>
      <c r="BO83" s="26">
        <v>11063.97</v>
      </c>
      <c r="BP83" s="26">
        <v>158519.23000000001</v>
      </c>
      <c r="BQ83" s="26">
        <v>0</v>
      </c>
      <c r="BR83" s="26">
        <v>31163.7</v>
      </c>
      <c r="BS83" s="26">
        <v>7190.59</v>
      </c>
      <c r="BT83" s="26">
        <v>9372.2199999999993</v>
      </c>
      <c r="BU83" s="26">
        <v>0</v>
      </c>
      <c r="BV83" s="26">
        <v>13245.18</v>
      </c>
      <c r="BW83" s="26">
        <v>86390.87</v>
      </c>
      <c r="BX83" s="26">
        <v>241516.36</v>
      </c>
      <c r="BY83" s="26">
        <v>690.91</v>
      </c>
      <c r="BZ83" s="26">
        <v>3209.49</v>
      </c>
      <c r="CA83" s="26">
        <v>12589.42</v>
      </c>
      <c r="CB83" s="26">
        <v>0</v>
      </c>
      <c r="CC83" s="26">
        <v>1957236.08</v>
      </c>
      <c r="CD83" s="31">
        <v>-16406587.699999999</v>
      </c>
      <c r="CE83" s="28">
        <f t="shared" si="16"/>
        <v>-7233191.5100000016</v>
      </c>
    </row>
    <row r="84" spans="1:84" x14ac:dyDescent="0.35">
      <c r="A84" s="35" t="s">
        <v>284</v>
      </c>
      <c r="B84" s="16"/>
      <c r="C84" s="20">
        <v>101954.11</v>
      </c>
      <c r="D84" s="20">
        <v>0</v>
      </c>
      <c r="E84" s="20">
        <v>2951.3</v>
      </c>
      <c r="F84" s="20">
        <v>29367.33</v>
      </c>
      <c r="G84" s="20">
        <v>0</v>
      </c>
      <c r="H84" s="20">
        <v>323354.69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4018.21</v>
      </c>
      <c r="P84" s="20">
        <v>-200087.98</v>
      </c>
      <c r="Q84" s="20">
        <v>0</v>
      </c>
      <c r="R84" s="20">
        <v>0</v>
      </c>
      <c r="S84" s="20">
        <v>0</v>
      </c>
      <c r="T84" s="20">
        <v>0</v>
      </c>
      <c r="U84" s="20">
        <v>39591.07</v>
      </c>
      <c r="V84" s="20">
        <v>0</v>
      </c>
      <c r="W84" s="20">
        <v>0</v>
      </c>
      <c r="X84" s="20">
        <v>0</v>
      </c>
      <c r="Y84" s="20">
        <v>-68621.649999999994</v>
      </c>
      <c r="Z84" s="20">
        <v>0</v>
      </c>
      <c r="AA84" s="20">
        <v>0</v>
      </c>
      <c r="AB84" s="20">
        <v>206931.20000000001</v>
      </c>
      <c r="AC84" s="20">
        <v>-32520.5</v>
      </c>
      <c r="AD84" s="20">
        <v>0</v>
      </c>
      <c r="AE84" s="20">
        <v>179274.85</v>
      </c>
      <c r="AF84" s="20">
        <v>0</v>
      </c>
      <c r="AG84" s="20">
        <v>51466.44</v>
      </c>
      <c r="AH84" s="20">
        <v>0</v>
      </c>
      <c r="AI84" s="20">
        <v>0</v>
      </c>
      <c r="AJ84" s="20">
        <v>693479.53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426042.79</v>
      </c>
      <c r="AQ84" s="20">
        <v>0</v>
      </c>
      <c r="AR84" s="20">
        <v>203673.08</v>
      </c>
      <c r="AS84" s="20">
        <v>0</v>
      </c>
      <c r="AT84" s="20">
        <v>0</v>
      </c>
      <c r="AU84" s="20">
        <v>0</v>
      </c>
      <c r="AV84" s="20">
        <v>8382333.21</v>
      </c>
      <c r="AW84" s="20">
        <v>0</v>
      </c>
      <c r="AX84" s="20">
        <v>0</v>
      </c>
      <c r="AY84" s="20">
        <v>2737.83</v>
      </c>
      <c r="AZ84" s="20">
        <v>2131234.65</v>
      </c>
      <c r="BA84" s="20">
        <v>0</v>
      </c>
      <c r="BB84" s="20">
        <v>0</v>
      </c>
      <c r="BC84" s="20">
        <v>0</v>
      </c>
      <c r="BD84" s="20">
        <v>334888.44</v>
      </c>
      <c r="BE84" s="20">
        <v>4000</v>
      </c>
      <c r="BF84" s="20">
        <v>0</v>
      </c>
      <c r="BG84" s="20">
        <v>0</v>
      </c>
      <c r="BH84" s="20">
        <v>3868.09</v>
      </c>
      <c r="BI84" s="20">
        <v>0</v>
      </c>
      <c r="BJ84" s="20">
        <v>176592.7</v>
      </c>
      <c r="BK84" s="20">
        <v>-45</v>
      </c>
      <c r="BL84" s="20">
        <v>-129.13999999999999</v>
      </c>
      <c r="BM84" s="20">
        <v>-810</v>
      </c>
      <c r="BN84" s="20">
        <v>298385.68</v>
      </c>
      <c r="BO84" s="20">
        <v>4884.84</v>
      </c>
      <c r="BP84" s="20">
        <v>0</v>
      </c>
      <c r="BQ84" s="20">
        <v>0</v>
      </c>
      <c r="BR84" s="20">
        <v>0</v>
      </c>
      <c r="BS84" s="20">
        <v>0</v>
      </c>
      <c r="BT84" s="20">
        <v>8000</v>
      </c>
      <c r="BU84" s="20">
        <v>0</v>
      </c>
      <c r="BV84" s="20">
        <v>6815.9</v>
      </c>
      <c r="BW84" s="20">
        <v>149218.25</v>
      </c>
      <c r="BX84" s="20">
        <v>1619.32</v>
      </c>
      <c r="BY84" s="20">
        <v>0</v>
      </c>
      <c r="BZ84" s="20">
        <v>0</v>
      </c>
      <c r="CA84" s="20">
        <v>0</v>
      </c>
      <c r="CB84" s="20">
        <v>0</v>
      </c>
      <c r="CC84" s="20">
        <v>9132248.8599999994</v>
      </c>
      <c r="CD84" s="31">
        <v>11944169</v>
      </c>
      <c r="CE84" s="28">
        <f t="shared" si="16"/>
        <v>34540887.099999994</v>
      </c>
    </row>
    <row r="85" spans="1:84" x14ac:dyDescent="0.35">
      <c r="A85" s="35" t="s">
        <v>285</v>
      </c>
      <c r="B85" s="28"/>
      <c r="C85" s="28">
        <f t="shared" ref="C85:AH85" si="17">SUM(C61:C69)-C84</f>
        <v>8893237.1500000004</v>
      </c>
      <c r="D85" s="28">
        <f t="shared" si="17"/>
        <v>0</v>
      </c>
      <c r="E85" s="28">
        <f t="shared" si="17"/>
        <v>30249837.870000001</v>
      </c>
      <c r="F85" s="28">
        <f t="shared" si="17"/>
        <v>5982082</v>
      </c>
      <c r="G85" s="28">
        <f t="shared" si="17"/>
        <v>0</v>
      </c>
      <c r="H85" s="28">
        <f t="shared" si="17"/>
        <v>5532447.6499999994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7264723.2599999998</v>
      </c>
      <c r="P85" s="28">
        <f t="shared" si="17"/>
        <v>36047575.289999999</v>
      </c>
      <c r="Q85" s="28">
        <f t="shared" si="17"/>
        <v>6501656.5700000003</v>
      </c>
      <c r="R85" s="28">
        <f t="shared" si="17"/>
        <v>507196.44999999995</v>
      </c>
      <c r="S85" s="28">
        <f t="shared" si="17"/>
        <v>3051770.47</v>
      </c>
      <c r="T85" s="28">
        <f t="shared" si="17"/>
        <v>5937873.8600000003</v>
      </c>
      <c r="U85" s="28">
        <f t="shared" si="17"/>
        <v>11810570.809999999</v>
      </c>
      <c r="V85" s="28">
        <f t="shared" si="17"/>
        <v>934391.27</v>
      </c>
      <c r="W85" s="28">
        <f t="shared" si="17"/>
        <v>1971782.67</v>
      </c>
      <c r="X85" s="28">
        <f t="shared" si="17"/>
        <v>2598502.92</v>
      </c>
      <c r="Y85" s="28">
        <f t="shared" si="17"/>
        <v>19481041.129999999</v>
      </c>
      <c r="Z85" s="28">
        <f t="shared" si="17"/>
        <v>3874908.2</v>
      </c>
      <c r="AA85" s="28">
        <f t="shared" si="17"/>
        <v>196146.32999999984</v>
      </c>
      <c r="AB85" s="28">
        <f t="shared" si="17"/>
        <v>20276005.810000002</v>
      </c>
      <c r="AC85" s="28">
        <f t="shared" si="17"/>
        <v>3277590.5300000003</v>
      </c>
      <c r="AD85" s="28">
        <f t="shared" si="17"/>
        <v>1790998.39</v>
      </c>
      <c r="AE85" s="28">
        <f t="shared" si="17"/>
        <v>3462846.28</v>
      </c>
      <c r="AF85" s="28">
        <f t="shared" si="17"/>
        <v>0</v>
      </c>
      <c r="AG85" s="28">
        <f t="shared" si="17"/>
        <v>30870798.649999999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39047077.339999996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114463244.66</v>
      </c>
      <c r="AQ85" s="28">
        <f t="shared" si="18"/>
        <v>0</v>
      </c>
      <c r="AR85" s="28">
        <f t="shared" si="18"/>
        <v>13029486.08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34427791.890000001</v>
      </c>
      <c r="AW85" s="28">
        <f t="shared" si="18"/>
        <v>0</v>
      </c>
      <c r="AX85" s="28">
        <f t="shared" si="18"/>
        <v>0</v>
      </c>
      <c r="AY85" s="28">
        <f t="shared" si="18"/>
        <v>2996483.37</v>
      </c>
      <c r="AZ85" s="28">
        <f t="shared" si="18"/>
        <v>287433.09000000032</v>
      </c>
      <c r="BA85" s="28">
        <f t="shared" si="18"/>
        <v>1886071.23</v>
      </c>
      <c r="BB85" s="28">
        <f t="shared" si="18"/>
        <v>0</v>
      </c>
      <c r="BC85" s="28">
        <f t="shared" si="18"/>
        <v>0</v>
      </c>
      <c r="BD85" s="28">
        <f t="shared" si="18"/>
        <v>1693024.03</v>
      </c>
      <c r="BE85" s="28">
        <f t="shared" si="18"/>
        <v>15428126.75</v>
      </c>
      <c r="BF85" s="28">
        <f t="shared" si="18"/>
        <v>4836680.92</v>
      </c>
      <c r="BG85" s="28">
        <f t="shared" si="18"/>
        <v>423650.06</v>
      </c>
      <c r="BH85" s="28">
        <f t="shared" si="18"/>
        <v>14730756.189999999</v>
      </c>
      <c r="BI85" s="28">
        <f t="shared" si="18"/>
        <v>5437114.0200000005</v>
      </c>
      <c r="BJ85" s="28">
        <f t="shared" si="18"/>
        <v>1179987.3320000002</v>
      </c>
      <c r="BK85" s="28">
        <f t="shared" si="18"/>
        <v>6382677.4199999999</v>
      </c>
      <c r="BL85" s="28">
        <f t="shared" si="18"/>
        <v>4725274.9099999992</v>
      </c>
      <c r="BM85" s="28">
        <f t="shared" si="18"/>
        <v>4646481.83</v>
      </c>
      <c r="BN85" s="28">
        <f t="shared" si="18"/>
        <v>24159332.18</v>
      </c>
      <c r="BO85" s="28">
        <f t="shared" ref="BO85:CD85" si="19">SUM(BO61:BO69)-BO84</f>
        <v>780620.9</v>
      </c>
      <c r="BP85" s="28">
        <f t="shared" si="19"/>
        <v>508875.09</v>
      </c>
      <c r="BQ85" s="28">
        <f t="shared" si="19"/>
        <v>0</v>
      </c>
      <c r="BR85" s="28">
        <f t="shared" si="19"/>
        <v>4244929.34</v>
      </c>
      <c r="BS85" s="28">
        <f t="shared" si="19"/>
        <v>114208.59</v>
      </c>
      <c r="BT85" s="28">
        <f t="shared" si="19"/>
        <v>196307.55</v>
      </c>
      <c r="BU85" s="28">
        <f t="shared" si="19"/>
        <v>0</v>
      </c>
      <c r="BV85" s="28">
        <f t="shared" si="19"/>
        <v>5208812.6199999992</v>
      </c>
      <c r="BW85" s="28">
        <f t="shared" si="19"/>
        <v>568817.63</v>
      </c>
      <c r="BX85" s="28">
        <f t="shared" si="19"/>
        <v>8244029.9199999999</v>
      </c>
      <c r="BY85" s="28">
        <f t="shared" si="19"/>
        <v>1585495.17</v>
      </c>
      <c r="BZ85" s="28">
        <f t="shared" si="19"/>
        <v>3661547.84</v>
      </c>
      <c r="CA85" s="28">
        <f t="shared" si="19"/>
        <v>367353.42</v>
      </c>
      <c r="CB85" s="28">
        <f t="shared" si="19"/>
        <v>425936</v>
      </c>
      <c r="CC85" s="28">
        <f t="shared" si="19"/>
        <v>5408221.25</v>
      </c>
      <c r="CD85" s="28">
        <f t="shared" si="19"/>
        <v>-26049590.5</v>
      </c>
      <c r="CE85" s="28">
        <f t="shared" si="16"/>
        <v>505560241.68199992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33985961.369999997</v>
      </c>
      <c r="D87" s="20">
        <v>0</v>
      </c>
      <c r="E87" s="20">
        <v>144819716.53999999</v>
      </c>
      <c r="F87" s="20">
        <v>26711702.670000002</v>
      </c>
      <c r="G87" s="20">
        <v>0</v>
      </c>
      <c r="H87" s="20">
        <v>21859940.52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14788137.449999999</v>
      </c>
      <c r="P87" s="20">
        <v>28352743.66</v>
      </c>
      <c r="Q87" s="20">
        <v>2212128.9</v>
      </c>
      <c r="R87" s="20">
        <v>1381221.64</v>
      </c>
      <c r="S87" s="20">
        <v>0</v>
      </c>
      <c r="T87" s="20">
        <v>1515619.11</v>
      </c>
      <c r="U87" s="20">
        <v>47798805.549999997</v>
      </c>
      <c r="V87" s="20">
        <v>3019828.54</v>
      </c>
      <c r="W87" s="20">
        <v>2574616.2999999998</v>
      </c>
      <c r="X87" s="20">
        <v>23280938.350000001</v>
      </c>
      <c r="Y87" s="20">
        <v>31055009.140000001</v>
      </c>
      <c r="Z87" s="20">
        <v>216466.63</v>
      </c>
      <c r="AA87" s="20">
        <v>187070.28</v>
      </c>
      <c r="AB87" s="20">
        <v>42025238.579999998</v>
      </c>
      <c r="AC87" s="20">
        <v>23813895.07</v>
      </c>
      <c r="AD87" s="20">
        <v>3262259.3</v>
      </c>
      <c r="AE87" s="20">
        <v>3371076.29</v>
      </c>
      <c r="AF87" s="20">
        <v>0</v>
      </c>
      <c r="AG87" s="20">
        <v>36728691</v>
      </c>
      <c r="AH87" s="20">
        <v>0</v>
      </c>
      <c r="AI87" s="20">
        <v>0</v>
      </c>
      <c r="AJ87" s="20">
        <v>1150888.9099999999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20217812.32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18217890.850000001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532547658.97000003</v>
      </c>
    </row>
    <row r="88" spans="1:84" x14ac:dyDescent="0.35">
      <c r="A88" s="22" t="s">
        <v>288</v>
      </c>
      <c r="B88" s="16"/>
      <c r="C88" s="20">
        <v>846762.52</v>
      </c>
      <c r="D88" s="20">
        <v>0</v>
      </c>
      <c r="E88" s="20">
        <v>23011243.699999999</v>
      </c>
      <c r="F88" s="20">
        <v>629410.48</v>
      </c>
      <c r="G88" s="20">
        <v>0</v>
      </c>
      <c r="H88" s="20">
        <v>36805.69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1145642.9099999999</v>
      </c>
      <c r="P88" s="20">
        <v>121825213.66</v>
      </c>
      <c r="Q88" s="20">
        <v>9235819.3800000008</v>
      </c>
      <c r="R88" s="20">
        <v>5466004.2300000004</v>
      </c>
      <c r="S88" s="20">
        <v>0</v>
      </c>
      <c r="T88" s="20">
        <v>733230.66</v>
      </c>
      <c r="U88" s="20">
        <v>85019964.950000003</v>
      </c>
      <c r="V88" s="20">
        <v>6429382.0999999996</v>
      </c>
      <c r="W88" s="20">
        <v>26264270.649999999</v>
      </c>
      <c r="X88" s="20">
        <v>80008178.469999999</v>
      </c>
      <c r="Y88" s="20">
        <v>99726707.25</v>
      </c>
      <c r="Z88" s="20">
        <v>23843875.41</v>
      </c>
      <c r="AA88" s="20">
        <v>8047720.0499999998</v>
      </c>
      <c r="AB88" s="20">
        <v>40490837.460000001</v>
      </c>
      <c r="AC88" s="20">
        <v>1633557.95</v>
      </c>
      <c r="AD88" s="20">
        <v>305029.21999999997</v>
      </c>
      <c r="AE88" s="20">
        <v>4534028.1900000004</v>
      </c>
      <c r="AF88" s="20">
        <v>0</v>
      </c>
      <c r="AG88" s="20">
        <v>154640506.90000001</v>
      </c>
      <c r="AH88" s="20">
        <v>0</v>
      </c>
      <c r="AI88" s="20">
        <v>0</v>
      </c>
      <c r="AJ88" s="20">
        <v>192149467.24000001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139983084.44999999</v>
      </c>
      <c r="AQ88" s="20">
        <v>0</v>
      </c>
      <c r="AR88" s="20">
        <v>20598741.800000001</v>
      </c>
      <c r="AS88" s="20">
        <v>0</v>
      </c>
      <c r="AT88" s="20">
        <v>0</v>
      </c>
      <c r="AU88" s="20">
        <v>0</v>
      </c>
      <c r="AV88" s="20">
        <v>134021228.29000001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1180626713.6099999</v>
      </c>
    </row>
    <row r="89" spans="1:84" x14ac:dyDescent="0.35">
      <c r="A89" s="22" t="s">
        <v>289</v>
      </c>
      <c r="B89" s="16"/>
      <c r="C89" s="28">
        <f t="shared" ref="C89:AV89" si="21">C87+C88</f>
        <v>34832723.890000001</v>
      </c>
      <c r="D89" s="28">
        <f t="shared" si="21"/>
        <v>0</v>
      </c>
      <c r="E89" s="28">
        <f t="shared" si="21"/>
        <v>167830960.23999998</v>
      </c>
      <c r="F89" s="28">
        <f t="shared" si="21"/>
        <v>27341113.150000002</v>
      </c>
      <c r="G89" s="28">
        <f t="shared" si="21"/>
        <v>0</v>
      </c>
      <c r="H89" s="28">
        <f t="shared" si="21"/>
        <v>21896746.210000001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15933780.359999999</v>
      </c>
      <c r="P89" s="28">
        <f t="shared" si="21"/>
        <v>150177957.31999999</v>
      </c>
      <c r="Q89" s="28">
        <f t="shared" si="21"/>
        <v>11447948.280000001</v>
      </c>
      <c r="R89" s="28">
        <f t="shared" si="21"/>
        <v>6847225.8700000001</v>
      </c>
      <c r="S89" s="28">
        <f t="shared" si="21"/>
        <v>0</v>
      </c>
      <c r="T89" s="28">
        <f t="shared" si="21"/>
        <v>2248849.77</v>
      </c>
      <c r="U89" s="28">
        <f t="shared" si="21"/>
        <v>132818770.5</v>
      </c>
      <c r="V89" s="28">
        <f t="shared" si="21"/>
        <v>9449210.6400000006</v>
      </c>
      <c r="W89" s="28">
        <f t="shared" si="21"/>
        <v>28838886.949999999</v>
      </c>
      <c r="X89" s="28">
        <f t="shared" si="21"/>
        <v>103289116.81999999</v>
      </c>
      <c r="Y89" s="28">
        <f t="shared" si="21"/>
        <v>130781716.39</v>
      </c>
      <c r="Z89" s="28">
        <f t="shared" si="21"/>
        <v>24060342.039999999</v>
      </c>
      <c r="AA89" s="28">
        <f t="shared" si="21"/>
        <v>8234790.3300000001</v>
      </c>
      <c r="AB89" s="28">
        <f t="shared" si="21"/>
        <v>82516076.039999992</v>
      </c>
      <c r="AC89" s="28">
        <f t="shared" si="21"/>
        <v>25447453.02</v>
      </c>
      <c r="AD89" s="28">
        <f t="shared" si="21"/>
        <v>3567288.5199999996</v>
      </c>
      <c r="AE89" s="28">
        <f t="shared" si="21"/>
        <v>7905104.4800000004</v>
      </c>
      <c r="AF89" s="28">
        <f t="shared" si="21"/>
        <v>0</v>
      </c>
      <c r="AG89" s="28">
        <f t="shared" si="21"/>
        <v>191369197.90000001</v>
      </c>
      <c r="AH89" s="28">
        <f t="shared" si="21"/>
        <v>0</v>
      </c>
      <c r="AI89" s="28">
        <f t="shared" si="21"/>
        <v>0</v>
      </c>
      <c r="AJ89" s="28">
        <f t="shared" si="21"/>
        <v>193300356.15000001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160200896.76999998</v>
      </c>
      <c r="AQ89" s="28">
        <f t="shared" si="21"/>
        <v>0</v>
      </c>
      <c r="AR89" s="28">
        <f t="shared" si="21"/>
        <v>20598741.800000001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152239119.14000002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1713174372.5800002</v>
      </c>
    </row>
    <row r="90" spans="1:84" x14ac:dyDescent="0.35">
      <c r="A90" s="35" t="s">
        <v>290</v>
      </c>
      <c r="B90" s="28"/>
      <c r="C90" s="20">
        <v>11357</v>
      </c>
      <c r="D90" s="20">
        <v>0</v>
      </c>
      <c r="E90" s="20">
        <v>63645</v>
      </c>
      <c r="F90" s="20">
        <v>18753</v>
      </c>
      <c r="G90" s="20">
        <v>0</v>
      </c>
      <c r="H90" s="20">
        <v>13336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10598</v>
      </c>
      <c r="P90" s="20">
        <v>42665</v>
      </c>
      <c r="Q90" s="20">
        <v>2810</v>
      </c>
      <c r="R90" s="20">
        <v>626</v>
      </c>
      <c r="S90" s="20">
        <v>34343</v>
      </c>
      <c r="T90" s="20">
        <v>292</v>
      </c>
      <c r="U90" s="20">
        <v>11821</v>
      </c>
      <c r="V90" s="20">
        <v>226</v>
      </c>
      <c r="W90" s="20">
        <v>2276</v>
      </c>
      <c r="X90" s="20">
        <v>2391</v>
      </c>
      <c r="Y90" s="20">
        <v>40446</v>
      </c>
      <c r="Z90" s="20">
        <v>12695</v>
      </c>
      <c r="AA90" s="20">
        <v>2288</v>
      </c>
      <c r="AB90" s="20">
        <v>10303</v>
      </c>
      <c r="AC90" s="20">
        <v>3076</v>
      </c>
      <c r="AD90" s="20">
        <v>267</v>
      </c>
      <c r="AE90" s="20">
        <v>11031</v>
      </c>
      <c r="AF90" s="20">
        <v>0</v>
      </c>
      <c r="AG90" s="20">
        <v>17918</v>
      </c>
      <c r="AH90" s="20">
        <v>0</v>
      </c>
      <c r="AI90" s="20">
        <v>0</v>
      </c>
      <c r="AJ90" s="20">
        <v>16982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172950</v>
      </c>
      <c r="AQ90" s="20">
        <v>0</v>
      </c>
      <c r="AR90" s="20">
        <v>34439</v>
      </c>
      <c r="AS90" s="20">
        <v>0</v>
      </c>
      <c r="AT90" s="20">
        <v>0</v>
      </c>
      <c r="AU90" s="20">
        <v>0</v>
      </c>
      <c r="AV90" s="20">
        <v>10888</v>
      </c>
      <c r="AW90" s="20">
        <v>0</v>
      </c>
      <c r="AX90" s="20">
        <v>0</v>
      </c>
      <c r="AY90" s="20">
        <v>6631</v>
      </c>
      <c r="AZ90" s="20">
        <v>4401</v>
      </c>
      <c r="BA90" s="20">
        <v>2626</v>
      </c>
      <c r="BB90" s="20">
        <v>0</v>
      </c>
      <c r="BC90" s="20">
        <v>0</v>
      </c>
      <c r="BD90" s="20">
        <v>6662</v>
      </c>
      <c r="BE90" s="20">
        <v>426711</v>
      </c>
      <c r="BF90" s="20">
        <v>1419</v>
      </c>
      <c r="BG90" s="20">
        <v>196</v>
      </c>
      <c r="BH90" s="20">
        <v>6332</v>
      </c>
      <c r="BI90" s="20">
        <v>951</v>
      </c>
      <c r="BJ90" s="20">
        <v>2640</v>
      </c>
      <c r="BK90" s="20">
        <v>8469</v>
      </c>
      <c r="BL90" s="20">
        <v>3941</v>
      </c>
      <c r="BM90" s="20">
        <v>2249</v>
      </c>
      <c r="BN90" s="20">
        <v>1763</v>
      </c>
      <c r="BO90" s="20">
        <v>2514</v>
      </c>
      <c r="BP90" s="20">
        <v>3702</v>
      </c>
      <c r="BQ90" s="20">
        <v>0</v>
      </c>
      <c r="BR90" s="20">
        <v>3550</v>
      </c>
      <c r="BS90" s="20">
        <v>506</v>
      </c>
      <c r="BT90" s="20">
        <v>299</v>
      </c>
      <c r="BU90" s="20">
        <v>0</v>
      </c>
      <c r="BV90" s="20">
        <v>3702</v>
      </c>
      <c r="BW90" s="20">
        <v>1737</v>
      </c>
      <c r="BX90" s="20">
        <v>2070</v>
      </c>
      <c r="BY90" s="20">
        <v>300</v>
      </c>
      <c r="BZ90" s="20">
        <v>423</v>
      </c>
      <c r="CA90" s="20">
        <v>1583</v>
      </c>
      <c r="CB90" s="20">
        <v>20753</v>
      </c>
      <c r="CC90" s="20">
        <v>6224</v>
      </c>
      <c r="CD90" s="235" t="s">
        <v>248</v>
      </c>
      <c r="CE90" s="28">
        <f t="shared" si="20"/>
        <v>1070776</v>
      </c>
      <c r="CF90" s="28">
        <f>BE59-CE90</f>
        <v>0</v>
      </c>
    </row>
    <row r="91" spans="1:84" x14ac:dyDescent="0.35">
      <c r="A91" s="22" t="s">
        <v>291</v>
      </c>
      <c r="B91" s="16"/>
      <c r="C91" s="20">
        <v>3690.97</v>
      </c>
      <c r="D91" s="20">
        <v>0</v>
      </c>
      <c r="E91" s="20">
        <v>152653.6</v>
      </c>
      <c r="F91" s="20">
        <v>12813.82</v>
      </c>
      <c r="G91" s="20">
        <v>0</v>
      </c>
      <c r="H91" s="20">
        <v>17591.16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440.46</v>
      </c>
      <c r="Q91" s="20">
        <v>237.45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1138.05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9237.27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197802.78</v>
      </c>
      <c r="CF91" s="28">
        <f>AY59-CE91</f>
        <v>0</v>
      </c>
    </row>
    <row r="92" spans="1:84" x14ac:dyDescent="0.35">
      <c r="A92" s="22" t="s">
        <v>292</v>
      </c>
      <c r="B92" s="16"/>
      <c r="C92" s="20">
        <v>4420</v>
      </c>
      <c r="D92" s="20">
        <v>0</v>
      </c>
      <c r="E92" s="20">
        <v>21632</v>
      </c>
      <c r="F92" s="20">
        <v>5408</v>
      </c>
      <c r="G92" s="20">
        <v>0</v>
      </c>
      <c r="H92" s="20">
        <v>2496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5408</v>
      </c>
      <c r="P92" s="20">
        <v>7787</v>
      </c>
      <c r="Q92" s="20">
        <v>884</v>
      </c>
      <c r="R92" s="20">
        <v>91</v>
      </c>
      <c r="S92" s="20">
        <v>3042</v>
      </c>
      <c r="T92" s="20">
        <v>26</v>
      </c>
      <c r="U92" s="20">
        <v>1261</v>
      </c>
      <c r="V92" s="20">
        <v>637</v>
      </c>
      <c r="W92" s="20">
        <v>195</v>
      </c>
      <c r="X92" s="20">
        <v>377</v>
      </c>
      <c r="Y92" s="20">
        <v>7631</v>
      </c>
      <c r="Z92" s="20">
        <v>2132</v>
      </c>
      <c r="AA92" s="20">
        <v>1326</v>
      </c>
      <c r="AB92" s="20">
        <v>1339</v>
      </c>
      <c r="AC92" s="20">
        <v>182</v>
      </c>
      <c r="AD92" s="20">
        <v>0</v>
      </c>
      <c r="AE92" s="20">
        <v>2002</v>
      </c>
      <c r="AF92" s="20">
        <v>0</v>
      </c>
      <c r="AG92" s="20">
        <v>17940</v>
      </c>
      <c r="AH92" s="20">
        <v>0</v>
      </c>
      <c r="AI92" s="20">
        <v>0</v>
      </c>
      <c r="AJ92" s="20">
        <v>5746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8281</v>
      </c>
      <c r="AQ92" s="20">
        <v>0</v>
      </c>
      <c r="AR92" s="20">
        <v>6747</v>
      </c>
      <c r="AS92" s="20">
        <v>0</v>
      </c>
      <c r="AT92" s="20">
        <v>0</v>
      </c>
      <c r="AU92" s="20">
        <v>0</v>
      </c>
      <c r="AV92" s="20">
        <v>5447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195</v>
      </c>
      <c r="BI92" s="20">
        <v>286</v>
      </c>
      <c r="BJ92" s="25" t="s">
        <v>248</v>
      </c>
      <c r="BK92" s="20">
        <v>0</v>
      </c>
      <c r="BL92" s="20">
        <v>260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65</v>
      </c>
      <c r="BT92" s="20">
        <v>0</v>
      </c>
      <c r="BU92" s="20">
        <v>0</v>
      </c>
      <c r="BV92" s="20">
        <v>0</v>
      </c>
      <c r="BW92" s="20">
        <v>52</v>
      </c>
      <c r="BX92" s="20">
        <v>338</v>
      </c>
      <c r="BY92" s="20">
        <v>195</v>
      </c>
      <c r="BZ92" s="20">
        <v>2262</v>
      </c>
      <c r="CA92" s="20">
        <v>130</v>
      </c>
      <c r="CB92" s="20">
        <v>0</v>
      </c>
      <c r="CC92" s="25" t="s">
        <v>248</v>
      </c>
      <c r="CD92" s="25" t="s">
        <v>248</v>
      </c>
      <c r="CE92" s="28">
        <f t="shared" si="20"/>
        <v>116220</v>
      </c>
      <c r="CF92" s="16"/>
    </row>
    <row r="93" spans="1:84" x14ac:dyDescent="0.35">
      <c r="A93" s="22" t="s">
        <v>293</v>
      </c>
      <c r="B93" s="16"/>
      <c r="C93" s="20">
        <v>56737.65</v>
      </c>
      <c r="D93" s="20">
        <v>0</v>
      </c>
      <c r="E93" s="20">
        <v>634904.93999999994</v>
      </c>
      <c r="F93" s="20">
        <v>135856.69</v>
      </c>
      <c r="G93" s="20">
        <v>0</v>
      </c>
      <c r="H93" s="20">
        <v>53973.02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174244.05</v>
      </c>
      <c r="P93" s="20">
        <v>314618.93</v>
      </c>
      <c r="Q93" s="20">
        <v>54369.33</v>
      </c>
      <c r="R93" s="20">
        <v>0</v>
      </c>
      <c r="S93" s="20">
        <v>17561.13</v>
      </c>
      <c r="T93" s="20">
        <v>0</v>
      </c>
      <c r="U93" s="20">
        <v>0</v>
      </c>
      <c r="V93" s="20">
        <v>2.02</v>
      </c>
      <c r="W93" s="20">
        <v>8477.5300000000007</v>
      </c>
      <c r="X93" s="20">
        <v>31197.7</v>
      </c>
      <c r="Y93" s="20">
        <v>75366.92</v>
      </c>
      <c r="Z93" s="20">
        <v>0</v>
      </c>
      <c r="AA93" s="20">
        <v>5882.03</v>
      </c>
      <c r="AB93" s="20">
        <v>2734.6</v>
      </c>
      <c r="AC93" s="20">
        <v>0</v>
      </c>
      <c r="AD93" s="20">
        <v>0</v>
      </c>
      <c r="AE93" s="20">
        <v>0</v>
      </c>
      <c r="AF93" s="20">
        <v>0</v>
      </c>
      <c r="AG93" s="20">
        <v>437689.53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3937.85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14150.91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2021704.83</v>
      </c>
      <c r="CF93" s="28">
        <f>BA59</f>
        <v>0</v>
      </c>
    </row>
    <row r="94" spans="1:84" x14ac:dyDescent="0.35">
      <c r="A94" s="22" t="s">
        <v>294</v>
      </c>
      <c r="B94" s="16"/>
      <c r="C94" s="280">
        <v>18.440000000000001</v>
      </c>
      <c r="D94" s="280">
        <v>0</v>
      </c>
      <c r="E94" s="280">
        <v>203.31</v>
      </c>
      <c r="F94" s="280">
        <v>37.85</v>
      </c>
      <c r="G94" s="280">
        <v>0</v>
      </c>
      <c r="H94" s="280">
        <v>25.67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32.880000000000003</v>
      </c>
      <c r="P94" s="281">
        <v>53.53</v>
      </c>
      <c r="Q94" s="281">
        <v>26.93</v>
      </c>
      <c r="R94" s="281">
        <v>0.68</v>
      </c>
      <c r="S94" s="282">
        <v>0.01</v>
      </c>
      <c r="T94" s="282">
        <v>8.6300000000000008</v>
      </c>
      <c r="U94" s="283">
        <v>6.89</v>
      </c>
      <c r="V94" s="281">
        <v>0</v>
      </c>
      <c r="W94" s="281">
        <v>0</v>
      </c>
      <c r="X94" s="281">
        <v>0</v>
      </c>
      <c r="Y94" s="281">
        <v>6.52</v>
      </c>
      <c r="Z94" s="281">
        <v>4.43</v>
      </c>
      <c r="AA94" s="281">
        <v>0</v>
      </c>
      <c r="AB94" s="282">
        <v>-0.01</v>
      </c>
      <c r="AC94" s="281">
        <v>0</v>
      </c>
      <c r="AD94" s="281">
        <v>0</v>
      </c>
      <c r="AE94" s="281">
        <v>0</v>
      </c>
      <c r="AF94" s="281">
        <v>0</v>
      </c>
      <c r="AG94" s="281">
        <v>69.14</v>
      </c>
      <c r="AH94" s="281">
        <v>0</v>
      </c>
      <c r="AI94" s="281">
        <v>0</v>
      </c>
      <c r="AJ94" s="281">
        <v>25.76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116.7</v>
      </c>
      <c r="AQ94" s="281">
        <v>0</v>
      </c>
      <c r="AR94" s="281">
        <v>39.94</v>
      </c>
      <c r="AS94" s="281">
        <v>0</v>
      </c>
      <c r="AT94" s="281">
        <v>0</v>
      </c>
      <c r="AU94" s="281">
        <v>0</v>
      </c>
      <c r="AV94" s="282">
        <v>23.16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700.46000000000015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95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90">
        <v>98902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306</v>
      </c>
      <c r="D103" s="38"/>
      <c r="E103" s="39"/>
      <c r="F103" s="12"/>
    </row>
    <row r="104" spans="1:6" x14ac:dyDescent="0.35">
      <c r="A104" s="28" t="s">
        <v>311</v>
      </c>
      <c r="B104" s="36" t="s">
        <v>299</v>
      </c>
      <c r="C104" s="291" t="s">
        <v>312</v>
      </c>
      <c r="D104" s="38"/>
      <c r="E104" s="39"/>
      <c r="F104" s="12"/>
    </row>
    <row r="105" spans="1:6" x14ac:dyDescent="0.35">
      <c r="A105" s="28" t="s">
        <v>313</v>
      </c>
      <c r="B105" s="36" t="s">
        <v>299</v>
      </c>
      <c r="C105" s="291" t="s">
        <v>314</v>
      </c>
      <c r="D105" s="38"/>
      <c r="E105" s="39"/>
      <c r="F105" s="12"/>
    </row>
    <row r="106" spans="1:6" x14ac:dyDescent="0.35">
      <c r="A106" s="28" t="s">
        <v>315</v>
      </c>
      <c r="B106" s="36" t="s">
        <v>299</v>
      </c>
      <c r="C106" s="207" t="s">
        <v>316</v>
      </c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94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94" t="s">
        <v>320</v>
      </c>
      <c r="D108" s="38"/>
      <c r="E108" s="39"/>
      <c r="F108" s="12"/>
    </row>
    <row r="109" spans="1:6" x14ac:dyDescent="0.3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96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4">
        <v>1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12477</v>
      </c>
      <c r="D127" s="46">
        <v>59260</v>
      </c>
      <c r="E127" s="16"/>
    </row>
    <row r="128" spans="1:5" x14ac:dyDescent="0.3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2416</v>
      </c>
      <c r="D130" s="46">
        <v>3466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18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20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43">
        <v>122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16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32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18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226</v>
      </c>
    </row>
    <row r="144" spans="1:5" x14ac:dyDescent="0.35">
      <c r="A144" s="16" t="s">
        <v>352</v>
      </c>
      <c r="B144" s="42" t="s">
        <v>299</v>
      </c>
      <c r="C144" s="43">
        <v>226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32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4714</v>
      </c>
      <c r="C154" s="46">
        <v>5242</v>
      </c>
      <c r="D154" s="46">
        <v>2521</v>
      </c>
      <c r="E154" s="28">
        <f>SUM(B154:D154)</f>
        <v>12477</v>
      </c>
    </row>
    <row r="155" spans="1:6" x14ac:dyDescent="0.35">
      <c r="A155" s="16" t="s">
        <v>242</v>
      </c>
      <c r="B155" s="46">
        <v>30137</v>
      </c>
      <c r="C155" s="46">
        <v>17919</v>
      </c>
      <c r="D155" s="46">
        <v>11204</v>
      </c>
      <c r="E155" s="28">
        <f>SUM(B155:D155)</f>
        <v>59260</v>
      </c>
    </row>
    <row r="156" spans="1:6" x14ac:dyDescent="0.35">
      <c r="A156" s="16" t="s">
        <v>359</v>
      </c>
      <c r="B156" s="46">
        <v>148225</v>
      </c>
      <c r="C156" s="46">
        <v>77622</v>
      </c>
      <c r="D156" s="46">
        <v>98051</v>
      </c>
      <c r="E156" s="28">
        <f>SUM(B156:D156)</f>
        <v>323898</v>
      </c>
    </row>
    <row r="157" spans="1:6" x14ac:dyDescent="0.35">
      <c r="A157" s="16" t="s">
        <v>287</v>
      </c>
      <c r="B157" s="46">
        <v>280831247</v>
      </c>
      <c r="C157" s="46">
        <v>149026460</v>
      </c>
      <c r="D157" s="46">
        <v>102689952</v>
      </c>
      <c r="E157" s="28">
        <f>SUM(B157:D157)</f>
        <v>532547659</v>
      </c>
      <c r="F157" s="14"/>
    </row>
    <row r="158" spans="1:6" x14ac:dyDescent="0.35">
      <c r="A158" s="16" t="s">
        <v>288</v>
      </c>
      <c r="B158" s="46">
        <v>540379493</v>
      </c>
      <c r="C158" s="46">
        <v>282753298</v>
      </c>
      <c r="D158" s="46">
        <v>357493924</v>
      </c>
      <c r="E158" s="28">
        <f>SUM(B158:D158)</f>
        <v>1180626715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15635663.300000001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-1647095.03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4300577.08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13460090.65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917346.28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12757099.060000001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6988529.5899999999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52412210.930000007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6206314.4699999997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2114724.36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8321038.8300000001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3752434.77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487755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4240189.7699999996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180121.60000000001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543912.47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11939452.859999999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12663486.93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1835767.87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1835767.87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12015018.42</v>
      </c>
      <c r="C211" s="43">
        <v>115847.75</v>
      </c>
      <c r="D211" s="46">
        <v>0</v>
      </c>
      <c r="E211" s="28">
        <f t="shared" ref="E211:E219" si="22">SUM(B211:C211)-D211</f>
        <v>12130866.17</v>
      </c>
    </row>
    <row r="212" spans="1:5" x14ac:dyDescent="0.35">
      <c r="A212" s="16" t="s">
        <v>394</v>
      </c>
      <c r="B212" s="46">
        <v>2770750.64</v>
      </c>
      <c r="C212" s="43">
        <v>0</v>
      </c>
      <c r="D212" s="46">
        <v>0</v>
      </c>
      <c r="E212" s="28">
        <f t="shared" si="22"/>
        <v>2770750.64</v>
      </c>
    </row>
    <row r="213" spans="1:5" x14ac:dyDescent="0.35">
      <c r="A213" s="16" t="s">
        <v>395</v>
      </c>
      <c r="B213" s="46">
        <v>97710886.329999998</v>
      </c>
      <c r="C213" s="43">
        <v>238207</v>
      </c>
      <c r="D213" s="46">
        <v>0</v>
      </c>
      <c r="E213" s="28">
        <f t="shared" si="22"/>
        <v>97949093.329999998</v>
      </c>
    </row>
    <row r="214" spans="1:5" x14ac:dyDescent="0.35">
      <c r="A214" s="16" t="s">
        <v>396</v>
      </c>
      <c r="B214" s="46">
        <v>72100843.040000007</v>
      </c>
      <c r="C214" s="43">
        <v>320408.83</v>
      </c>
      <c r="D214" s="46">
        <v>0</v>
      </c>
      <c r="E214" s="28">
        <f t="shared" si="22"/>
        <v>72421251.870000005</v>
      </c>
    </row>
    <row r="215" spans="1:5" x14ac:dyDescent="0.35">
      <c r="A215" s="16" t="s">
        <v>397</v>
      </c>
      <c r="B215" s="46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35">
      <c r="A216" s="16" t="s">
        <v>398</v>
      </c>
      <c r="B216" s="46">
        <v>101902251.39</v>
      </c>
      <c r="C216" s="43">
        <v>3881473.39</v>
      </c>
      <c r="D216" s="46">
        <v>2476971.42</v>
      </c>
      <c r="E216" s="28">
        <f t="shared" si="22"/>
        <v>103306753.36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35">
      <c r="A218" s="16" t="s">
        <v>400</v>
      </c>
      <c r="B218" s="46">
        <v>6785018.1100000003</v>
      </c>
      <c r="C218" s="43">
        <v>0</v>
      </c>
      <c r="D218" s="46">
        <v>0</v>
      </c>
      <c r="E218" s="28">
        <f t="shared" si="22"/>
        <v>6785018.1100000003</v>
      </c>
    </row>
    <row r="219" spans="1:5" x14ac:dyDescent="0.35">
      <c r="A219" s="16" t="s">
        <v>401</v>
      </c>
      <c r="B219" s="46">
        <v>20116992.484000001</v>
      </c>
      <c r="C219" s="43">
        <v>8516318</v>
      </c>
      <c r="D219" s="46">
        <v>2783220</v>
      </c>
      <c r="E219" s="28">
        <f t="shared" si="22"/>
        <v>25850090.484000001</v>
      </c>
    </row>
    <row r="220" spans="1:5" x14ac:dyDescent="0.35">
      <c r="A220" s="16" t="s">
        <v>230</v>
      </c>
      <c r="B220" s="28">
        <f>SUM(B211:B219)</f>
        <v>313401760.41400003</v>
      </c>
      <c r="C220" s="236">
        <f>SUM(C211:C219)</f>
        <v>13072254.970000001</v>
      </c>
      <c r="D220" s="28">
        <f>SUM(D211:D219)</f>
        <v>5260191.42</v>
      </c>
      <c r="E220" s="28">
        <f>SUM(E211:E219)</f>
        <v>321213823.96400005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46">
        <v>1755505.6500000001</v>
      </c>
      <c r="C225" s="43">
        <v>112262.63</v>
      </c>
      <c r="D225" s="46">
        <v>0</v>
      </c>
      <c r="E225" s="28">
        <f t="shared" ref="E225:E232" si="23">SUM(B225:C225)-D225</f>
        <v>1867768.2800000003</v>
      </c>
    </row>
    <row r="226" spans="1:6" x14ac:dyDescent="0.35">
      <c r="A226" s="16" t="s">
        <v>395</v>
      </c>
      <c r="B226" s="46">
        <v>22371622.109999999</v>
      </c>
      <c r="C226" s="43">
        <v>4221257.08</v>
      </c>
      <c r="D226" s="46">
        <v>0</v>
      </c>
      <c r="E226" s="28">
        <f t="shared" si="23"/>
        <v>26592879.189999998</v>
      </c>
    </row>
    <row r="227" spans="1:6" x14ac:dyDescent="0.35">
      <c r="A227" s="16" t="s">
        <v>396</v>
      </c>
      <c r="B227" s="46">
        <v>26861962.660000004</v>
      </c>
      <c r="C227" s="43">
        <v>4652674.9300000006</v>
      </c>
      <c r="D227" s="46">
        <v>0</v>
      </c>
      <c r="E227" s="28">
        <f t="shared" si="23"/>
        <v>31514637.590000004</v>
      </c>
    </row>
    <row r="228" spans="1:6" x14ac:dyDescent="0.35">
      <c r="A228" s="16" t="s">
        <v>397</v>
      </c>
      <c r="B228" s="46">
        <v>0</v>
      </c>
      <c r="C228" s="43">
        <v>0</v>
      </c>
      <c r="D228" s="46">
        <v>0</v>
      </c>
      <c r="E228" s="28">
        <f t="shared" si="23"/>
        <v>0</v>
      </c>
    </row>
    <row r="229" spans="1:6" x14ac:dyDescent="0.35">
      <c r="A229" s="16" t="s">
        <v>398</v>
      </c>
      <c r="B229" s="46">
        <v>63745128.739999995</v>
      </c>
      <c r="C229" s="43">
        <v>9934662.5800000001</v>
      </c>
      <c r="D229" s="46">
        <v>2126434.15</v>
      </c>
      <c r="E229" s="28">
        <f t="shared" si="23"/>
        <v>71553357.169999987</v>
      </c>
    </row>
    <row r="230" spans="1:6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35">
      <c r="A231" s="16" t="s">
        <v>400</v>
      </c>
      <c r="B231" s="46">
        <v>3193197.0199999996</v>
      </c>
      <c r="C231" s="43">
        <v>448481.09</v>
      </c>
      <c r="D231" s="46">
        <v>0</v>
      </c>
      <c r="E231" s="28">
        <f t="shared" si="23"/>
        <v>3641678.1099999994</v>
      </c>
    </row>
    <row r="232" spans="1:6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117927416.17999999</v>
      </c>
      <c r="C233" s="236">
        <f>SUM(C224:C232)</f>
        <v>19369338.309999999</v>
      </c>
      <c r="D233" s="28">
        <f>SUM(D224:D232)</f>
        <v>2126434.15</v>
      </c>
      <c r="E233" s="28">
        <f>SUM(E224:E232)</f>
        <v>135170320.33999997</v>
      </c>
    </row>
    <row r="234" spans="1:6" x14ac:dyDescent="0.35">
      <c r="A234" s="16"/>
      <c r="B234" s="16"/>
      <c r="C234" s="23"/>
      <c r="D234" s="16"/>
      <c r="E234" s="16"/>
      <c r="F234" s="11">
        <f>E220-E233</f>
        <v>186043503.62400007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49" t="s">
        <v>404</v>
      </c>
      <c r="C236" s="349"/>
      <c r="D236" s="34"/>
      <c r="E236" s="34"/>
    </row>
    <row r="237" spans="1:6" x14ac:dyDescent="0.35">
      <c r="A237" s="52" t="s">
        <v>404</v>
      </c>
      <c r="B237" s="34"/>
      <c r="C237" s="43">
        <v>4006877.91</v>
      </c>
      <c r="D237" s="36">
        <f>C237</f>
        <v>4006877.91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43">
        <v>605581096.99000001</v>
      </c>
      <c r="D239" s="16"/>
      <c r="E239" s="16"/>
    </row>
    <row r="240" spans="1:6" x14ac:dyDescent="0.35">
      <c r="A240" s="16" t="s">
        <v>407</v>
      </c>
      <c r="B240" s="42" t="s">
        <v>299</v>
      </c>
      <c r="C240" s="43">
        <v>339126417.65000004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12311135.199999999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209369993.65999997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0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1166388643.5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0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34946591.940000005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34946591.940000005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12335763.15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-342441.12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11993322.030000001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1217335435.3800001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35118957.729999997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235280611.78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172299846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1744547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8809026.0999999996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9089298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5841062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123583656.60999998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59708998.170000002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59708998.170000002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12130866.17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2770750.64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109140763.36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72421251.870000005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103346887.98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6785018.1100000003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14365765.140000001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320961303.27000004</v>
      </c>
      <c r="E291" s="16"/>
    </row>
    <row r="292" spans="1:5" x14ac:dyDescent="0.35">
      <c r="A292" s="16" t="s">
        <v>443</v>
      </c>
      <c r="B292" s="42" t="s">
        <v>299</v>
      </c>
      <c r="C292" s="43">
        <v>135170320.34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185790982.93000004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10136587.93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21186581.890000001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31323169.82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196916.04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359198.2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556114.24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400962921.77000004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400962921.77000004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460</v>
      </c>
      <c r="B315" s="42" t="s">
        <v>299</v>
      </c>
      <c r="C315" s="43">
        <v>29951638.349999998</v>
      </c>
      <c r="D315" s="16"/>
      <c r="E315" s="16"/>
    </row>
    <row r="316" spans="1:6" x14ac:dyDescent="0.3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47125398.119999997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130098.27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82556821.739999995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3877804.69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3877804.69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526706.73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31525000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239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39844764.730000004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130098.27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39714666.460000001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92">
        <v>238667560.41999999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4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4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4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4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4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364816853.30999994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400962921.77000004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4">
        <v>532547658.95999998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4">
        <v>1149144527.22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1681692186.1800001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4006877.91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1166388643.5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34946591.939999998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11993322.030000001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1217335435.3800001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464356750.79999995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40">
        <v>13140420.109999999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40">
        <v>13624883.66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40">
        <v>31482186.41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40">
        <v>152661.14000000001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40">
        <v>2131234.65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5">
        <v>5491687.8300000001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66023073.799999997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66023073.799999997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530379824.59999996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215">
        <v>241911010.16</v>
      </c>
      <c r="D389" s="16"/>
      <c r="E389" s="16"/>
    </row>
    <row r="390" spans="1:5" x14ac:dyDescent="0.35">
      <c r="A390" s="16" t="s">
        <v>11</v>
      </c>
      <c r="B390" s="42" t="s">
        <v>299</v>
      </c>
      <c r="C390" s="215">
        <v>52412210.93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215">
        <v>27683282.91</v>
      </c>
      <c r="D391" s="16"/>
      <c r="E391" s="16"/>
    </row>
    <row r="392" spans="1:5" x14ac:dyDescent="0.35">
      <c r="A392" s="16" t="s">
        <v>523</v>
      </c>
      <c r="B392" s="42" t="s">
        <v>299</v>
      </c>
      <c r="C392" s="215">
        <v>96074710.620000005</v>
      </c>
      <c r="D392" s="16"/>
      <c r="E392" s="16"/>
    </row>
    <row r="393" spans="1:5" x14ac:dyDescent="0.35">
      <c r="A393" s="16" t="s">
        <v>524</v>
      </c>
      <c r="B393" s="42" t="s">
        <v>299</v>
      </c>
      <c r="C393" s="215">
        <v>3192277.24</v>
      </c>
      <c r="D393" s="16"/>
      <c r="E393" s="16"/>
    </row>
    <row r="394" spans="1:5" x14ac:dyDescent="0.35">
      <c r="A394" s="16" t="s">
        <v>525</v>
      </c>
      <c r="B394" s="42" t="s">
        <v>299</v>
      </c>
      <c r="C394" s="215">
        <v>27881837.84</v>
      </c>
      <c r="D394" s="16"/>
      <c r="E394" s="16"/>
    </row>
    <row r="395" spans="1:5" x14ac:dyDescent="0.35">
      <c r="A395" s="16" t="s">
        <v>16</v>
      </c>
      <c r="B395" s="42" t="s">
        <v>299</v>
      </c>
      <c r="C395" s="215">
        <v>19515018.890000001</v>
      </c>
      <c r="D395" s="16"/>
      <c r="E395" s="16"/>
    </row>
    <row r="396" spans="1:5" x14ac:dyDescent="0.35">
      <c r="A396" s="16" t="s">
        <v>526</v>
      </c>
      <c r="B396" s="42" t="s">
        <v>299</v>
      </c>
      <c r="C396" s="215">
        <v>8321038.8300000001</v>
      </c>
      <c r="D396" s="16"/>
      <c r="E396" s="16"/>
    </row>
    <row r="397" spans="1:5" x14ac:dyDescent="0.35">
      <c r="A397" s="16" t="s">
        <v>527</v>
      </c>
      <c r="B397" s="42" t="s">
        <v>299</v>
      </c>
      <c r="C397" s="215">
        <v>1237203.8700000001</v>
      </c>
      <c r="D397" s="16"/>
      <c r="E397" s="16"/>
    </row>
    <row r="398" spans="1:5" x14ac:dyDescent="0.35">
      <c r="A398" s="16" t="s">
        <v>528</v>
      </c>
      <c r="B398" s="42" t="s">
        <v>299</v>
      </c>
      <c r="C398" s="215">
        <v>12663486.93</v>
      </c>
      <c r="D398" s="16"/>
      <c r="E398" s="16"/>
    </row>
    <row r="399" spans="1:5" x14ac:dyDescent="0.35">
      <c r="A399" s="16" t="s">
        <v>529</v>
      </c>
      <c r="B399" s="42" t="s">
        <v>299</v>
      </c>
      <c r="C399" s="215">
        <v>1835767.87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1550242.04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19927946.879999999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40">
        <v>20023433.620000001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>
        <v>3002985.9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1891777.72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3273060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340801.89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1935856.97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332848.89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5">
        <v>11651083.699999999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63930037.609999999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556657883.69999993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-26278059.099999964</v>
      </c>
      <c r="E417" s="28"/>
    </row>
    <row r="418" spans="1:13" x14ac:dyDescent="0.35">
      <c r="A418" s="28" t="s">
        <v>535</v>
      </c>
      <c r="B418" s="16"/>
      <c r="C418" s="215">
        <v>-6481587.4800000004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-6481587.4800000004</v>
      </c>
      <c r="E420" s="28"/>
      <c r="F420" s="11">
        <f>D420-C399</f>
        <v>-8317355.3500000006</v>
      </c>
    </row>
    <row r="421" spans="1:13" x14ac:dyDescent="0.35">
      <c r="A421" s="28" t="s">
        <v>538</v>
      </c>
      <c r="B421" s="16"/>
      <c r="C421" s="23"/>
      <c r="D421" s="28">
        <f>D417+D420</f>
        <v>-32759646.579999965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-32759646.579999965</v>
      </c>
      <c r="E424" s="1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3"/>
      <c r="C612" s="221" t="s">
        <v>542</v>
      </c>
      <c r="D612" s="228">
        <f>CE90-(BE90+CD90)</f>
        <v>644065</v>
      </c>
      <c r="E612" s="230">
        <f>SUM(C624:D647)+SUM(C668:D713)</f>
        <v>474036019.55646944</v>
      </c>
      <c r="F612" s="230">
        <f>CE64-(AX64+BD64+BE64+BG64+BJ64+BN64+BP64+BQ64+CB64+CC64+CD64)</f>
        <v>98725736.519999996</v>
      </c>
      <c r="G612" s="228">
        <f>CE91-(AX91+AY91+BD91+BE91+BG91+BJ91+BN91+BP91+BQ91+CB91+CC91+CD91)</f>
        <v>197802.78</v>
      </c>
      <c r="H612" s="233">
        <f>CE60-(AX60+AY60+AZ60+BD60+BE60+BG60+BJ60+BN60+BO60+BP60+BQ60+BR60+CB60+CC60+CD60)</f>
        <v>2025.9699999999998</v>
      </c>
      <c r="I612" s="228">
        <f>CE92-(AX92+AY92+AZ92+BD92+BE92+BF92+BG92+BJ92+BN92+BO92+BP92+BQ92+BR92+CB92+CC92+CD92)</f>
        <v>116220</v>
      </c>
      <c r="J612" s="228">
        <f>CE93-(AX93+AY93+AZ93+BA93+BD93+BE93+BF93+BG93+BJ93+BN93+BO93+BP93+BQ93+BR93+CB93+CC93+CD93)</f>
        <v>2021704.83</v>
      </c>
      <c r="K612" s="228">
        <f>CE89-(AW89+AX89+AY89+AZ89+BA89+BB89+BC89+BD89+BE89+BF89+BG89+BH89+BI89+BJ89+BK89+BL89+BM89+BN89+BO89+BP89+BQ89+BR89+BS89+BT89+BU89+BV89+BW89+BX89+CB89+CC89+CD89)</f>
        <v>1713174372.5800002</v>
      </c>
      <c r="L612" s="234">
        <f>CE94-(AW94+AX94+AY94+AZ94+BA94+BB94+BC94+BD94+BE94+BF94+BG94+BH94+BI94+BJ94+BK94+BL94+BM94+BN94+BO94+BP94+BQ94+BR94+BS94+BT94+BU94+BV94+BW94+BX94+BY94+BZ94+CA94+CB94+CC94+CD94)</f>
        <v>700.46000000000015</v>
      </c>
    </row>
    <row r="613" spans="1:14" s="212" customFormat="1" ht="12.65" customHeight="1" x14ac:dyDescent="0.3">
      <c r="A613" s="223"/>
      <c r="C613" s="221" t="s">
        <v>543</v>
      </c>
      <c r="D613" s="229" t="s">
        <v>544</v>
      </c>
      <c r="E613" s="231" t="s">
        <v>545</v>
      </c>
      <c r="F613" s="232" t="s">
        <v>546</v>
      </c>
      <c r="G613" s="229" t="s">
        <v>547</v>
      </c>
      <c r="H613" s="232" t="s">
        <v>548</v>
      </c>
      <c r="I613" s="229" t="s">
        <v>549</v>
      </c>
      <c r="J613" s="229" t="s">
        <v>550</v>
      </c>
      <c r="K613" s="221" t="s">
        <v>551</v>
      </c>
      <c r="L613" s="222" t="s">
        <v>552</v>
      </c>
    </row>
    <row r="614" spans="1:14" s="212" customFormat="1" ht="12.65" customHeight="1" x14ac:dyDescent="0.3">
      <c r="A614" s="223">
        <v>8430</v>
      </c>
      <c r="B614" s="222" t="s">
        <v>167</v>
      </c>
      <c r="C614" s="228">
        <f>BE85</f>
        <v>15428126.75</v>
      </c>
      <c r="D614" s="228"/>
      <c r="E614" s="230"/>
      <c r="F614" s="230"/>
      <c r="G614" s="228"/>
      <c r="H614" s="230"/>
      <c r="I614" s="228"/>
      <c r="J614" s="228"/>
      <c r="N614" s="224" t="s">
        <v>553</v>
      </c>
    </row>
    <row r="615" spans="1:14" s="212" customFormat="1" ht="12.65" customHeight="1" x14ac:dyDescent="0.3">
      <c r="A615" s="223"/>
      <c r="B615" s="222" t="s">
        <v>554</v>
      </c>
      <c r="C615" s="228">
        <f>CD69-CD84</f>
        <v>-26049590.5</v>
      </c>
      <c r="D615" s="228">
        <f>SUM(C614:C615)</f>
        <v>-10621463.75</v>
      </c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5" customHeight="1" x14ac:dyDescent="0.3">
      <c r="A616" s="223">
        <v>8310</v>
      </c>
      <c r="B616" s="227" t="s">
        <v>556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5" customHeight="1" x14ac:dyDescent="0.3">
      <c r="A617" s="223">
        <v>8510</v>
      </c>
      <c r="B617" s="227" t="s">
        <v>172</v>
      </c>
      <c r="C617" s="228">
        <f>BJ85</f>
        <v>1179987.3320000002</v>
      </c>
      <c r="D617" s="228">
        <f>(D615/D612)*BJ90</f>
        <v>-43537.009929122054</v>
      </c>
      <c r="E617" s="230"/>
      <c r="F617" s="230"/>
      <c r="G617" s="228"/>
      <c r="H617" s="230"/>
      <c r="I617" s="228"/>
      <c r="J617" s="228"/>
      <c r="N617" s="224" t="s">
        <v>558</v>
      </c>
    </row>
    <row r="618" spans="1:14" s="212" customFormat="1" ht="12.65" customHeight="1" x14ac:dyDescent="0.3">
      <c r="A618" s="223">
        <v>8470</v>
      </c>
      <c r="B618" s="227" t="s">
        <v>559</v>
      </c>
      <c r="C618" s="228">
        <f>BG85</f>
        <v>423650.06</v>
      </c>
      <c r="D618" s="228">
        <f>(D615/D612)*BG90</f>
        <v>-3232.2931614045165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5" customHeight="1" x14ac:dyDescent="0.3">
      <c r="A619" s="223">
        <v>8610</v>
      </c>
      <c r="B619" s="227" t="s">
        <v>561</v>
      </c>
      <c r="C619" s="228">
        <f>BN85</f>
        <v>24159332.18</v>
      </c>
      <c r="D619" s="228">
        <f>(D615/D612)*BN90</f>
        <v>-29074.147161000827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5" customHeight="1" x14ac:dyDescent="0.3">
      <c r="A620" s="223">
        <v>8790</v>
      </c>
      <c r="B620" s="227" t="s">
        <v>563</v>
      </c>
      <c r="C620" s="228">
        <f>CC85</f>
        <v>5408221.25</v>
      </c>
      <c r="D620" s="228">
        <f>(D615/D612)*CC90</f>
        <v>-102641.79916623321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5" customHeight="1" x14ac:dyDescent="0.3">
      <c r="A621" s="223">
        <v>8630</v>
      </c>
      <c r="B621" s="227" t="s">
        <v>565</v>
      </c>
      <c r="C621" s="228">
        <f>BP85</f>
        <v>508875.09</v>
      </c>
      <c r="D621" s="228">
        <f>(D615/D612)*BP90</f>
        <v>-61050.761650609791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5" customHeight="1" x14ac:dyDescent="0.3">
      <c r="A622" s="223">
        <v>8770</v>
      </c>
      <c r="B622" s="222" t="s">
        <v>567</v>
      </c>
      <c r="C622" s="228">
        <f>CB85</f>
        <v>425936</v>
      </c>
      <c r="D622" s="228">
        <f>(D615/D612)*CB90</f>
        <v>-342243.77540116291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5" customHeight="1" x14ac:dyDescent="0.3">
      <c r="A623" s="223">
        <v>8640</v>
      </c>
      <c r="B623" s="227" t="s">
        <v>569</v>
      </c>
      <c r="C623" s="228">
        <f>BQ85</f>
        <v>0</v>
      </c>
      <c r="D623" s="228">
        <f>(D615/D612)*BQ90</f>
        <v>0</v>
      </c>
      <c r="E623" s="230">
        <f>SUM(C616:D623)</f>
        <v>31524222.125530466</v>
      </c>
      <c r="F623" s="230"/>
      <c r="G623" s="228"/>
      <c r="H623" s="230"/>
      <c r="I623" s="228"/>
      <c r="J623" s="228"/>
      <c r="N623" s="224" t="s">
        <v>570</v>
      </c>
    </row>
    <row r="624" spans="1:14" s="212" customFormat="1" ht="12.65" customHeight="1" x14ac:dyDescent="0.3">
      <c r="A624" s="223">
        <v>8420</v>
      </c>
      <c r="B624" s="227" t="s">
        <v>166</v>
      </c>
      <c r="C624" s="228">
        <f>BD85</f>
        <v>1693024.03</v>
      </c>
      <c r="D624" s="228">
        <f>(D615/D612)*BD90</f>
        <v>-109864.98490447392</v>
      </c>
      <c r="E624" s="230">
        <f>(E623/E612)*SUM(C624:D624)</f>
        <v>105282.83788293181</v>
      </c>
      <c r="F624" s="230">
        <f>SUM(C624:E624)</f>
        <v>1688441.882978458</v>
      </c>
      <c r="G624" s="228"/>
      <c r="H624" s="230"/>
      <c r="I624" s="228"/>
      <c r="J624" s="228"/>
      <c r="N624" s="224" t="s">
        <v>571</v>
      </c>
    </row>
    <row r="625" spans="1:14" s="212" customFormat="1" ht="12.65" customHeight="1" x14ac:dyDescent="0.3">
      <c r="A625" s="223">
        <v>8320</v>
      </c>
      <c r="B625" s="227" t="s">
        <v>162</v>
      </c>
      <c r="C625" s="228">
        <f>AY85</f>
        <v>2996483.37</v>
      </c>
      <c r="D625" s="228">
        <f>(D615/D612)*AY90</f>
        <v>-109353.75486363952</v>
      </c>
      <c r="E625" s="230">
        <f>(E623/E612)*SUM(C625:D625)</f>
        <v>191999.15520747434</v>
      </c>
      <c r="F625" s="230">
        <f>(F624/F612)*AY64</f>
        <v>9970.9766108548101</v>
      </c>
      <c r="G625" s="228">
        <f>SUM(C625:F625)</f>
        <v>3089099.7469546897</v>
      </c>
      <c r="H625" s="230"/>
      <c r="I625" s="228"/>
      <c r="J625" s="228"/>
      <c r="N625" s="224" t="s">
        <v>572</v>
      </c>
    </row>
    <row r="626" spans="1:14" s="212" customFormat="1" ht="12.65" customHeight="1" x14ac:dyDescent="0.3">
      <c r="A626" s="223">
        <v>8650</v>
      </c>
      <c r="B626" s="227" t="s">
        <v>179</v>
      </c>
      <c r="C626" s="228">
        <f>BR85</f>
        <v>4244929.34</v>
      </c>
      <c r="D626" s="228">
        <f>(D615/D612)*BR90</f>
        <v>-58544.085321357314</v>
      </c>
      <c r="E626" s="230">
        <f>(E623/E612)*SUM(C626:D626)</f>
        <v>278401.92142996792</v>
      </c>
      <c r="F626" s="230">
        <f>(F624/F612)*BR64</f>
        <v>28.851660742056101</v>
      </c>
      <c r="G626" s="228">
        <f>(G625/G612)*BR91</f>
        <v>0</v>
      </c>
      <c r="H626" s="230"/>
      <c r="I626" s="228"/>
      <c r="J626" s="228"/>
      <c r="N626" s="224" t="s">
        <v>573</v>
      </c>
    </row>
    <row r="627" spans="1:14" s="212" customFormat="1" ht="12.65" customHeight="1" x14ac:dyDescent="0.3">
      <c r="A627" s="223">
        <v>8620</v>
      </c>
      <c r="B627" s="222" t="s">
        <v>574</v>
      </c>
      <c r="C627" s="228">
        <f>BO85</f>
        <v>780620.9</v>
      </c>
      <c r="D627" s="228">
        <f>(D615/D612)*BO90</f>
        <v>-41459.107182504871</v>
      </c>
      <c r="E627" s="230">
        <f>(E623/E612)*SUM(C627:D627)</f>
        <v>49155.548486138323</v>
      </c>
      <c r="F627" s="230">
        <f>(F624/F612)*BO64</f>
        <v>1751.0238797127529</v>
      </c>
      <c r="G627" s="228">
        <f>(G625/G612)*BO91</f>
        <v>0</v>
      </c>
      <c r="H627" s="230"/>
      <c r="I627" s="228"/>
      <c r="J627" s="228"/>
      <c r="N627" s="224" t="s">
        <v>575</v>
      </c>
    </row>
    <row r="628" spans="1:14" s="212" customFormat="1" ht="12.65" customHeight="1" x14ac:dyDescent="0.3">
      <c r="A628" s="223">
        <v>8330</v>
      </c>
      <c r="B628" s="227" t="s">
        <v>163</v>
      </c>
      <c r="C628" s="228">
        <f>AZ85</f>
        <v>287433.09000000032</v>
      </c>
      <c r="D628" s="228">
        <f>(D615/D612)*AZ90</f>
        <v>-72578.17450684325</v>
      </c>
      <c r="E628" s="230">
        <f>(E623/E612)*SUM(C628:D628)</f>
        <v>14288.226635405523</v>
      </c>
      <c r="F628" s="230">
        <f>(F624/F612)*AZ64</f>
        <v>15123.725877786252</v>
      </c>
      <c r="G628" s="228">
        <f>(G625/G612)*AZ91</f>
        <v>0</v>
      </c>
      <c r="H628" s="230">
        <f>SUM(C626:G628)</f>
        <v>5499151.2609590478</v>
      </c>
      <c r="I628" s="228"/>
      <c r="J628" s="228"/>
      <c r="N628" s="224" t="s">
        <v>576</v>
      </c>
    </row>
    <row r="629" spans="1:14" s="212" customFormat="1" ht="12.65" customHeight="1" x14ac:dyDescent="0.3">
      <c r="A629" s="223">
        <v>8460</v>
      </c>
      <c r="B629" s="227" t="s">
        <v>168</v>
      </c>
      <c r="C629" s="228">
        <f>BF85</f>
        <v>4836680.92</v>
      </c>
      <c r="D629" s="228">
        <f>(D615/D612)*BF90</f>
        <v>-23401.142836903105</v>
      </c>
      <c r="E629" s="230">
        <f>(E623/E612)*SUM(C629:D629)</f>
        <v>320091.50061968621</v>
      </c>
      <c r="F629" s="230">
        <f>(F624/F612)*BF64</f>
        <v>5202.6710201656206</v>
      </c>
      <c r="G629" s="228">
        <f>(G625/G612)*BF91</f>
        <v>0</v>
      </c>
      <c r="H629" s="230">
        <f>(H628/H612)*BF60</f>
        <v>178847.20730543477</v>
      </c>
      <c r="I629" s="228">
        <f>SUM(C629:H629)</f>
        <v>5317421.156108384</v>
      </c>
      <c r="J629" s="228"/>
      <c r="N629" s="224" t="s">
        <v>577</v>
      </c>
    </row>
    <row r="630" spans="1:14" s="212" customFormat="1" ht="12.65" customHeight="1" x14ac:dyDescent="0.3">
      <c r="A630" s="223">
        <v>8350</v>
      </c>
      <c r="B630" s="227" t="s">
        <v>578</v>
      </c>
      <c r="C630" s="228">
        <f>BA85</f>
        <v>1886071.23</v>
      </c>
      <c r="D630" s="228">
        <f>(D615/D612)*BA90</f>
        <v>-43306.131846164593</v>
      </c>
      <c r="E630" s="230">
        <f>(E623/E612)*SUM(C630:D630)</f>
        <v>122547.09322243031</v>
      </c>
      <c r="F630" s="230">
        <f>(F624/F612)*BA64</f>
        <v>5860.3621566872871</v>
      </c>
      <c r="G630" s="228">
        <f>(G625/G612)*BA91</f>
        <v>0</v>
      </c>
      <c r="H630" s="230">
        <f>(H628/H612)*BA60</f>
        <v>7274.4045466469152</v>
      </c>
      <c r="I630" s="228">
        <f>(I629/I612)*BA92</f>
        <v>0</v>
      </c>
      <c r="J630" s="228">
        <f>SUM(C630:I630)</f>
        <v>1978446.9580795998</v>
      </c>
      <c r="N630" s="224" t="s">
        <v>579</v>
      </c>
    </row>
    <row r="631" spans="1:14" s="212" customFormat="1" ht="12.65" customHeight="1" x14ac:dyDescent="0.3">
      <c r="A631" s="223">
        <v>8200</v>
      </c>
      <c r="B631" s="227" t="s">
        <v>580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581</v>
      </c>
    </row>
    <row r="632" spans="1:14" s="212" customFormat="1" ht="12.65" customHeight="1" x14ac:dyDescent="0.3">
      <c r="A632" s="223">
        <v>8360</v>
      </c>
      <c r="B632" s="227" t="s">
        <v>582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583</v>
      </c>
    </row>
    <row r="633" spans="1:14" s="212" customFormat="1" ht="12.65" customHeight="1" x14ac:dyDescent="0.3">
      <c r="A633" s="223">
        <v>8370</v>
      </c>
      <c r="B633" s="227" t="s">
        <v>584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585</v>
      </c>
    </row>
    <row r="634" spans="1:14" s="212" customFormat="1" ht="12.65" customHeight="1" x14ac:dyDescent="0.3">
      <c r="A634" s="223">
        <v>8490</v>
      </c>
      <c r="B634" s="227" t="s">
        <v>586</v>
      </c>
      <c r="C634" s="228">
        <f>BI85</f>
        <v>5437114.0200000005</v>
      </c>
      <c r="D634" s="228">
        <f>(D615/D612)*BI90</f>
        <v>-15683.218349467832</v>
      </c>
      <c r="E634" s="230">
        <f>(E623/E612)*SUM(C634:D634)</f>
        <v>360534.60449974285</v>
      </c>
      <c r="F634" s="230">
        <f>(F624/F612)*BI64</f>
        <v>94.233936389288161</v>
      </c>
      <c r="G634" s="228">
        <f>(G625/G612)*BI91</f>
        <v>0</v>
      </c>
      <c r="H634" s="230">
        <f>(H628/H612)*BI60</f>
        <v>977.15881969883924</v>
      </c>
      <c r="I634" s="228">
        <f>(I629/I612)*BI92</f>
        <v>13085.376446799155</v>
      </c>
      <c r="J634" s="228">
        <f>(J630/J612)*BI93</f>
        <v>0</v>
      </c>
      <c r="N634" s="224" t="s">
        <v>587</v>
      </c>
    </row>
    <row r="635" spans="1:14" s="212" customFormat="1" ht="12.65" customHeight="1" x14ac:dyDescent="0.3">
      <c r="A635" s="223">
        <v>8530</v>
      </c>
      <c r="B635" s="227" t="s">
        <v>588</v>
      </c>
      <c r="C635" s="228">
        <f>BK85</f>
        <v>6382677.4199999999</v>
      </c>
      <c r="D635" s="228">
        <f>(D615/D612)*BK90</f>
        <v>-139664.74889762679</v>
      </c>
      <c r="E635" s="230">
        <f>(E623/E612)*SUM(C635:D635)</f>
        <v>415171.23184114491</v>
      </c>
      <c r="F635" s="230">
        <f>(F624/F612)*BK64</f>
        <v>177.2145279248283</v>
      </c>
      <c r="G635" s="228">
        <f>(G625/G612)*BK91</f>
        <v>0</v>
      </c>
      <c r="H635" s="230">
        <f>(H628/H612)*BK60</f>
        <v>173174.25749107206</v>
      </c>
      <c r="I635" s="228">
        <f>(I629/I612)*BK92</f>
        <v>0</v>
      </c>
      <c r="J635" s="228">
        <f>(J630/J612)*BK93</f>
        <v>0</v>
      </c>
      <c r="N635" s="224" t="s">
        <v>589</v>
      </c>
    </row>
    <row r="636" spans="1:14" s="212" customFormat="1" ht="12.65" customHeight="1" x14ac:dyDescent="0.3">
      <c r="A636" s="223">
        <v>8480</v>
      </c>
      <c r="B636" s="227" t="s">
        <v>590</v>
      </c>
      <c r="C636" s="228">
        <f>BH85</f>
        <v>14730756.189999999</v>
      </c>
      <c r="D636" s="228">
        <f>(D615/D612)*BH90</f>
        <v>-104422.85866333367</v>
      </c>
      <c r="E636" s="230">
        <f>(E623/E612)*SUM(C636:D636)</f>
        <v>972676.6781362287</v>
      </c>
      <c r="F636" s="230">
        <f>(F624/F612)*BH64</f>
        <v>5.4727512966555736</v>
      </c>
      <c r="G636" s="228">
        <f>(G625/G612)*BH91</f>
        <v>0</v>
      </c>
      <c r="H636" s="230">
        <f>(H628/H612)*BH60</f>
        <v>62511.021160178527</v>
      </c>
      <c r="I636" s="228">
        <f>(I629/I612)*BH92</f>
        <v>8921.8475773630598</v>
      </c>
      <c r="J636" s="228">
        <f>(J630/J612)*BH93</f>
        <v>0</v>
      </c>
      <c r="N636" s="224" t="s">
        <v>591</v>
      </c>
    </row>
    <row r="637" spans="1:14" s="212" customFormat="1" ht="12.65" customHeight="1" x14ac:dyDescent="0.3">
      <c r="A637" s="223">
        <v>8560</v>
      </c>
      <c r="B637" s="227" t="s">
        <v>174</v>
      </c>
      <c r="C637" s="228">
        <f>BL85</f>
        <v>4725274.9099999992</v>
      </c>
      <c r="D637" s="228">
        <f>(D615/D612)*BL90</f>
        <v>-64992.180352526528</v>
      </c>
      <c r="E637" s="230">
        <f>(E623/E612)*SUM(C637:D637)</f>
        <v>309916.93009876757</v>
      </c>
      <c r="F637" s="230">
        <f>(F624/F612)*BL64</f>
        <v>914.87299332279144</v>
      </c>
      <c r="G637" s="228">
        <f>(G625/G612)*BL91</f>
        <v>0</v>
      </c>
      <c r="H637" s="230">
        <f>(H628/H612)*BL60</f>
        <v>145379.51773074953</v>
      </c>
      <c r="I637" s="228">
        <f>(I629/I612)*BL92</f>
        <v>11895.796769817412</v>
      </c>
      <c r="J637" s="228">
        <f>(J630/J612)*BL93</f>
        <v>0</v>
      </c>
      <c r="N637" s="224" t="s">
        <v>592</v>
      </c>
    </row>
    <row r="638" spans="1:14" s="212" customFormat="1" ht="12.65" customHeight="1" x14ac:dyDescent="0.3">
      <c r="A638" s="223">
        <v>8590</v>
      </c>
      <c r="B638" s="227" t="s">
        <v>593</v>
      </c>
      <c r="C638" s="228">
        <f>BM85</f>
        <v>4646481.83</v>
      </c>
      <c r="D638" s="228">
        <f>(D615/D612)*BM90</f>
        <v>-37088.91489795284</v>
      </c>
      <c r="E638" s="230">
        <f>(E623/E612)*SUM(C638:D638)</f>
        <v>306532.66866825841</v>
      </c>
      <c r="F638" s="230">
        <f>(F624/F612)*BM64</f>
        <v>1.9154629538294508</v>
      </c>
      <c r="G638" s="228">
        <f>(G625/G612)*BM91</f>
        <v>0</v>
      </c>
      <c r="H638" s="230">
        <f>(H628/H612)*BM60</f>
        <v>24130.394186451893</v>
      </c>
      <c r="I638" s="228">
        <f>(I629/I612)*BM92</f>
        <v>0</v>
      </c>
      <c r="J638" s="228">
        <f>(J630/J612)*BM93</f>
        <v>0</v>
      </c>
      <c r="N638" s="224" t="s">
        <v>594</v>
      </c>
    </row>
    <row r="639" spans="1:14" s="212" customFormat="1" ht="12.65" customHeight="1" x14ac:dyDescent="0.3">
      <c r="A639" s="223">
        <v>8660</v>
      </c>
      <c r="B639" s="227" t="s">
        <v>595</v>
      </c>
      <c r="C639" s="228">
        <f>BS85</f>
        <v>114208.59</v>
      </c>
      <c r="D639" s="228">
        <f>(D615/D612)*BS90</f>
        <v>-8344.5935697483947</v>
      </c>
      <c r="E639" s="230">
        <f>(E623/E612)*SUM(C639:D639)</f>
        <v>7040.1404131401932</v>
      </c>
      <c r="F639" s="230">
        <f>(F624/F612)*BS64</f>
        <v>6.3791757301641532</v>
      </c>
      <c r="G639" s="228">
        <f>(G625/G612)*BS91</f>
        <v>0</v>
      </c>
      <c r="H639" s="230">
        <f>(H628/H612)*BS60</f>
        <v>2714.3300547189979</v>
      </c>
      <c r="I639" s="228">
        <f>(I629/I612)*BS92</f>
        <v>2973.9491924543531</v>
      </c>
      <c r="J639" s="228">
        <f>(J630/J612)*BS93</f>
        <v>0</v>
      </c>
      <c r="N639" s="224" t="s">
        <v>596</v>
      </c>
    </row>
    <row r="640" spans="1:14" s="212" customFormat="1" ht="12.65" customHeight="1" x14ac:dyDescent="0.3">
      <c r="A640" s="223">
        <v>8670</v>
      </c>
      <c r="B640" s="227" t="s">
        <v>597</v>
      </c>
      <c r="C640" s="228">
        <f>BT85</f>
        <v>196307.55</v>
      </c>
      <c r="D640" s="228">
        <f>(D615/D612)*BT90</f>
        <v>-4930.8962003058696</v>
      </c>
      <c r="E640" s="230">
        <f>(E623/E612)*SUM(C640:D640)</f>
        <v>12726.881281441571</v>
      </c>
      <c r="F640" s="230">
        <f>(F624/F612)*BT64</f>
        <v>1.1515010775119368</v>
      </c>
      <c r="G640" s="228">
        <f>(G625/G612)*BT91</f>
        <v>0</v>
      </c>
      <c r="H640" s="230">
        <f>(H628/H612)*BT60</f>
        <v>5917.2395192874155</v>
      </c>
      <c r="I640" s="228">
        <f>(I629/I612)*BT92</f>
        <v>0</v>
      </c>
      <c r="J640" s="228">
        <f>(J630/J612)*BT93</f>
        <v>0</v>
      </c>
      <c r="N640" s="224" t="s">
        <v>598</v>
      </c>
    </row>
    <row r="641" spans="1:14" s="212" customFormat="1" ht="12.65" customHeight="1" x14ac:dyDescent="0.3">
      <c r="A641" s="223">
        <v>8680</v>
      </c>
      <c r="B641" s="227" t="s">
        <v>599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600</v>
      </c>
    </row>
    <row r="642" spans="1:14" s="212" customFormat="1" ht="12.65" customHeight="1" x14ac:dyDescent="0.3">
      <c r="A642" s="223">
        <v>8690</v>
      </c>
      <c r="B642" s="227" t="s">
        <v>601</v>
      </c>
      <c r="C642" s="228">
        <f>BV85</f>
        <v>5208812.6199999992</v>
      </c>
      <c r="D642" s="228">
        <f>(D615/D612)*BV90</f>
        <v>-61050.761650609791</v>
      </c>
      <c r="E642" s="230">
        <f>(E623/E612)*SUM(C642:D642)</f>
        <v>342335.14243026456</v>
      </c>
      <c r="F642" s="230">
        <f>(F624/F612)*BV64</f>
        <v>89.000617961861266</v>
      </c>
      <c r="G642" s="228">
        <f>(G625/G612)*BV91</f>
        <v>0</v>
      </c>
      <c r="H642" s="230">
        <f>(H628/H612)*BV60</f>
        <v>161611.21145796913</v>
      </c>
      <c r="I642" s="228">
        <f>(I629/I612)*BV92</f>
        <v>0</v>
      </c>
      <c r="J642" s="228">
        <f>(J630/J612)*BV93</f>
        <v>0</v>
      </c>
      <c r="N642" s="224" t="s">
        <v>602</v>
      </c>
    </row>
    <row r="643" spans="1:14" s="212" customFormat="1" ht="12.65" customHeight="1" x14ac:dyDescent="0.3">
      <c r="A643" s="223">
        <v>8700</v>
      </c>
      <c r="B643" s="227" t="s">
        <v>603</v>
      </c>
      <c r="C643" s="228">
        <f>BW85</f>
        <v>568817.63</v>
      </c>
      <c r="D643" s="228">
        <f>(D615/D612)*BW90</f>
        <v>-28645.373578365536</v>
      </c>
      <c r="E643" s="230">
        <f>(E623/E612)*SUM(C643:D643)</f>
        <v>35922.397233478769</v>
      </c>
      <c r="F643" s="230">
        <f>(F624/F612)*BW64</f>
        <v>10.535046246061979</v>
      </c>
      <c r="G643" s="228">
        <f>(G625/G612)*BW91</f>
        <v>0</v>
      </c>
      <c r="H643" s="230">
        <f>(H628/H612)*BW60</f>
        <v>9391.581989327733</v>
      </c>
      <c r="I643" s="228">
        <f>(I629/I612)*BW92</f>
        <v>2379.1593539634828</v>
      </c>
      <c r="J643" s="228">
        <f>(J630/J612)*BW93</f>
        <v>0</v>
      </c>
      <c r="N643" s="224" t="s">
        <v>604</v>
      </c>
    </row>
    <row r="644" spans="1:14" s="212" customFormat="1" ht="12.65" customHeight="1" x14ac:dyDescent="0.3">
      <c r="A644" s="223">
        <v>8710</v>
      </c>
      <c r="B644" s="227" t="s">
        <v>605</v>
      </c>
      <c r="C644" s="228">
        <f>BX85</f>
        <v>8244029.9199999999</v>
      </c>
      <c r="D644" s="228">
        <f>(D615/D612)*BX90</f>
        <v>-34136.973694425251</v>
      </c>
      <c r="E644" s="230">
        <f>(E623/E612)*SUM(C644:D644)</f>
        <v>545972.20082203473</v>
      </c>
      <c r="F644" s="230">
        <f>(F624/F612)*BX64</f>
        <v>141.14567641030766</v>
      </c>
      <c r="G644" s="228">
        <f>(G625/G612)*BX91</f>
        <v>0</v>
      </c>
      <c r="H644" s="230">
        <f>(H628/H612)*BX60</f>
        <v>145515.23423348548</v>
      </c>
      <c r="I644" s="228">
        <f>(I629/I612)*BX92</f>
        <v>15464.535800762636</v>
      </c>
      <c r="J644" s="228">
        <f>(J630/J612)*BX93</f>
        <v>0</v>
      </c>
      <c r="K644" s="230">
        <f>SUM(C631:J644)</f>
        <v>53851833.569043554</v>
      </c>
      <c r="L644" s="230"/>
      <c r="N644" s="224" t="s">
        <v>606</v>
      </c>
    </row>
    <row r="645" spans="1:14" s="212" customFormat="1" ht="12.65" customHeight="1" x14ac:dyDescent="0.3">
      <c r="A645" s="223">
        <v>8720</v>
      </c>
      <c r="B645" s="227" t="s">
        <v>607</v>
      </c>
      <c r="C645" s="228">
        <f>BY85</f>
        <v>1585495.17</v>
      </c>
      <c r="D645" s="228">
        <f>(D615/D612)*BY90</f>
        <v>-4947.3874919456885</v>
      </c>
      <c r="E645" s="230">
        <f>(E623/E612)*SUM(C645:D645)</f>
        <v>105109.18436623794</v>
      </c>
      <c r="F645" s="230">
        <f>(F624/F612)*BY64</f>
        <v>27.432165874486063</v>
      </c>
      <c r="G645" s="228">
        <f>(G625/G612)*BY91</f>
        <v>0</v>
      </c>
      <c r="H645" s="230">
        <f>(H628/H612)*BY60</f>
        <v>31947.664744042602</v>
      </c>
      <c r="I645" s="228">
        <f>(I629/I612)*BY92</f>
        <v>8921.8475773630598</v>
      </c>
      <c r="J645" s="228">
        <f>(J630/J612)*BY93</f>
        <v>0</v>
      </c>
      <c r="K645" s="230">
        <v>0</v>
      </c>
      <c r="L645" s="230"/>
      <c r="N645" s="224" t="s">
        <v>608</v>
      </c>
    </row>
    <row r="646" spans="1:14" s="212" customFormat="1" ht="12.65" customHeight="1" x14ac:dyDescent="0.3">
      <c r="A646" s="223">
        <v>8730</v>
      </c>
      <c r="B646" s="227" t="s">
        <v>609</v>
      </c>
      <c r="C646" s="228">
        <f>BZ85</f>
        <v>3661547.84</v>
      </c>
      <c r="D646" s="228">
        <f>(D615/D612)*BZ90</f>
        <v>-6975.8163636434201</v>
      </c>
      <c r="E646" s="230">
        <f>(E623/E612)*SUM(C646:D646)</f>
        <v>243035.41396422894</v>
      </c>
      <c r="F646" s="230">
        <f>(F624/F612)*BZ64</f>
        <v>10930.315708462927</v>
      </c>
      <c r="G646" s="228">
        <f>(G625/G612)*BZ91</f>
        <v>0</v>
      </c>
      <c r="H646" s="230">
        <f>(H628/H612)*BZ60</f>
        <v>43293.564372768014</v>
      </c>
      <c r="I646" s="228">
        <f>(I629/I612)*BZ92</f>
        <v>103493.4318974115</v>
      </c>
      <c r="J646" s="228">
        <f>(J630/J612)*BZ93</f>
        <v>0</v>
      </c>
      <c r="K646" s="230">
        <v>0</v>
      </c>
      <c r="L646" s="230"/>
      <c r="N646" s="224" t="s">
        <v>610</v>
      </c>
    </row>
    <row r="647" spans="1:14" s="212" customFormat="1" ht="12.65" customHeight="1" x14ac:dyDescent="0.3">
      <c r="A647" s="223">
        <v>8740</v>
      </c>
      <c r="B647" s="227" t="s">
        <v>611</v>
      </c>
      <c r="C647" s="228">
        <f>CA85</f>
        <v>367353.42</v>
      </c>
      <c r="D647" s="228">
        <f>(D615/D612)*CA90</f>
        <v>-26105.714665833417</v>
      </c>
      <c r="E647" s="230">
        <f>(E623/E612)*SUM(C647:D647)</f>
        <v>22693.567617176275</v>
      </c>
      <c r="F647" s="230">
        <f>(F624/F612)*CA64</f>
        <v>191.99095642579834</v>
      </c>
      <c r="G647" s="228">
        <f>(G625/G612)*CA91</f>
        <v>0</v>
      </c>
      <c r="H647" s="230">
        <f>(H628/H612)*CA60</f>
        <v>5320.086907249236</v>
      </c>
      <c r="I647" s="228">
        <f>(I629/I612)*CA92</f>
        <v>5947.8983849087062</v>
      </c>
      <c r="J647" s="228">
        <f>(J630/J612)*CA93</f>
        <v>0</v>
      </c>
      <c r="K647" s="230">
        <v>0</v>
      </c>
      <c r="L647" s="230">
        <f>SUM(C645:K647)</f>
        <v>6157279.9101407249</v>
      </c>
      <c r="N647" s="224" t="s">
        <v>612</v>
      </c>
    </row>
    <row r="648" spans="1:14" s="212" customFormat="1" ht="12.65" customHeight="1" x14ac:dyDescent="0.3">
      <c r="A648" s="223"/>
      <c r="B648" s="223"/>
      <c r="C648" s="212">
        <f>SUM(C614:C647)</f>
        <v>94078658.15200001</v>
      </c>
      <c r="L648" s="226"/>
    </row>
    <row r="666" spans="1:14" s="212" customFormat="1" ht="12.65" customHeight="1" x14ac:dyDescent="0.3">
      <c r="C666" s="221" t="s">
        <v>613</v>
      </c>
      <c r="M666" s="221" t="s">
        <v>614</v>
      </c>
    </row>
    <row r="667" spans="1:14" s="212" customFormat="1" ht="12.65" customHeight="1" x14ac:dyDescent="0.3">
      <c r="C667" s="221" t="s">
        <v>543</v>
      </c>
      <c r="D667" s="221" t="s">
        <v>544</v>
      </c>
      <c r="E667" s="222" t="s">
        <v>545</v>
      </c>
      <c r="F667" s="221" t="s">
        <v>546</v>
      </c>
      <c r="G667" s="221" t="s">
        <v>547</v>
      </c>
      <c r="H667" s="221" t="s">
        <v>548</v>
      </c>
      <c r="I667" s="221" t="s">
        <v>549</v>
      </c>
      <c r="J667" s="221" t="s">
        <v>550</v>
      </c>
      <c r="K667" s="221" t="s">
        <v>551</v>
      </c>
      <c r="L667" s="222" t="s">
        <v>552</v>
      </c>
      <c r="M667" s="221" t="s">
        <v>615</v>
      </c>
    </row>
    <row r="668" spans="1:14" s="212" customFormat="1" ht="12.65" customHeight="1" x14ac:dyDescent="0.3">
      <c r="A668" s="223">
        <v>6010</v>
      </c>
      <c r="B668" s="222" t="s">
        <v>342</v>
      </c>
      <c r="C668" s="228">
        <f>C85</f>
        <v>8893237.1500000004</v>
      </c>
      <c r="D668" s="228">
        <f>(D615/D612)*C90</f>
        <v>-187291.59915342394</v>
      </c>
      <c r="E668" s="230">
        <f>(E623/E612)*SUM(C668:D668)</f>
        <v>578960.56425089354</v>
      </c>
      <c r="F668" s="230">
        <f>(F624/F612)*C64</f>
        <v>9030.7750404371836</v>
      </c>
      <c r="G668" s="228">
        <f>(G625/G612)*C91</f>
        <v>57642.134721348964</v>
      </c>
      <c r="H668" s="230">
        <f>(H628/H612)*C60</f>
        <v>128876.39099805801</v>
      </c>
      <c r="I668" s="228">
        <f>(I629/I612)*C92</f>
        <v>202228.54508689602</v>
      </c>
      <c r="J668" s="228">
        <f>(J630/J612)*C93</f>
        <v>55523.649835216056</v>
      </c>
      <c r="K668" s="228">
        <f>(K644/K612)*C89</f>
        <v>1094930.019794662</v>
      </c>
      <c r="L668" s="228">
        <f>(L647/L612)*C94</f>
        <v>162093.82626130679</v>
      </c>
      <c r="M668" s="212">
        <f t="shared" ref="M668:M713" si="24">ROUND(SUM(D668:L668),0)</f>
        <v>2101994</v>
      </c>
      <c r="N668" s="222" t="s">
        <v>616</v>
      </c>
    </row>
    <row r="669" spans="1:14" s="212" customFormat="1" ht="12.65" customHeight="1" x14ac:dyDescent="0.3">
      <c r="A669" s="223">
        <v>6030</v>
      </c>
      <c r="B669" s="222" t="s">
        <v>343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617</v>
      </c>
    </row>
    <row r="670" spans="1:14" s="212" customFormat="1" ht="12.65" customHeight="1" x14ac:dyDescent="0.3">
      <c r="A670" s="223">
        <v>6070</v>
      </c>
      <c r="B670" s="222" t="s">
        <v>618</v>
      </c>
      <c r="C670" s="228">
        <f>E85</f>
        <v>30249837.870000001</v>
      </c>
      <c r="D670" s="228">
        <f>(D615/D612)*E90</f>
        <v>-1049588.2564162777</v>
      </c>
      <c r="E670" s="230">
        <f>(E623/E612)*SUM(C670:D670)</f>
        <v>1941867.5310809209</v>
      </c>
      <c r="F670" s="230">
        <f>(F624/F612)*E64</f>
        <v>26013.970785348978</v>
      </c>
      <c r="G670" s="228">
        <f>(G625/G612)*E91</f>
        <v>2384001.8685870972</v>
      </c>
      <c r="H670" s="230">
        <f>(H628/H612)*E60</f>
        <v>659446.48679398047</v>
      </c>
      <c r="I670" s="228">
        <f>(I629/I612)*E92</f>
        <v>989730.29124880873</v>
      </c>
      <c r="J670" s="228">
        <f>(J630/J612)*E93</f>
        <v>621320.05056975142</v>
      </c>
      <c r="K670" s="228">
        <f>(K644/K612)*E89</f>
        <v>5275589.6207846152</v>
      </c>
      <c r="L670" s="228">
        <f>(L647/L612)*E94</f>
        <v>1787163.5475697548</v>
      </c>
      <c r="M670" s="212">
        <f t="shared" si="24"/>
        <v>12635545</v>
      </c>
      <c r="N670" s="222" t="s">
        <v>619</v>
      </c>
    </row>
    <row r="671" spans="1:14" s="212" customFormat="1" ht="12.65" customHeight="1" x14ac:dyDescent="0.3">
      <c r="A671" s="223">
        <v>6100</v>
      </c>
      <c r="B671" s="222" t="s">
        <v>620</v>
      </c>
      <c r="C671" s="228">
        <f>F85</f>
        <v>5982082</v>
      </c>
      <c r="D671" s="228">
        <f>(D615/D612)*F90</f>
        <v>-309261.19212152495</v>
      </c>
      <c r="E671" s="230">
        <f>(E623/E612)*SUM(C671:D671)</f>
        <v>377252.47839439544</v>
      </c>
      <c r="F671" s="230">
        <f>(F624/F612)*F64</f>
        <v>2777.5752041829219</v>
      </c>
      <c r="G671" s="228">
        <f>(G625/G612)*F91</f>
        <v>200114.31649000556</v>
      </c>
      <c r="H671" s="230">
        <f>(H628/H612)*F60</f>
        <v>115033.30771899114</v>
      </c>
      <c r="I671" s="228">
        <f>(I629/I612)*F92</f>
        <v>247432.57281220218</v>
      </c>
      <c r="J671" s="228">
        <f>(J630/J612)*F93</f>
        <v>132949.80111674519</v>
      </c>
      <c r="K671" s="228">
        <f>(K644/K612)*F89</f>
        <v>859439.11986544321</v>
      </c>
      <c r="L671" s="228">
        <f>(L647/L612)*F94</f>
        <v>332714.28004286665</v>
      </c>
      <c r="M671" s="212">
        <f t="shared" si="24"/>
        <v>1958452</v>
      </c>
      <c r="N671" s="222" t="s">
        <v>621</v>
      </c>
    </row>
    <row r="672" spans="1:14" s="212" customFormat="1" ht="12.65" customHeight="1" x14ac:dyDescent="0.3">
      <c r="A672" s="223">
        <v>6120</v>
      </c>
      <c r="B672" s="222" t="s">
        <v>622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623</v>
      </c>
    </row>
    <row r="673" spans="1:14" s="212" customFormat="1" ht="12.65" customHeight="1" x14ac:dyDescent="0.3">
      <c r="A673" s="223">
        <v>6140</v>
      </c>
      <c r="B673" s="222" t="s">
        <v>624</v>
      </c>
      <c r="C673" s="228">
        <f>H85</f>
        <v>5532447.6499999994</v>
      </c>
      <c r="D673" s="228">
        <f>(D615/D612)*H90</f>
        <v>-219927.86530862565</v>
      </c>
      <c r="E673" s="230">
        <f>(E623/E612)*SUM(C673:D673)</f>
        <v>353291.83190674387</v>
      </c>
      <c r="F673" s="230">
        <f>(F624/F612)*H64</f>
        <v>1049.5368799161226</v>
      </c>
      <c r="G673" s="228">
        <f>(G625/G612)*H91</f>
        <v>274722.36691839952</v>
      </c>
      <c r="H673" s="230">
        <f>(H628/H612)*H60</f>
        <v>99887.346013659117</v>
      </c>
      <c r="I673" s="228">
        <f>(I629/I612)*H92</f>
        <v>114199.64899024717</v>
      </c>
      <c r="J673" s="228">
        <f>(J630/J612)*H93</f>
        <v>52818.173876237604</v>
      </c>
      <c r="K673" s="228">
        <f>(K644/K612)*H89</f>
        <v>688301.17440333171</v>
      </c>
      <c r="L673" s="228">
        <f>(L647/L612)*H94</f>
        <v>225647.96746896664</v>
      </c>
      <c r="M673" s="212">
        <f t="shared" si="24"/>
        <v>1589990</v>
      </c>
      <c r="N673" s="222" t="s">
        <v>625</v>
      </c>
    </row>
    <row r="674" spans="1:14" s="212" customFormat="1" ht="12.65" customHeight="1" x14ac:dyDescent="0.3">
      <c r="A674" s="223">
        <v>6150</v>
      </c>
      <c r="B674" s="222" t="s">
        <v>626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627</v>
      </c>
    </row>
    <row r="675" spans="1:14" s="212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628</v>
      </c>
    </row>
    <row r="676" spans="1:14" s="212" customFormat="1" ht="12.65" customHeight="1" x14ac:dyDescent="0.3">
      <c r="A676" s="223">
        <v>6200</v>
      </c>
      <c r="B676" s="222" t="s">
        <v>348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629</v>
      </c>
    </row>
    <row r="677" spans="1:14" s="212" customFormat="1" ht="12.65" customHeight="1" x14ac:dyDescent="0.3">
      <c r="A677" s="223">
        <v>6210</v>
      </c>
      <c r="B677" s="222" t="s">
        <v>349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630</v>
      </c>
    </row>
    <row r="678" spans="1:14" s="212" customFormat="1" ht="12.65" customHeight="1" x14ac:dyDescent="0.3">
      <c r="A678" s="223">
        <v>6330</v>
      </c>
      <c r="B678" s="222" t="s">
        <v>631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632</v>
      </c>
    </row>
    <row r="679" spans="1:14" s="212" customFormat="1" ht="12.65" customHeight="1" x14ac:dyDescent="0.3">
      <c r="A679" s="223">
        <v>6400</v>
      </c>
      <c r="B679" s="222" t="s">
        <v>633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634</v>
      </c>
    </row>
    <row r="680" spans="1:14" s="212" customFormat="1" ht="12.65" customHeight="1" x14ac:dyDescent="0.3">
      <c r="A680" s="223">
        <v>7010</v>
      </c>
      <c r="B680" s="222" t="s">
        <v>635</v>
      </c>
      <c r="C680" s="228">
        <f>O85</f>
        <v>7264723.2599999998</v>
      </c>
      <c r="D680" s="228">
        <f>(D615/D612)*O90</f>
        <v>-174774.70879880135</v>
      </c>
      <c r="E680" s="230">
        <f>(E623/E612)*SUM(C680:D680)</f>
        <v>471493.94511364651</v>
      </c>
      <c r="F680" s="230">
        <f>(F624/F612)*O64</f>
        <v>11897.060122669332</v>
      </c>
      <c r="G680" s="228">
        <f>(G625/G612)*O91</f>
        <v>0</v>
      </c>
      <c r="H680" s="230">
        <f>(H628/H612)*O60</f>
        <v>132649.30977411743</v>
      </c>
      <c r="I680" s="228">
        <f>(I629/I612)*O92</f>
        <v>247432.57281220218</v>
      </c>
      <c r="J680" s="228">
        <f>(J630/J612)*O93</f>
        <v>170515.79714827592</v>
      </c>
      <c r="K680" s="228">
        <f>(K644/K612)*O89</f>
        <v>500861.61794505001</v>
      </c>
      <c r="L680" s="228">
        <f>(L647/L612)*O94</f>
        <v>289026.30192363163</v>
      </c>
      <c r="M680" s="212">
        <f t="shared" si="24"/>
        <v>1649102</v>
      </c>
      <c r="N680" s="222" t="s">
        <v>636</v>
      </c>
    </row>
    <row r="681" spans="1:14" s="212" customFormat="1" ht="12.65" customHeight="1" x14ac:dyDescent="0.3">
      <c r="A681" s="223">
        <v>7020</v>
      </c>
      <c r="B681" s="222" t="s">
        <v>637</v>
      </c>
      <c r="C681" s="228">
        <f>P85</f>
        <v>36047575.289999999</v>
      </c>
      <c r="D681" s="228">
        <f>(D615/D612)*P90</f>
        <v>-703600.95781287597</v>
      </c>
      <c r="E681" s="230">
        <f>(E623/E612)*SUM(C681:D681)</f>
        <v>2350435.9409004496</v>
      </c>
      <c r="F681" s="230">
        <f>(F624/F612)*P64</f>
        <v>332409.90277095354</v>
      </c>
      <c r="G681" s="228">
        <f>(G625/G612)*P91</f>
        <v>6878.6943972357849</v>
      </c>
      <c r="H681" s="230">
        <f>(H628/H612)*P60</f>
        <v>286606.110477779</v>
      </c>
      <c r="I681" s="228">
        <f>(I629/I612)*P92</f>
        <v>356279.11325603153</v>
      </c>
      <c r="J681" s="228">
        <f>(J630/J612)*P93</f>
        <v>307887.11377454567</v>
      </c>
      <c r="K681" s="228">
        <f>(K644/K612)*P89</f>
        <v>4720686.0508636925</v>
      </c>
      <c r="L681" s="228">
        <f>(L647/L612)*P94</f>
        <v>470546.77439087589</v>
      </c>
      <c r="M681" s="212">
        <f t="shared" si="24"/>
        <v>8128129</v>
      </c>
      <c r="N681" s="222" t="s">
        <v>638</v>
      </c>
    </row>
    <row r="682" spans="1:14" s="212" customFormat="1" ht="12.65" customHeight="1" x14ac:dyDescent="0.3">
      <c r="A682" s="223">
        <v>7030</v>
      </c>
      <c r="B682" s="222" t="s">
        <v>639</v>
      </c>
      <c r="C682" s="228">
        <f>Q85</f>
        <v>6501656.5700000003</v>
      </c>
      <c r="D682" s="228">
        <f>(D615/D612)*Q90</f>
        <v>-46340.529507891282</v>
      </c>
      <c r="E682" s="230">
        <f>(E623/E612)*SUM(C682:D682)</f>
        <v>429289.77621020481</v>
      </c>
      <c r="F682" s="230">
        <f>(F624/F612)*Q64</f>
        <v>35.436064645844837</v>
      </c>
      <c r="G682" s="228">
        <f>(G625/G612)*Q91</f>
        <v>3708.2731340499413</v>
      </c>
      <c r="H682" s="230">
        <f>(H628/H612)*Q60</f>
        <v>83845.655390269851</v>
      </c>
      <c r="I682" s="228">
        <f>(I629/I612)*Q92</f>
        <v>40445.709017379202</v>
      </c>
      <c r="J682" s="228">
        <f>(J630/J612)*Q93</f>
        <v>53206.004138262819</v>
      </c>
      <c r="K682" s="228">
        <f>(K644/K612)*Q89</f>
        <v>359854.20710744959</v>
      </c>
      <c r="L682" s="228">
        <f>(L647/L612)*Q94</f>
        <v>236723.79290764595</v>
      </c>
      <c r="M682" s="212">
        <f t="shared" si="24"/>
        <v>1160768</v>
      </c>
      <c r="N682" s="222" t="s">
        <v>640</v>
      </c>
    </row>
    <row r="683" spans="1:14" s="212" customFormat="1" ht="12.65" customHeight="1" x14ac:dyDescent="0.3">
      <c r="A683" s="223">
        <v>7040</v>
      </c>
      <c r="B683" s="222" t="s">
        <v>133</v>
      </c>
      <c r="C683" s="228">
        <f>R85</f>
        <v>507196.44999999995</v>
      </c>
      <c r="D683" s="228">
        <f>(D615/D612)*R90</f>
        <v>-10323.54856652667</v>
      </c>
      <c r="E683" s="230">
        <f>(E623/E612)*SUM(C683:D683)</f>
        <v>33042.914602989789</v>
      </c>
      <c r="F683" s="230">
        <f>(F624/F612)*R64</f>
        <v>-3.0100132131605655</v>
      </c>
      <c r="G683" s="228">
        <f>(G625/G612)*R91</f>
        <v>0</v>
      </c>
      <c r="H683" s="230">
        <f>(H628/H612)*R60</f>
        <v>6568.6787324199749</v>
      </c>
      <c r="I683" s="228">
        <f>(I629/I612)*R92</f>
        <v>4163.5288694360943</v>
      </c>
      <c r="J683" s="228">
        <f>(J630/J612)*R93</f>
        <v>0</v>
      </c>
      <c r="K683" s="228">
        <f>(K644/K612)*R89</f>
        <v>215235.33964939145</v>
      </c>
      <c r="L683" s="228">
        <f>(L647/L612)*R94</f>
        <v>5977.4296018269315</v>
      </c>
      <c r="M683" s="212">
        <f t="shared" si="24"/>
        <v>254661</v>
      </c>
      <c r="N683" s="222" t="s">
        <v>641</v>
      </c>
    </row>
    <row r="684" spans="1:14" s="212" customFormat="1" ht="12.65" customHeight="1" x14ac:dyDescent="0.3">
      <c r="A684" s="223">
        <v>7050</v>
      </c>
      <c r="B684" s="222" t="s">
        <v>642</v>
      </c>
      <c r="C684" s="228">
        <f>S85</f>
        <v>3051770.47</v>
      </c>
      <c r="D684" s="228">
        <f>(D615/D612)*S90</f>
        <v>-566360.42878630257</v>
      </c>
      <c r="E684" s="230">
        <f>(E623/E612)*SUM(C684:D684)</f>
        <v>165284.1028526756</v>
      </c>
      <c r="F684" s="230">
        <f>(F624/F612)*S64</f>
        <v>14042.156300436891</v>
      </c>
      <c r="G684" s="228">
        <f>(G625/G612)*S91</f>
        <v>0</v>
      </c>
      <c r="H684" s="230">
        <f>(H628/H612)*S60</f>
        <v>59063.821990685399</v>
      </c>
      <c r="I684" s="228">
        <f>(I629/I612)*S92</f>
        <v>139180.82220686373</v>
      </c>
      <c r="J684" s="228">
        <f>(J630/J612)*S93</f>
        <v>17185.379246949913</v>
      </c>
      <c r="K684" s="228">
        <f>(K644/K612)*S89</f>
        <v>0</v>
      </c>
      <c r="L684" s="228">
        <f>(L647/L612)*S94</f>
        <v>87.903376497454872</v>
      </c>
      <c r="M684" s="212">
        <f t="shared" si="24"/>
        <v>-171516</v>
      </c>
      <c r="N684" s="222" t="s">
        <v>643</v>
      </c>
    </row>
    <row r="685" spans="1:14" s="212" customFormat="1" ht="12.65" customHeight="1" x14ac:dyDescent="0.3">
      <c r="A685" s="223">
        <v>7060</v>
      </c>
      <c r="B685" s="222" t="s">
        <v>644</v>
      </c>
      <c r="C685" s="228">
        <f>T85</f>
        <v>5937873.8600000003</v>
      </c>
      <c r="D685" s="228">
        <f>(D615/D612)*T90</f>
        <v>-4815.4571588271365</v>
      </c>
      <c r="E685" s="230">
        <f>(E623/E612)*SUM(C685:D685)</f>
        <v>394558.73237208644</v>
      </c>
      <c r="F685" s="230">
        <f>(F624/F612)*T64</f>
        <v>77650.576433640454</v>
      </c>
      <c r="G685" s="228">
        <f>(G625/G612)*T91</f>
        <v>0</v>
      </c>
      <c r="H685" s="230">
        <f>(H628/H612)*T60</f>
        <v>25514.702514358582</v>
      </c>
      <c r="I685" s="228">
        <f>(I629/I612)*T92</f>
        <v>1189.5796769817414</v>
      </c>
      <c r="J685" s="228">
        <f>(J630/J612)*T93</f>
        <v>0</v>
      </c>
      <c r="K685" s="228">
        <f>(K644/K612)*T89</f>
        <v>70690.225977079652</v>
      </c>
      <c r="L685" s="228">
        <f>(L647/L612)*T94</f>
        <v>75860.613917303548</v>
      </c>
      <c r="M685" s="212">
        <f t="shared" si="24"/>
        <v>640649</v>
      </c>
      <c r="N685" s="222" t="s">
        <v>645</v>
      </c>
    </row>
    <row r="686" spans="1:14" s="212" customFormat="1" ht="12.65" customHeight="1" x14ac:dyDescent="0.3">
      <c r="A686" s="223">
        <v>7070</v>
      </c>
      <c r="B686" s="222" t="s">
        <v>136</v>
      </c>
      <c r="C686" s="228">
        <f>U85</f>
        <v>11810570.809999999</v>
      </c>
      <c r="D686" s="228">
        <f>(D615/D612)*U90</f>
        <v>-194943.55847429993</v>
      </c>
      <c r="E686" s="230">
        <f>(E623/E612)*SUM(C686:D686)</f>
        <v>772459.47248285147</v>
      </c>
      <c r="F686" s="230">
        <f>(F624/F612)*U64</f>
        <v>264.00894302022527</v>
      </c>
      <c r="G686" s="228">
        <f>(G625/G612)*U91</f>
        <v>0</v>
      </c>
      <c r="H686" s="230">
        <f>(H628/H612)*U60</f>
        <v>199774.69202731823</v>
      </c>
      <c r="I686" s="228">
        <f>(I629/I612)*U92</f>
        <v>57694.614333614452</v>
      </c>
      <c r="J686" s="228">
        <f>(J630/J612)*U93</f>
        <v>0</v>
      </c>
      <c r="K686" s="228">
        <f>(K644/K612)*U89</f>
        <v>4175018.2808533632</v>
      </c>
      <c r="L686" s="228">
        <f>(L647/L612)*U94</f>
        <v>60565.426406746396</v>
      </c>
      <c r="M686" s="212">
        <f t="shared" si="24"/>
        <v>5070833</v>
      </c>
      <c r="N686" s="222" t="s">
        <v>646</v>
      </c>
    </row>
    <row r="687" spans="1:14" s="212" customFormat="1" ht="12.65" customHeight="1" x14ac:dyDescent="0.3">
      <c r="A687" s="223">
        <v>7110</v>
      </c>
      <c r="B687" s="222" t="s">
        <v>647</v>
      </c>
      <c r="C687" s="228">
        <f>V85</f>
        <v>934391.27</v>
      </c>
      <c r="D687" s="228">
        <f>(D615/D612)*V90</f>
        <v>-3727.0319105990852</v>
      </c>
      <c r="E687" s="230">
        <f>(E623/E612)*SUM(C687:D687)</f>
        <v>61890.795119890478</v>
      </c>
      <c r="F687" s="230">
        <f>(F624/F612)*V64</f>
        <v>29.723880479960584</v>
      </c>
      <c r="G687" s="228">
        <f>(G625/G612)*V91</f>
        <v>0</v>
      </c>
      <c r="H687" s="230">
        <f>(H628/H612)*V60</f>
        <v>6025.8127214761762</v>
      </c>
      <c r="I687" s="228">
        <f>(I629/I612)*V92</f>
        <v>29144.702086052661</v>
      </c>
      <c r="J687" s="228">
        <f>(J630/J612)*V93</f>
        <v>1.9767786058664119</v>
      </c>
      <c r="K687" s="228">
        <f>(K644/K612)*V89</f>
        <v>297025.99273522192</v>
      </c>
      <c r="L687" s="228">
        <f>(L647/L612)*V94</f>
        <v>0</v>
      </c>
      <c r="M687" s="212">
        <f t="shared" si="24"/>
        <v>390392</v>
      </c>
      <c r="N687" s="222" t="s">
        <v>648</v>
      </c>
    </row>
    <row r="688" spans="1:14" s="212" customFormat="1" ht="12.65" customHeight="1" x14ac:dyDescent="0.3">
      <c r="A688" s="223">
        <v>7120</v>
      </c>
      <c r="B688" s="222" t="s">
        <v>649</v>
      </c>
      <c r="C688" s="228">
        <f>W85</f>
        <v>1971782.67</v>
      </c>
      <c r="D688" s="228">
        <f>(D615/D612)*W90</f>
        <v>-37534.179772227952</v>
      </c>
      <c r="E688" s="230">
        <f>(E623/E612)*SUM(C688:D688)</f>
        <v>128630.8983628796</v>
      </c>
      <c r="F688" s="230">
        <f>(F624/F612)*W64</f>
        <v>692.37144841813824</v>
      </c>
      <c r="G688" s="228">
        <f>(G625/G612)*W91</f>
        <v>0</v>
      </c>
      <c r="H688" s="230">
        <f>(H628/H612)*W60</f>
        <v>29884.773902456167</v>
      </c>
      <c r="I688" s="228">
        <f>(I629/I612)*W92</f>
        <v>8921.8475773630598</v>
      </c>
      <c r="J688" s="228">
        <f>(J630/J612)*W93</f>
        <v>8296.1385814805362</v>
      </c>
      <c r="K688" s="228">
        <f>(K644/K612)*W89</f>
        <v>906520.06310895248</v>
      </c>
      <c r="L688" s="228">
        <f>(L647/L612)*W94</f>
        <v>0</v>
      </c>
      <c r="M688" s="212">
        <f t="shared" si="24"/>
        <v>1045412</v>
      </c>
      <c r="N688" s="222" t="s">
        <v>650</v>
      </c>
    </row>
    <row r="689" spans="1:14" s="212" customFormat="1" ht="12.65" customHeight="1" x14ac:dyDescent="0.3">
      <c r="A689" s="223">
        <v>7130</v>
      </c>
      <c r="B689" s="222" t="s">
        <v>651</v>
      </c>
      <c r="C689" s="228">
        <f>X85</f>
        <v>2598502.92</v>
      </c>
      <c r="D689" s="228">
        <f>(D615/D612)*X90</f>
        <v>-39430.678310807132</v>
      </c>
      <c r="E689" s="230">
        <f>(E623/E612)*SUM(C689:D689)</f>
        <v>170182.76766767754</v>
      </c>
      <c r="F689" s="230">
        <f>(F624/F612)*X64</f>
        <v>6450.9371815415489</v>
      </c>
      <c r="G689" s="228">
        <f>(G625/G612)*X91</f>
        <v>0</v>
      </c>
      <c r="H689" s="230">
        <f>(H628/H612)*X60</f>
        <v>43130.704569484878</v>
      </c>
      <c r="I689" s="228">
        <f>(I629/I612)*X92</f>
        <v>17248.90531623525</v>
      </c>
      <c r="J689" s="228">
        <f>(J630/J612)*X93</f>
        <v>30530.171243682456</v>
      </c>
      <c r="K689" s="228">
        <f>(K644/K612)*X89</f>
        <v>3246784.6925047282</v>
      </c>
      <c r="L689" s="228">
        <f>(L647/L612)*X94</f>
        <v>0</v>
      </c>
      <c r="M689" s="212">
        <f t="shared" si="24"/>
        <v>3474898</v>
      </c>
      <c r="N689" s="222" t="s">
        <v>652</v>
      </c>
    </row>
    <row r="690" spans="1:14" s="212" customFormat="1" ht="12.65" customHeight="1" x14ac:dyDescent="0.3">
      <c r="A690" s="223">
        <v>7140</v>
      </c>
      <c r="B690" s="222" t="s">
        <v>653</v>
      </c>
      <c r="C690" s="228">
        <f>Y85</f>
        <v>19481041.129999999</v>
      </c>
      <c r="D690" s="228">
        <f>(D615/D612)*Y90</f>
        <v>-667006.78166411771</v>
      </c>
      <c r="E690" s="230">
        <f>(E623/E612)*SUM(C690:D690)</f>
        <v>1251166.100055499</v>
      </c>
      <c r="F690" s="230">
        <f>(F624/F612)*Y64</f>
        <v>162691.71013941482</v>
      </c>
      <c r="G690" s="228">
        <f>(G625/G612)*Y91</f>
        <v>17773.005854729567</v>
      </c>
      <c r="H690" s="230">
        <f>(H628/H612)*Y60</f>
        <v>200154.69823497889</v>
      </c>
      <c r="I690" s="228">
        <f>(I629/I612)*Y92</f>
        <v>349141.63519414107</v>
      </c>
      <c r="J690" s="228">
        <f>(J630/J612)*Y93</f>
        <v>73754.314379230389</v>
      </c>
      <c r="K690" s="228">
        <f>(K644/K612)*Y89</f>
        <v>4110985.6285684402</v>
      </c>
      <c r="L690" s="228">
        <f>(L647/L612)*Y94</f>
        <v>57313.001476340571</v>
      </c>
      <c r="M690" s="212">
        <f t="shared" si="24"/>
        <v>5555973</v>
      </c>
      <c r="N690" s="222" t="s">
        <v>654</v>
      </c>
    </row>
    <row r="691" spans="1:14" s="212" customFormat="1" ht="12.65" customHeight="1" x14ac:dyDescent="0.3">
      <c r="A691" s="223">
        <v>7150</v>
      </c>
      <c r="B691" s="222" t="s">
        <v>655</v>
      </c>
      <c r="C691" s="228">
        <f>Z85</f>
        <v>3874908.2</v>
      </c>
      <c r="D691" s="228">
        <f>(D615/D612)*Z90</f>
        <v>-209356.94736750171</v>
      </c>
      <c r="E691" s="230">
        <f>(E623/E612)*SUM(C691:D691)</f>
        <v>243765.55184270762</v>
      </c>
      <c r="F691" s="230">
        <f>(F624/F612)*Z64</f>
        <v>1048.1857944397607</v>
      </c>
      <c r="G691" s="228">
        <f>(G625/G612)*Z91</f>
        <v>0</v>
      </c>
      <c r="H691" s="230">
        <f>(H628/H612)*Z60</f>
        <v>32137.667847872934</v>
      </c>
      <c r="I691" s="228">
        <f>(I629/I612)*Z92</f>
        <v>97545.533512502792</v>
      </c>
      <c r="J691" s="228">
        <f>(J630/J612)*Z93</f>
        <v>0</v>
      </c>
      <c r="K691" s="228">
        <f>(K644/K612)*Z89</f>
        <v>756311.53249219921</v>
      </c>
      <c r="L691" s="228">
        <f>(L647/L612)*Z94</f>
        <v>38941.195788372504</v>
      </c>
      <c r="M691" s="212">
        <f t="shared" si="24"/>
        <v>960393</v>
      </c>
      <c r="N691" s="222" t="s">
        <v>656</v>
      </c>
    </row>
    <row r="692" spans="1:14" s="212" customFormat="1" ht="12.65" customHeight="1" x14ac:dyDescent="0.3">
      <c r="A692" s="223">
        <v>7160</v>
      </c>
      <c r="B692" s="222" t="s">
        <v>657</v>
      </c>
      <c r="C692" s="228">
        <f>AA85</f>
        <v>196146.32999999984</v>
      </c>
      <c r="D692" s="228">
        <f>(D615/D612)*AA90</f>
        <v>-37732.075271905785</v>
      </c>
      <c r="E692" s="230">
        <f>(E623/E612)*SUM(C692:D692)</f>
        <v>10534.824249371004</v>
      </c>
      <c r="F692" s="230">
        <f>(F624/F612)*AA64</f>
        <v>9687.7446289050822</v>
      </c>
      <c r="G692" s="228">
        <f>(G625/G612)*AA91</f>
        <v>0</v>
      </c>
      <c r="H692" s="230">
        <f>(H628/H612)*AA60</f>
        <v>14223.089486727549</v>
      </c>
      <c r="I692" s="228">
        <f>(I629/I612)*AA92</f>
        <v>60668.563526068807</v>
      </c>
      <c r="J692" s="228">
        <f>(J630/J612)*AA93</f>
        <v>5756.1737935962428</v>
      </c>
      <c r="K692" s="228">
        <f>(K644/K612)*AA89</f>
        <v>258851.96826712455</v>
      </c>
      <c r="L692" s="228">
        <f>(L647/L612)*AA94</f>
        <v>0</v>
      </c>
      <c r="M692" s="212">
        <f t="shared" si="24"/>
        <v>321990</v>
      </c>
      <c r="N692" s="222" t="s">
        <v>658</v>
      </c>
    </row>
    <row r="693" spans="1:14" s="212" customFormat="1" ht="12.65" customHeight="1" x14ac:dyDescent="0.3">
      <c r="A693" s="223">
        <v>7170</v>
      </c>
      <c r="B693" s="222" t="s">
        <v>142</v>
      </c>
      <c r="C693" s="228">
        <f>AB85</f>
        <v>20276005.810000002</v>
      </c>
      <c r="D693" s="228">
        <f>(D615/D612)*AB90</f>
        <v>-169909.77776505475</v>
      </c>
      <c r="E693" s="230">
        <f>(E623/E612)*SUM(C693:D693)</f>
        <v>1337090.4556798483</v>
      </c>
      <c r="F693" s="230">
        <f>(F624/F612)*AB64</f>
        <v>210101.33370964756</v>
      </c>
      <c r="G693" s="228">
        <f>(G625/G612)*AB91</f>
        <v>0</v>
      </c>
      <c r="H693" s="230">
        <f>(H628/H612)*AB60</f>
        <v>168912.75930516323</v>
      </c>
      <c r="I693" s="228">
        <f>(I629/I612)*AB92</f>
        <v>61263.353364559676</v>
      </c>
      <c r="J693" s="228">
        <f>(J630/J612)*AB93</f>
        <v>2676.0885027734107</v>
      </c>
      <c r="K693" s="228">
        <f>(K644/K612)*AB89</f>
        <v>2593806.0157791185</v>
      </c>
      <c r="L693" s="228">
        <f>(L647/L612)*AB94</f>
        <v>-87.903376497454872</v>
      </c>
      <c r="M693" s="212">
        <f t="shared" si="24"/>
        <v>4203852</v>
      </c>
      <c r="N693" s="222" t="s">
        <v>659</v>
      </c>
    </row>
    <row r="694" spans="1:14" s="212" customFormat="1" ht="12.65" customHeight="1" x14ac:dyDescent="0.3">
      <c r="A694" s="223">
        <v>7180</v>
      </c>
      <c r="B694" s="222" t="s">
        <v>660</v>
      </c>
      <c r="C694" s="228">
        <f>AC85</f>
        <v>3277590.5300000003</v>
      </c>
      <c r="D694" s="228">
        <f>(D615/D612)*AC90</f>
        <v>-50727.213084083123</v>
      </c>
      <c r="E694" s="230">
        <f>(E623/E612)*SUM(C694:D694)</f>
        <v>214592.03894750762</v>
      </c>
      <c r="F694" s="230">
        <f>(F624/F612)*AC64</f>
        <v>8395.0294655916296</v>
      </c>
      <c r="G694" s="228">
        <f>(G625/G612)*AC91</f>
        <v>0</v>
      </c>
      <c r="H694" s="230">
        <f>(H628/H612)*AC60</f>
        <v>48857.940984941961</v>
      </c>
      <c r="I694" s="228">
        <f>(I629/I612)*AC92</f>
        <v>8327.0577388721886</v>
      </c>
      <c r="J694" s="228">
        <f>(J630/J612)*AC93</f>
        <v>0</v>
      </c>
      <c r="K694" s="228">
        <f>(K644/K612)*AC89</f>
        <v>799913.90644334501</v>
      </c>
      <c r="L694" s="228">
        <f>(L647/L612)*AC94</f>
        <v>0</v>
      </c>
      <c r="M694" s="212">
        <f t="shared" si="24"/>
        <v>1029359</v>
      </c>
      <c r="N694" s="222" t="s">
        <v>661</v>
      </c>
    </row>
    <row r="695" spans="1:14" s="212" customFormat="1" ht="12.65" customHeight="1" x14ac:dyDescent="0.3">
      <c r="A695" s="223">
        <v>7190</v>
      </c>
      <c r="B695" s="222" t="s">
        <v>144</v>
      </c>
      <c r="C695" s="228">
        <f>AD85</f>
        <v>1790998.39</v>
      </c>
      <c r="D695" s="228">
        <f>(D615/D612)*AD90</f>
        <v>-4403.1748678316626</v>
      </c>
      <c r="E695" s="230">
        <f>(E623/E612)*SUM(C695:D695)</f>
        <v>118811.69802862866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112133.96064435288</v>
      </c>
      <c r="L695" s="228">
        <f>(L647/L612)*AD94</f>
        <v>0</v>
      </c>
      <c r="M695" s="212">
        <f t="shared" si="24"/>
        <v>226542</v>
      </c>
      <c r="N695" s="222" t="s">
        <v>662</v>
      </c>
    </row>
    <row r="696" spans="1:14" s="212" customFormat="1" ht="12.65" customHeight="1" x14ac:dyDescent="0.3">
      <c r="A696" s="223">
        <v>7200</v>
      </c>
      <c r="B696" s="222" t="s">
        <v>663</v>
      </c>
      <c r="C696" s="228">
        <f>AE85</f>
        <v>3462846.28</v>
      </c>
      <c r="D696" s="228">
        <f>(D615/D612)*AE90</f>
        <v>-181915.43807884297</v>
      </c>
      <c r="E696" s="230">
        <f>(E623/E612)*SUM(C696:D696)</f>
        <v>218187.62366623341</v>
      </c>
      <c r="F696" s="230">
        <f>(F624/F612)*AE64</f>
        <v>271.15772440148163</v>
      </c>
      <c r="G696" s="228">
        <f>(G625/G612)*AE91</f>
        <v>0</v>
      </c>
      <c r="H696" s="230">
        <f>(H628/H612)*AE60</f>
        <v>70464.008220505188</v>
      </c>
      <c r="I696" s="228">
        <f>(I629/I612)*AE92</f>
        <v>91597.635127594083</v>
      </c>
      <c r="J696" s="228">
        <f>(J630/J612)*AE93</f>
        <v>0</v>
      </c>
      <c r="K696" s="228">
        <f>(K644/K612)*AE89</f>
        <v>248488.64051226721</v>
      </c>
      <c r="L696" s="228">
        <f>(L647/L612)*AE94</f>
        <v>0</v>
      </c>
      <c r="M696" s="212">
        <f t="shared" si="24"/>
        <v>447094</v>
      </c>
      <c r="N696" s="222" t="s">
        <v>664</v>
      </c>
    </row>
    <row r="697" spans="1:14" s="212" customFormat="1" ht="12.65" customHeight="1" x14ac:dyDescent="0.3">
      <c r="A697" s="223">
        <v>7220</v>
      </c>
      <c r="B697" s="222" t="s">
        <v>665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666</v>
      </c>
    </row>
    <row r="698" spans="1:14" s="212" customFormat="1" ht="12.65" customHeight="1" x14ac:dyDescent="0.3">
      <c r="A698" s="223">
        <v>7230</v>
      </c>
      <c r="B698" s="222" t="s">
        <v>667</v>
      </c>
      <c r="C698" s="228">
        <f>AG85</f>
        <v>30870798.649999999</v>
      </c>
      <c r="D698" s="228">
        <f>(D615/D612)*AG90</f>
        <v>-295490.96360227611</v>
      </c>
      <c r="E698" s="230">
        <f>(E623/E612)*SUM(C698:D698)</f>
        <v>2033311.2913324106</v>
      </c>
      <c r="F698" s="230">
        <f>(F624/F612)*AG64</f>
        <v>30787.372875683177</v>
      </c>
      <c r="G698" s="228">
        <f>(G625/G612)*AG91</f>
        <v>144259.08685182355</v>
      </c>
      <c r="H698" s="230">
        <f>(H628/H612)*AG60</f>
        <v>283267.48451047461</v>
      </c>
      <c r="I698" s="228">
        <f>(I629/I612)*AG92</f>
        <v>820809.97711740155</v>
      </c>
      <c r="J698" s="228">
        <f>(J630/J612)*AG93</f>
        <v>428324.40540382435</v>
      </c>
      <c r="K698" s="228">
        <f>(K644/K612)*AG89</f>
        <v>6015489.351520123</v>
      </c>
      <c r="L698" s="228">
        <f>(L647/L612)*AG94</f>
        <v>607763.94510340295</v>
      </c>
      <c r="M698" s="212">
        <f t="shared" si="24"/>
        <v>10068522</v>
      </c>
      <c r="N698" s="222" t="s">
        <v>668</v>
      </c>
    </row>
    <row r="699" spans="1:14" s="212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669</v>
      </c>
    </row>
    <row r="700" spans="1:14" s="212" customFormat="1" ht="12.65" customHeight="1" x14ac:dyDescent="0.3">
      <c r="A700" s="223">
        <v>7250</v>
      </c>
      <c r="B700" s="222" t="s">
        <v>670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671</v>
      </c>
    </row>
    <row r="701" spans="1:14" s="212" customFormat="1" ht="12.65" customHeight="1" x14ac:dyDescent="0.3">
      <c r="A701" s="223">
        <v>7260</v>
      </c>
      <c r="B701" s="222" t="s">
        <v>148</v>
      </c>
      <c r="C701" s="228">
        <f>AJ85</f>
        <v>39047077.339999996</v>
      </c>
      <c r="D701" s="228">
        <f>(D615/D612)*AJ90</f>
        <v>-280055.11462740559</v>
      </c>
      <c r="E701" s="230">
        <f>(E623/E612)*SUM(C701:D701)</f>
        <v>2578074.5963597381</v>
      </c>
      <c r="F701" s="230">
        <f>(F624/F612)*AJ64</f>
        <v>473781.79193563887</v>
      </c>
      <c r="G701" s="228">
        <f>(G625/G612)*AJ91</f>
        <v>0</v>
      </c>
      <c r="H701" s="230">
        <f>(H628/H612)*AJ60</f>
        <v>179580.07642020888</v>
      </c>
      <c r="I701" s="228">
        <f>(I629/I612)*AJ92</f>
        <v>262897.1086129648</v>
      </c>
      <c r="J701" s="228">
        <f>(J630/J612)*AJ93</f>
        <v>0</v>
      </c>
      <c r="K701" s="228">
        <f>(K644/K612)*AJ89</f>
        <v>6076193.2788838446</v>
      </c>
      <c r="L701" s="228">
        <f>(L647/L612)*AJ94</f>
        <v>226439.09785744373</v>
      </c>
      <c r="M701" s="212">
        <f t="shared" si="24"/>
        <v>9516911</v>
      </c>
      <c r="N701" s="222" t="s">
        <v>672</v>
      </c>
    </row>
    <row r="702" spans="1:14" s="212" customFormat="1" ht="12.65" customHeight="1" x14ac:dyDescent="0.3">
      <c r="A702" s="223">
        <v>7310</v>
      </c>
      <c r="B702" s="222" t="s">
        <v>673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>
        <f>(G625/G612)*AK91</f>
        <v>0</v>
      </c>
      <c r="H702" s="230">
        <f>(H628/H612)*AK60</f>
        <v>0</v>
      </c>
      <c r="I702" s="228">
        <f>(I629/I612)*AK92</f>
        <v>0</v>
      </c>
      <c r="J702" s="228">
        <f>(J630/J612)*AK93</f>
        <v>0</v>
      </c>
      <c r="K702" s="228">
        <f>(K644/K612)*AK89</f>
        <v>0</v>
      </c>
      <c r="L702" s="228">
        <f>(L647/L612)*AK94</f>
        <v>0</v>
      </c>
      <c r="M702" s="212">
        <f t="shared" si="24"/>
        <v>0</v>
      </c>
      <c r="N702" s="222" t="s">
        <v>674</v>
      </c>
    </row>
    <row r="703" spans="1:14" s="212" customFormat="1" ht="12.65" customHeight="1" x14ac:dyDescent="0.3">
      <c r="A703" s="223">
        <v>7320</v>
      </c>
      <c r="B703" s="222" t="s">
        <v>675</v>
      </c>
      <c r="C703" s="228">
        <f>AL85</f>
        <v>0</v>
      </c>
      <c r="D703" s="228">
        <f>(D615/D612)*AL90</f>
        <v>0</v>
      </c>
      <c r="E703" s="230">
        <f>(E623/E612)*SUM(C703:D703)</f>
        <v>0</v>
      </c>
      <c r="F703" s="230">
        <f>(F624/F612)*AL64</f>
        <v>0</v>
      </c>
      <c r="G703" s="228">
        <f>(G625/G612)*AL91</f>
        <v>0</v>
      </c>
      <c r="H703" s="230">
        <f>(H628/H612)*AL60</f>
        <v>0</v>
      </c>
      <c r="I703" s="228">
        <f>(I629/I612)*AL92</f>
        <v>0</v>
      </c>
      <c r="J703" s="228">
        <f>(J630/J612)*AL93</f>
        <v>0</v>
      </c>
      <c r="K703" s="228">
        <f>(K644/K612)*AL89</f>
        <v>0</v>
      </c>
      <c r="L703" s="228">
        <f>(L647/L612)*AL94</f>
        <v>0</v>
      </c>
      <c r="M703" s="212">
        <f t="shared" si="24"/>
        <v>0</v>
      </c>
      <c r="N703" s="222" t="s">
        <v>676</v>
      </c>
    </row>
    <row r="704" spans="1:14" s="212" customFormat="1" ht="12.65" customHeight="1" x14ac:dyDescent="0.3">
      <c r="A704" s="223">
        <v>7330</v>
      </c>
      <c r="B704" s="222" t="s">
        <v>677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678</v>
      </c>
    </row>
    <row r="705" spans="1:14" s="212" customFormat="1" ht="12.65" customHeight="1" x14ac:dyDescent="0.3">
      <c r="A705" s="223">
        <v>7340</v>
      </c>
      <c r="B705" s="222" t="s">
        <v>679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680</v>
      </c>
    </row>
    <row r="706" spans="1:14" s="212" customFormat="1" ht="12.65" customHeight="1" x14ac:dyDescent="0.3">
      <c r="A706" s="223">
        <v>7350</v>
      </c>
      <c r="B706" s="222" t="s">
        <v>681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682</v>
      </c>
    </row>
    <row r="707" spans="1:14" s="212" customFormat="1" ht="12.65" customHeight="1" x14ac:dyDescent="0.3">
      <c r="A707" s="223">
        <v>7380</v>
      </c>
      <c r="B707" s="222" t="s">
        <v>683</v>
      </c>
      <c r="C707" s="228">
        <f>AP85</f>
        <v>114463244.66</v>
      </c>
      <c r="D707" s="228">
        <f>(D615/D612)*AP90</f>
        <v>-2852168.8891066895</v>
      </c>
      <c r="E707" s="230">
        <f>(E623/E612)*SUM(C707:D707)</f>
        <v>7422331.2134868624</v>
      </c>
      <c r="F707" s="230">
        <f>(F624/F612)*AP64</f>
        <v>56974.949593570753</v>
      </c>
      <c r="G707" s="228">
        <f>(G625/G612)*AP91</f>
        <v>0</v>
      </c>
      <c r="H707" s="230">
        <f>(H628/H612)*AP60</f>
        <v>1059891.5997666745</v>
      </c>
      <c r="I707" s="228">
        <f>(I629/I612)*AP92</f>
        <v>378881.12711868458</v>
      </c>
      <c r="J707" s="228">
        <f>(J630/J612)*AP93</f>
        <v>3853.5928876787375</v>
      </c>
      <c r="K707" s="228">
        <f>(K644/K612)*AP89</f>
        <v>5035746.6049864721</v>
      </c>
      <c r="L707" s="228">
        <f>(L647/L612)*AP94</f>
        <v>1025832.4037252984</v>
      </c>
      <c r="M707" s="212">
        <f t="shared" si="24"/>
        <v>12131343</v>
      </c>
      <c r="N707" s="222" t="s">
        <v>684</v>
      </c>
    </row>
    <row r="708" spans="1:14" s="212" customFormat="1" ht="12.65" customHeight="1" x14ac:dyDescent="0.3">
      <c r="A708" s="223">
        <v>7390</v>
      </c>
      <c r="B708" s="222" t="s">
        <v>685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686</v>
      </c>
    </row>
    <row r="709" spans="1:14" s="212" customFormat="1" ht="12.65" customHeight="1" x14ac:dyDescent="0.3">
      <c r="A709" s="223">
        <v>7400</v>
      </c>
      <c r="B709" s="222" t="s">
        <v>687</v>
      </c>
      <c r="C709" s="228">
        <f>AR85</f>
        <v>13029486.08</v>
      </c>
      <c r="D709" s="228">
        <f>(D615/D612)*AR90</f>
        <v>-567943.59278372524</v>
      </c>
      <c r="E709" s="230">
        <f>(E623/E612)*SUM(C709:D709)</f>
        <v>828714.31112197204</v>
      </c>
      <c r="F709" s="230">
        <f>(F624/F612)*AR64</f>
        <v>22822.621378443291</v>
      </c>
      <c r="G709" s="228">
        <f>(G625/G612)*AR91</f>
        <v>0</v>
      </c>
      <c r="H709" s="230">
        <f>(H628/H612)*AR60</f>
        <v>213427.7722025548</v>
      </c>
      <c r="I709" s="228">
        <f>(I629/I612)*AR92</f>
        <v>308695.92617676186</v>
      </c>
      <c r="J709" s="228">
        <f>(J630/J612)*AR93</f>
        <v>0</v>
      </c>
      <c r="K709" s="228">
        <f>(K644/K612)*AR89</f>
        <v>647499.7717101915</v>
      </c>
      <c r="L709" s="228">
        <f>(L647/L612)*AR94</f>
        <v>351086.08573083469</v>
      </c>
      <c r="M709" s="212">
        <f t="shared" si="24"/>
        <v>1804303</v>
      </c>
      <c r="N709" s="222" t="s">
        <v>688</v>
      </c>
    </row>
    <row r="710" spans="1:14" s="212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689</v>
      </c>
    </row>
    <row r="711" spans="1:14" s="212" customFormat="1" ht="12.65" customHeight="1" x14ac:dyDescent="0.3">
      <c r="A711" s="223">
        <v>7420</v>
      </c>
      <c r="B711" s="222" t="s">
        <v>690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691</v>
      </c>
    </row>
    <row r="712" spans="1:14" s="212" customFormat="1" ht="12.65" customHeight="1" x14ac:dyDescent="0.3">
      <c r="A712" s="223">
        <v>7430</v>
      </c>
      <c r="B712" s="222" t="s">
        <v>692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693</v>
      </c>
    </row>
    <row r="713" spans="1:14" s="212" customFormat="1" ht="12.65" customHeight="1" x14ac:dyDescent="0.3">
      <c r="A713" s="223">
        <v>7490</v>
      </c>
      <c r="B713" s="222" t="s">
        <v>694</v>
      </c>
      <c r="C713" s="228">
        <f>AV85</f>
        <v>34427791.890000001</v>
      </c>
      <c r="D713" s="228">
        <f>(D615/D612)*AV90</f>
        <v>-179557.18337434885</v>
      </c>
      <c r="E713" s="230">
        <f>(E623/E612)*SUM(C713:D713)</f>
        <v>2277567.3445852059</v>
      </c>
      <c r="F713" s="230">
        <f>(F624/F612)*AV64</f>
        <v>179009.69296421812</v>
      </c>
      <c r="G713" s="228">
        <f>(G625/G612)*AV91</f>
        <v>0</v>
      </c>
      <c r="H713" s="230">
        <f>(H628/H612)*AV60</f>
        <v>353921.49583481008</v>
      </c>
      <c r="I713" s="228">
        <f>(I629/I612)*AV92</f>
        <v>249216.9423276748</v>
      </c>
      <c r="J713" s="228">
        <f>(J630/J612)*AV93</f>
        <v>13848.126802743103</v>
      </c>
      <c r="K713" s="228">
        <f>(K644/K612)*AV89</f>
        <v>4785476.5036430843</v>
      </c>
      <c r="L713" s="228">
        <f>(L647/L612)*AV94</f>
        <v>203584.21996810546</v>
      </c>
      <c r="M713" s="212">
        <f t="shared" si="24"/>
        <v>7883067</v>
      </c>
      <c r="N713" s="224" t="s">
        <v>695</v>
      </c>
    </row>
    <row r="714" spans="1:14" s="212" customFormat="1" ht="12.65" customHeight="1" x14ac:dyDescent="0.3"/>
    <row r="715" spans="1:14" s="212" customFormat="1" ht="12.65" customHeight="1" x14ac:dyDescent="0.3">
      <c r="C715" s="225">
        <f>SUM(C614:C647)+SUM(C668:C713)</f>
        <v>505560241.68199998</v>
      </c>
      <c r="D715" s="212">
        <f>SUM(D616:D647)+SUM(D668:D713)</f>
        <v>-10621463.75</v>
      </c>
      <c r="E715" s="212">
        <f>SUM(E624:E647)+SUM(E668:E713)</f>
        <v>31524222.12553047</v>
      </c>
      <c r="F715" s="212">
        <f>SUM(F625:F648)+SUM(F668:F713)</f>
        <v>1688441.8829784577</v>
      </c>
      <c r="G715" s="212">
        <f>SUM(G626:G647)+SUM(G668:G713)</f>
        <v>3089099.7469546902</v>
      </c>
      <c r="H715" s="212">
        <f>SUM(H629:H647)+SUM(H668:H713)</f>
        <v>5499151.2609590469</v>
      </c>
      <c r="I715" s="212">
        <f>SUM(I630:I647)+SUM(I668:I713)</f>
        <v>5317421.1561083831</v>
      </c>
      <c r="J715" s="212">
        <f>SUM(J631:J647)+SUM(J668:J713)</f>
        <v>1978446.9580795995</v>
      </c>
      <c r="K715" s="212">
        <f>SUM(K668:K713)</f>
        <v>53851833.569043562</v>
      </c>
      <c r="L715" s="212">
        <f>SUM(L668:L713)</f>
        <v>6157279.910140723</v>
      </c>
      <c r="M715" s="212">
        <f>SUM(M668:M713)</f>
        <v>94078658</v>
      </c>
      <c r="N715" s="222" t="s">
        <v>696</v>
      </c>
    </row>
    <row r="716" spans="1:14" s="212" customFormat="1" ht="12.65" customHeight="1" x14ac:dyDescent="0.3">
      <c r="C716" s="225">
        <f>CE85</f>
        <v>505560241.68199992</v>
      </c>
      <c r="D716" s="212">
        <f>D615</f>
        <v>-10621463.75</v>
      </c>
      <c r="E716" s="212">
        <f>E623</f>
        <v>31524222.125530466</v>
      </c>
      <c r="F716" s="212">
        <f>F624</f>
        <v>1688441.882978458</v>
      </c>
      <c r="G716" s="212">
        <f>G625</f>
        <v>3089099.7469546897</v>
      </c>
      <c r="H716" s="212">
        <f>H628</f>
        <v>5499151.2609590478</v>
      </c>
      <c r="I716" s="212">
        <f>I629</f>
        <v>5317421.156108384</v>
      </c>
      <c r="J716" s="212">
        <f>J630</f>
        <v>1978446.9580795998</v>
      </c>
      <c r="K716" s="212">
        <f>K644</f>
        <v>53851833.569043554</v>
      </c>
      <c r="L716" s="212">
        <f>L647</f>
        <v>6157279.9101407249</v>
      </c>
      <c r="M716" s="212">
        <f>C648</f>
        <v>94078658.15200001</v>
      </c>
      <c r="N716" s="222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131C-A39F-4226-A14C-6E0AEDDC73EB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x14ac:dyDescent="0.35">
      <c r="A2" s="11" t="str">
        <f>MONTH(data!C96) &amp; "-" &amp; DAY(data!C96)</f>
        <v>12-31</v>
      </c>
      <c r="B2" s="211" t="str">
        <f>RIGHT(data!C97, 3)</f>
        <v>058</v>
      </c>
      <c r="C2" s="11" t="str">
        <f>SUBSTITUTE(LEFT(data!C98,49),",","")</f>
        <v xml:space="preserve">YAKIMA VALLEY MEMORIAL </v>
      </c>
      <c r="D2" s="11" t="str">
        <f>LEFT(data!C99, 49)</f>
        <v>2811 TIETON DRIVE</v>
      </c>
      <c r="E2" s="11" t="str">
        <f>LEFT(data!C100, 100)</f>
        <v>YAKIMA</v>
      </c>
      <c r="F2" s="11" t="str">
        <f>LEFT(data!C101, 2)</f>
        <v>WA</v>
      </c>
      <c r="G2" s="11" t="str">
        <f>LEFT(data!C102, 100)</f>
        <v>98902</v>
      </c>
      <c r="H2" s="11" t="str">
        <f>LEFT(data!C103, 100)</f>
        <v>YAKIMA</v>
      </c>
      <c r="I2" s="11" t="str">
        <f>LEFT(data!C104, 49)</f>
        <v>TAMMY BUYOK</v>
      </c>
      <c r="J2" s="11" t="str">
        <f>LEFT(data!C105, 49)</f>
        <v>VACANT</v>
      </c>
      <c r="K2" s="11" t="str">
        <f>LEFT(data!C107, 49)</f>
        <v>(509) 575-8000</v>
      </c>
      <c r="L2" s="11" t="str">
        <f>LEFT(data!C108, 49)</f>
        <v>(509) 575-8863</v>
      </c>
      <c r="M2" s="11" t="str">
        <f>LEFT(data!C109, 49)</f>
        <v>ANNE BEAUVAIS</v>
      </c>
      <c r="N2" s="11" t="str">
        <f>LEFT(data!C110, 49)</f>
        <v>ANNE.BEAUVAIS@MULTICARE.ORG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95A4-4A87-433C-A326-714495DD1BC4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1070</v>
      </c>
      <c r="B1" s="12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78" customFormat="1" ht="12.65" customHeight="1" x14ac:dyDescent="0.35">
      <c r="A2" s="12" t="str">
        <f>RIGHT(data!C97,3)</f>
        <v>058</v>
      </c>
      <c r="B2" s="210" t="str">
        <f>RIGHT(data!C96,4)</f>
        <v>2023</v>
      </c>
      <c r="C2" s="12" t="s">
        <v>1154</v>
      </c>
      <c r="D2" s="209">
        <f>ROUND(N(data!C181),0)</f>
        <v>15333404</v>
      </c>
      <c r="E2" s="209">
        <f>ROUND(N(data!C182),0)</f>
        <v>540865</v>
      </c>
      <c r="F2" s="209">
        <f>ROUND(N(data!C183),0)</f>
        <v>1122833</v>
      </c>
      <c r="G2" s="209">
        <f>ROUND(N(data!C184),0)</f>
        <v>17100107</v>
      </c>
      <c r="H2" s="209">
        <f>ROUND(N(data!C185),0)</f>
        <v>1011832</v>
      </c>
      <c r="I2" s="209">
        <f>ROUND(N(data!C186),0)</f>
        <v>12520870</v>
      </c>
      <c r="J2" s="209">
        <f>ROUND(N(data!C187)+N(data!C188),0)</f>
        <v>5754287</v>
      </c>
      <c r="K2" s="209">
        <f>ROUND(N(data!C191),0)</f>
        <v>6350953</v>
      </c>
      <c r="L2" s="209">
        <f>ROUND(N(data!C192),0)</f>
        <v>2078240</v>
      </c>
      <c r="M2" s="209">
        <f>ROUND(N(data!C195),0)</f>
        <v>2494723</v>
      </c>
      <c r="N2" s="209">
        <f>ROUND(N(data!C196),0)</f>
        <v>265638</v>
      </c>
      <c r="O2" s="209">
        <f>ROUND(N(data!C199),0)</f>
        <v>343575</v>
      </c>
      <c r="P2" s="209">
        <f>ROUND(N(data!C200),0)</f>
        <v>540793</v>
      </c>
      <c r="Q2" s="209">
        <f>ROUND(N(data!C201),0)</f>
        <v>12788379</v>
      </c>
      <c r="R2" s="209">
        <f>ROUND(N(data!C204),0)</f>
        <v>0</v>
      </c>
      <c r="S2" s="209">
        <f>ROUND(N(data!C205),0)</f>
        <v>3071193</v>
      </c>
      <c r="T2" s="209">
        <f>ROUND(N(data!B211),0)</f>
        <v>12075579</v>
      </c>
      <c r="U2" s="209">
        <f>ROUND(N(data!C211),0)</f>
        <v>5428832</v>
      </c>
      <c r="V2" s="209">
        <f>ROUND(N(data!D211),0)</f>
        <v>0</v>
      </c>
      <c r="W2" s="209">
        <f>ROUND(N(data!B212),0)</f>
        <v>2770751</v>
      </c>
      <c r="X2" s="209">
        <f>ROUND(N(data!C212),0)</f>
        <v>6565859</v>
      </c>
      <c r="Y2" s="209">
        <f>ROUND(N(data!D212),0)</f>
        <v>0</v>
      </c>
      <c r="Z2" s="209">
        <f>ROUND(N(data!B213),0)</f>
        <v>108492708</v>
      </c>
      <c r="AA2" s="209">
        <f>ROUND(N(data!C213),0)</f>
        <v>28617075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72421252</v>
      </c>
      <c r="AG2" s="209">
        <f>ROUND(N(data!C215),0)</f>
        <v>3546679</v>
      </c>
      <c r="AH2" s="209">
        <f>ROUND(N(data!D215),0)</f>
        <v>0</v>
      </c>
      <c r="AI2" s="209">
        <f>ROUND(N(data!B216),0)</f>
        <v>102574826</v>
      </c>
      <c r="AJ2" s="209">
        <f>ROUND(N(data!C216),0)</f>
        <v>6045342</v>
      </c>
      <c r="AK2" s="209">
        <f>ROUND(N(data!D216),0)</f>
        <v>90000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6785018</v>
      </c>
      <c r="AP2" s="209">
        <f>ROUND(N(data!C218),0)</f>
        <v>593074</v>
      </c>
      <c r="AQ2" s="209">
        <f>ROUND(N(data!D218),0)</f>
        <v>0</v>
      </c>
      <c r="AR2" s="209">
        <f>ROUND(N(data!B219),0)</f>
        <v>14365765</v>
      </c>
      <c r="AS2" s="209">
        <f>ROUND(N(data!C219),0)</f>
        <v>-1641317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1867768</v>
      </c>
      <c r="AY2" s="209">
        <f>ROUND(N(data!C225),0)</f>
        <v>-679803</v>
      </c>
      <c r="AZ2" s="209">
        <f>ROUND(N(data!D225),0)</f>
        <v>0</v>
      </c>
      <c r="BA2" s="209">
        <f>ROUND(N(data!B226),0)</f>
        <v>26592879</v>
      </c>
      <c r="BB2" s="209">
        <f>ROUND(N(data!C226),0)</f>
        <v>-20212767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31464472</v>
      </c>
      <c r="BH2" s="209">
        <f>ROUND(N(data!C228),0)</f>
        <v>5093786</v>
      </c>
      <c r="BI2" s="209">
        <f>ROUND(N(data!D228),0)</f>
        <v>0</v>
      </c>
      <c r="BJ2" s="209">
        <f>ROUND(N(data!B229),0)</f>
        <v>71063299</v>
      </c>
      <c r="BK2" s="209">
        <f>ROUND(N(data!C229),0)</f>
        <v>8230539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3641678</v>
      </c>
      <c r="BQ2" s="209">
        <f>ROUND(N(data!C231),0)</f>
        <v>656527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605971455</v>
      </c>
      <c r="BW2" s="209">
        <f>ROUND(N(data!C240),0)</f>
        <v>359976625</v>
      </c>
      <c r="BX2" s="209">
        <f>ROUND(N(data!C241),0)</f>
        <v>14281445</v>
      </c>
      <c r="BY2" s="209">
        <f>ROUND(N(data!C242),0)</f>
        <v>0</v>
      </c>
      <c r="BZ2" s="209">
        <f>ROUND(N(data!C243),0)</f>
        <v>221592467</v>
      </c>
      <c r="CA2" s="209">
        <f>ROUND(N(data!C244),0)</f>
        <v>0</v>
      </c>
      <c r="CB2" s="209">
        <f>ROUND(N(data!C247),0)</f>
        <v>36550</v>
      </c>
      <c r="CC2" s="209">
        <f>ROUND(N(data!C249),0)</f>
        <v>0</v>
      </c>
      <c r="CD2" s="209">
        <f>ROUND(N(data!C250),0)</f>
        <v>40850111</v>
      </c>
      <c r="CE2" s="209">
        <f>ROUND(N(data!C254)+N(data!C255),0)</f>
        <v>14794862</v>
      </c>
      <c r="CF2" s="209">
        <f>ROUND(N(data!D237),0)</f>
        <v>9299679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BC7A-B771-465B-9538-AA6A1FA5EEC6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8" customFormat="1" ht="12.65" customHeight="1" x14ac:dyDescent="0.35">
      <c r="A2" s="12" t="str">
        <f>RIGHT(data!C97,3)</f>
        <v>058</v>
      </c>
      <c r="B2" s="12" t="str">
        <f>RIGHT(data!C96,4)</f>
        <v>2023</v>
      </c>
      <c r="C2" s="12" t="s">
        <v>1154</v>
      </c>
      <c r="D2" s="208">
        <f>ROUND(N(data!C127),0)</f>
        <v>14397</v>
      </c>
      <c r="E2" s="208">
        <f>ROUND(N(data!C128),0)</f>
        <v>0</v>
      </c>
      <c r="F2" s="208">
        <f>ROUND(N(data!C129),0)</f>
        <v>0</v>
      </c>
      <c r="G2" s="208">
        <f>ROUND(N(data!C130),0)</f>
        <v>2516</v>
      </c>
      <c r="H2" s="208">
        <f>ROUND(N(data!D127),0)</f>
        <v>58013</v>
      </c>
      <c r="I2" s="208">
        <f>ROUND(N(data!D128),0)</f>
        <v>0</v>
      </c>
      <c r="J2" s="208">
        <f>ROUND(N(data!D129),0)</f>
        <v>0</v>
      </c>
      <c r="K2" s="208">
        <f>ROUND(N(data!D130),0)</f>
        <v>4854</v>
      </c>
      <c r="L2" s="208">
        <f>ROUND(N(data!C132),0)</f>
        <v>18</v>
      </c>
      <c r="M2" s="208">
        <f>ROUND(N(data!C133),0)</f>
        <v>20</v>
      </c>
      <c r="N2" s="208">
        <f>ROUND(N(data!C134),0)</f>
        <v>122</v>
      </c>
      <c r="O2" s="208">
        <f>ROUND(N(data!C135),0)</f>
        <v>16</v>
      </c>
      <c r="P2" s="208">
        <f>ROUND(N(data!C136),0)</f>
        <v>32</v>
      </c>
      <c r="Q2" s="208">
        <f>ROUND(N(data!C137),0)</f>
        <v>0</v>
      </c>
      <c r="R2" s="208">
        <f>ROUND(N(data!C138),0)</f>
        <v>18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226</v>
      </c>
      <c r="X2" s="208">
        <f>ROUND(N(data!C145),0)</f>
        <v>32</v>
      </c>
      <c r="Y2" s="208">
        <f>ROUND(N(data!B154),0)</f>
        <v>5377</v>
      </c>
      <c r="Z2" s="208">
        <f>ROUND(N(data!B155),0)</f>
        <v>29609</v>
      </c>
      <c r="AA2" s="208">
        <f>ROUND(N(data!B156),0)</f>
        <v>148973</v>
      </c>
      <c r="AB2" s="208">
        <f>ROUND(N(data!B157),0)</f>
        <v>285311510</v>
      </c>
      <c r="AC2" s="208">
        <f>ROUND(N(data!B158),0)</f>
        <v>554483295</v>
      </c>
      <c r="AD2" s="208">
        <f>ROUND(N(data!C154),0)</f>
        <v>3660</v>
      </c>
      <c r="AE2" s="208">
        <f>ROUND(N(data!C155),0)</f>
        <v>13788</v>
      </c>
      <c r="AF2" s="208">
        <f>ROUND(N(data!C156),0)</f>
        <v>77779</v>
      </c>
      <c r="AG2" s="208">
        <f>ROUND(N(data!C157),0)</f>
        <v>157489205</v>
      </c>
      <c r="AH2" s="208">
        <f>ROUND(N(data!C158),0)</f>
        <v>289689260</v>
      </c>
      <c r="AI2" s="208">
        <f>ROUND(N(data!D154),0)</f>
        <v>2644</v>
      </c>
      <c r="AJ2" s="208">
        <f>ROUND(N(data!D155),0)</f>
        <v>9324</v>
      </c>
      <c r="AK2" s="208">
        <f>ROUND(N(data!D156),0)</f>
        <v>107660</v>
      </c>
      <c r="AL2" s="208">
        <f>ROUND(N(data!D157),0)</f>
        <v>102868468</v>
      </c>
      <c r="AM2" s="208">
        <f>ROUND(N(data!D158),0)</f>
        <v>400519189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454F-CE7F-4C36-AD07-986337F11371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6" t="s">
        <v>1320</v>
      </c>
      <c r="CR1" s="206" t="s">
        <v>1321</v>
      </c>
      <c r="CS1" s="206" t="s">
        <v>1322</v>
      </c>
      <c r="CT1" s="206" t="s">
        <v>1323</v>
      </c>
      <c r="CU1" s="206" t="s">
        <v>1324</v>
      </c>
      <c r="CV1" s="206" t="s">
        <v>1325</v>
      </c>
      <c r="CW1" s="206" t="s">
        <v>1326</v>
      </c>
      <c r="CX1" s="206" t="s">
        <v>1327</v>
      </c>
      <c r="CY1" s="206" t="s">
        <v>1328</v>
      </c>
      <c r="CZ1" s="206" t="s">
        <v>1329</v>
      </c>
      <c r="DA1" s="206" t="s">
        <v>1330</v>
      </c>
      <c r="DB1" s="206" t="s">
        <v>1331</v>
      </c>
      <c r="DC1" s="206" t="s">
        <v>1332</v>
      </c>
      <c r="DD1" s="206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8" customFormat="1" ht="12.65" customHeight="1" x14ac:dyDescent="0.35">
      <c r="A2" s="209" t="str">
        <f>RIGHT(data!C97,3)</f>
        <v>058</v>
      </c>
      <c r="B2" s="210" t="str">
        <f>RIGHT(data!C96,4)</f>
        <v>2023</v>
      </c>
      <c r="C2" s="12" t="s">
        <v>1154</v>
      </c>
      <c r="D2" s="208">
        <f>ROUND(N(data!C181),0)</f>
        <v>15333404</v>
      </c>
      <c r="E2" s="208">
        <f>ROUND(N(data!C267),0)</f>
        <v>0</v>
      </c>
      <c r="F2" s="208">
        <f>ROUND(N(data!C268),0)</f>
        <v>266708843</v>
      </c>
      <c r="G2" s="208">
        <f>ROUND(N(data!C269),0)</f>
        <v>193606087</v>
      </c>
      <c r="H2" s="208">
        <f>ROUND(N(data!C270),0)</f>
        <v>1957894</v>
      </c>
      <c r="I2" s="208">
        <f>ROUND(N(data!C271),0)</f>
        <v>21444130</v>
      </c>
      <c r="J2" s="208">
        <f>ROUND(N(data!C272),0)</f>
        <v>0</v>
      </c>
      <c r="K2" s="208">
        <f>ROUND(N(data!C273),0)</f>
        <v>9412250</v>
      </c>
      <c r="L2" s="208">
        <f>ROUND(N(data!C274),0)</f>
        <v>3782600</v>
      </c>
      <c r="M2" s="208">
        <f>ROUND(N(data!C275),0)</f>
        <v>0</v>
      </c>
      <c r="N2" s="208">
        <f>ROUND(N(data!C278),0)</f>
        <v>0</v>
      </c>
      <c r="O2" s="208">
        <f>ROUND(N(data!C279),0)</f>
        <v>4510608</v>
      </c>
      <c r="P2" s="208">
        <f>ROUND(N(data!C280),0)</f>
        <v>3898446</v>
      </c>
      <c r="Q2" s="208">
        <f>ROUND(N(data!C283),0)</f>
        <v>17504411</v>
      </c>
      <c r="R2" s="208">
        <f>ROUND(N(data!C284),0)</f>
        <v>9336610</v>
      </c>
      <c r="S2" s="208">
        <f>ROUND(N(data!C285),0)</f>
        <v>137109783</v>
      </c>
      <c r="T2" s="208">
        <f>ROUND(N(data!C286),0)</f>
        <v>0</v>
      </c>
      <c r="U2" s="208">
        <f>ROUND(N(data!C287),0)</f>
        <v>75967931</v>
      </c>
      <c r="V2" s="208">
        <f>ROUND(N(data!C288),0)</f>
        <v>108530168</v>
      </c>
      <c r="W2" s="208">
        <f>ROUND(N(data!C289),0)</f>
        <v>7378092</v>
      </c>
      <c r="X2" s="208">
        <f>ROUND(N(data!C290),0)</f>
        <v>12964286</v>
      </c>
      <c r="Y2" s="208">
        <f>ROUND(N(data!C291),0)</f>
        <v>0</v>
      </c>
      <c r="Z2" s="208">
        <f>ROUND(N(data!C292),0)</f>
        <v>127718378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24463143</v>
      </c>
      <c r="AE2" s="208">
        <f>ROUND(N(data!C302),0)</f>
        <v>92006000</v>
      </c>
      <c r="AF2" s="208">
        <f>ROUND(N(data!C303),0)</f>
        <v>0</v>
      </c>
      <c r="AG2" s="208">
        <f>ROUND(N(data!C304),0)</f>
        <v>0</v>
      </c>
      <c r="AH2" s="208">
        <f>ROUND(N(data!C305),0)</f>
        <v>7439467</v>
      </c>
      <c r="AI2" s="208">
        <f>ROUND(N(data!C314),0)</f>
        <v>0</v>
      </c>
      <c r="AJ2" s="208">
        <f>ROUND(N(data!C315),0)</f>
        <v>38436390</v>
      </c>
      <c r="AK2" s="208">
        <f>ROUND(N(data!C316),0)</f>
        <v>44593848</v>
      </c>
      <c r="AL2" s="208">
        <f>ROUND(N(data!C317),0)</f>
        <v>6407903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9689690</v>
      </c>
      <c r="AR2" s="208">
        <f>ROUND(N(data!C323),0)</f>
        <v>0</v>
      </c>
      <c r="AS2" s="208">
        <f>ROUND(N(data!C326),0)</f>
        <v>0</v>
      </c>
      <c r="AT2" s="208">
        <f>ROUND(N(data!C327),0)</f>
        <v>6056000</v>
      </c>
      <c r="AU2" s="208">
        <f>ROUND(N(data!C328),0)</f>
        <v>3743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19469136</v>
      </c>
      <c r="AZ2" s="208">
        <f>ROUND(N(data!C335),0)</f>
        <v>0</v>
      </c>
      <c r="BA2" s="208">
        <f>ROUND(N(data!C336),0)</f>
        <v>61463951</v>
      </c>
      <c r="BB2" s="208">
        <f>ROUND(N(data!C337),0)</f>
        <v>0</v>
      </c>
      <c r="BC2" s="208">
        <f>ROUND(N(data!C338),0)</f>
        <v>1792858</v>
      </c>
      <c r="BD2" s="208">
        <f>ROUND(N(data!C339),0)</f>
        <v>0</v>
      </c>
      <c r="BE2" s="208">
        <f>ROUND(N(data!C343),0)</f>
        <v>374640703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2272.08</v>
      </c>
      <c r="BL2" s="208">
        <f>ROUND(N(data!C358),0)</f>
        <v>545669185</v>
      </c>
      <c r="BM2" s="208">
        <f>ROUND(N(data!C359),0)</f>
        <v>1216091600</v>
      </c>
      <c r="BN2" s="208">
        <f>ROUND(N(data!C363),0)</f>
        <v>1201821992</v>
      </c>
      <c r="BO2" s="208">
        <f>ROUND(N(data!C364),0)</f>
        <v>40850111</v>
      </c>
      <c r="BP2" s="208">
        <f>ROUND(N(data!C365),0)</f>
        <v>14794861</v>
      </c>
      <c r="BQ2" s="208">
        <f>ROUND(N(data!D381),0)</f>
        <v>55840263</v>
      </c>
      <c r="BR2" s="208">
        <f>ROUND(N(data!C370),0)</f>
        <v>9488300</v>
      </c>
      <c r="BS2" s="208">
        <f>ROUND(N(data!C371),0)</f>
        <v>9379143</v>
      </c>
      <c r="BT2" s="208">
        <f>ROUND(N(data!C372),0)</f>
        <v>0</v>
      </c>
      <c r="BU2" s="208">
        <f>ROUND(N(data!C373),0)</f>
        <v>0</v>
      </c>
      <c r="BV2" s="208">
        <f>ROUND(N(data!C374),0)</f>
        <v>28600143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134885</v>
      </c>
      <c r="CA2" s="208">
        <f>ROUND(N(data!C379),0)</f>
        <v>2269848</v>
      </c>
      <c r="CB2" s="208">
        <f>ROUND(N(data!C380),0)</f>
        <v>5967944</v>
      </c>
      <c r="CC2" s="208">
        <f>ROUND(N(data!C382),0)</f>
        <v>0</v>
      </c>
      <c r="CD2" s="208">
        <f>ROUND(N(data!C389),0)</f>
        <v>236787162</v>
      </c>
      <c r="CE2" s="208">
        <f>ROUND(N(data!C390),0)</f>
        <v>53384198</v>
      </c>
      <c r="CF2" s="208">
        <f>ROUND(N(data!C391),0)</f>
        <v>36228291</v>
      </c>
      <c r="CG2" s="208">
        <f>ROUND(N(data!C392),0)</f>
        <v>99004258</v>
      </c>
      <c r="CH2" s="208">
        <f>ROUND(N(data!C393),0)</f>
        <v>3524012</v>
      </c>
      <c r="CI2" s="208">
        <f>ROUND(N(data!C394),0)</f>
        <v>25040090</v>
      </c>
      <c r="CJ2" s="208">
        <f>ROUND(N(data!C395),0)</f>
        <v>21976671</v>
      </c>
      <c r="CK2" s="208">
        <f>ROUND(N(data!C396),0)</f>
        <v>8856289</v>
      </c>
      <c r="CL2" s="208">
        <f>ROUND(N(data!C397),0)</f>
        <v>1157330</v>
      </c>
      <c r="CM2" s="208">
        <f>ROUND(N(data!C398),0)</f>
        <v>13672747</v>
      </c>
      <c r="CN2" s="208">
        <f>ROUND(N(data!C399),0)</f>
        <v>3071193</v>
      </c>
      <c r="CO2" s="208">
        <f>ROUND(N(data!C362),0)</f>
        <v>9299679</v>
      </c>
      <c r="CP2" s="208">
        <f>ROUND(N(data!D415),0)</f>
        <v>63406575</v>
      </c>
      <c r="CQ2" s="61">
        <f>ROUND(N(data!C401),0)</f>
        <v>1360151</v>
      </c>
      <c r="CR2" s="61">
        <f>ROUND(N(data!C402),0)</f>
        <v>6789053</v>
      </c>
      <c r="CS2" s="61">
        <f>ROUND(N(data!C403),0)</f>
        <v>22779612</v>
      </c>
      <c r="CT2" s="61">
        <f>ROUND(N(data!C404),0)</f>
        <v>1603061</v>
      </c>
      <c r="CU2" s="61">
        <f>ROUND(N(data!C405),0)</f>
        <v>2075010</v>
      </c>
      <c r="CV2" s="61">
        <f>ROUND(N(data!C406),0)</f>
        <v>9527475</v>
      </c>
      <c r="CW2" s="61">
        <f>ROUND(N(data!C407),0)</f>
        <v>1622641</v>
      </c>
      <c r="CX2" s="61">
        <f>ROUND(N(data!C408),0)</f>
        <v>2946091</v>
      </c>
      <c r="CY2" s="61">
        <f>ROUND(N(data!C409),0)</f>
        <v>0</v>
      </c>
      <c r="CZ2" s="61">
        <f>ROUND(N(data!C410),0)</f>
        <v>415885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14287596</v>
      </c>
      <c r="DE2" s="61">
        <f>ROUND(N(data!C419),0)</f>
        <v>0</v>
      </c>
      <c r="DF2" s="208">
        <f>ROUND(N(data!D420),0)</f>
        <v>170949394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FF0C-5C99-4047-A7A1-401F883A57D9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058</v>
      </c>
      <c r="B2" s="210" t="str">
        <f>RIGHT(data!$C$96,4)</f>
        <v>2023</v>
      </c>
      <c r="C2" s="12" t="str">
        <f>data!C$55</f>
        <v>6010</v>
      </c>
      <c r="D2" s="12" t="s">
        <v>1154</v>
      </c>
      <c r="E2" s="208">
        <f>ROUND(N(data!C59), 0)</f>
        <v>0</v>
      </c>
      <c r="F2" s="319">
        <f>ROUND(N(data!C60), 2)</f>
        <v>47.48</v>
      </c>
      <c r="G2" s="208">
        <f>ROUND(N(data!C61), 0)</f>
        <v>5383478</v>
      </c>
      <c r="H2" s="208">
        <f>ROUND(N(data!C62), 0)</f>
        <v>1222630</v>
      </c>
      <c r="I2" s="208">
        <f>ROUND(N(data!C63), 0)</f>
        <v>606612</v>
      </c>
      <c r="J2" s="208">
        <f>ROUND(N(data!C64), 0)</f>
        <v>528043</v>
      </c>
      <c r="K2" s="208">
        <f>ROUND(N(data!C65), 0)</f>
        <v>0</v>
      </c>
      <c r="L2" s="208">
        <f>ROUND(N(data!C66), 0)</f>
        <v>14468</v>
      </c>
      <c r="M2" s="208">
        <f>ROUND(N(data!C67), 0)</f>
        <v>235284</v>
      </c>
      <c r="N2" s="208">
        <f>ROUND(N(data!C68), 0)</f>
        <v>2026</v>
      </c>
      <c r="O2" s="208">
        <f>ROUND(N(data!C69), 0)</f>
        <v>1055704</v>
      </c>
      <c r="P2" s="208">
        <f>ROUND(N(data!C70), 0)</f>
        <v>0</v>
      </c>
      <c r="Q2" s="208">
        <f>ROUND(N(data!C71), 0)</f>
        <v>857669</v>
      </c>
      <c r="R2" s="208">
        <f>ROUND(N(data!C72), 0)</f>
        <v>0</v>
      </c>
      <c r="S2" s="208">
        <f>ROUND(N(data!C73), 0)</f>
        <v>720</v>
      </c>
      <c r="T2" s="208">
        <f>ROUND(N(data!C74), 0)</f>
        <v>30613</v>
      </c>
      <c r="U2" s="208">
        <f>ROUND(N(data!C75), 0)</f>
        <v>0</v>
      </c>
      <c r="V2" s="208">
        <f>ROUND(N(data!C76), 0)</f>
        <v>0</v>
      </c>
      <c r="W2" s="208">
        <f>ROUND(N(data!C77), 0)</f>
        <v>29595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137107</v>
      </c>
      <c r="AD2" s="208">
        <f>ROUND(N(data!C84), 0)</f>
        <v>122462</v>
      </c>
      <c r="AE2" s="208">
        <f>ROUND(N(data!C89), 0)</f>
        <v>31713675</v>
      </c>
      <c r="AF2" s="208">
        <f>ROUND(N(data!C87), 0)</f>
        <v>30892760</v>
      </c>
      <c r="AG2" s="208">
        <f>ROUND(N(data!C90), 0)</f>
        <v>11357</v>
      </c>
      <c r="AH2" s="208">
        <f>ROUND(N(data!C91), 0)</f>
        <v>2451</v>
      </c>
      <c r="AI2" s="208">
        <f>ROUND(N(data!C92), 0)</f>
        <v>4004</v>
      </c>
      <c r="AJ2" s="208">
        <f>ROUND(N(data!C93), 0)</f>
        <v>45996</v>
      </c>
      <c r="AK2" s="319">
        <f>ROUND(N(data!C94), 2)</f>
        <v>18.440000000000001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058</v>
      </c>
      <c r="B3" s="210" t="str">
        <f>RIGHT(data!$C$96,4)</f>
        <v>2023</v>
      </c>
      <c r="C3" s="12" t="str">
        <f>data!D$55</f>
        <v>6030</v>
      </c>
      <c r="D3" s="12" t="s">
        <v>1154</v>
      </c>
      <c r="E3" s="208">
        <f>ROUND(N(data!D59), 0)</f>
        <v>0</v>
      </c>
      <c r="F3" s="319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9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058</v>
      </c>
      <c r="B4" s="210" t="str">
        <f>RIGHT(data!$C$96,4)</f>
        <v>2023</v>
      </c>
      <c r="C4" s="12" t="str">
        <f>data!E$55</f>
        <v>6070</v>
      </c>
      <c r="D4" s="12" t="s">
        <v>1154</v>
      </c>
      <c r="E4" s="208">
        <f>ROUND(N(data!E59), 0)</f>
        <v>0</v>
      </c>
      <c r="F4" s="319">
        <f>ROUND(N(data!E60), 2)</f>
        <v>242.95</v>
      </c>
      <c r="G4" s="208">
        <f>ROUND(N(data!E61), 0)</f>
        <v>20601954</v>
      </c>
      <c r="H4" s="208">
        <f>ROUND(N(data!E62), 0)</f>
        <v>4678863</v>
      </c>
      <c r="I4" s="208">
        <f>ROUND(N(data!E63), 0)</f>
        <v>0</v>
      </c>
      <c r="J4" s="208">
        <f>ROUND(N(data!E64), 0)</f>
        <v>1521076</v>
      </c>
      <c r="K4" s="208">
        <f>ROUND(N(data!E65), 0)</f>
        <v>0</v>
      </c>
      <c r="L4" s="208">
        <f>ROUND(N(data!E66), 0)</f>
        <v>1271</v>
      </c>
      <c r="M4" s="208">
        <f>ROUND(N(data!E67), 0)</f>
        <v>1318542</v>
      </c>
      <c r="N4" s="208">
        <f>ROUND(N(data!E68), 0)</f>
        <v>10619</v>
      </c>
      <c r="O4" s="208">
        <f>ROUND(N(data!E69), 0)</f>
        <v>2141269</v>
      </c>
      <c r="P4" s="208">
        <f>ROUND(N(data!E70), 0)</f>
        <v>0</v>
      </c>
      <c r="Q4" s="208">
        <f>ROUND(N(data!E71), 0)</f>
        <v>1788422</v>
      </c>
      <c r="R4" s="208">
        <f>ROUND(N(data!E72), 0)</f>
        <v>22110</v>
      </c>
      <c r="S4" s="208">
        <f>ROUND(N(data!E73), 0)</f>
        <v>0</v>
      </c>
      <c r="T4" s="208">
        <f>ROUND(N(data!E74), 0)</f>
        <v>285190</v>
      </c>
      <c r="U4" s="208">
        <f>ROUND(N(data!E75), 0)</f>
        <v>0</v>
      </c>
      <c r="V4" s="208">
        <f>ROUND(N(data!E76), 0)</f>
        <v>0</v>
      </c>
      <c r="W4" s="208">
        <f>ROUND(N(data!E77), 0)</f>
        <v>11884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33663</v>
      </c>
      <c r="AD4" s="208">
        <f>ROUND(N(data!E84), 0)</f>
        <v>1664</v>
      </c>
      <c r="AE4" s="208">
        <f>ROUND(N(data!E89), 0)</f>
        <v>159902091</v>
      </c>
      <c r="AF4" s="208">
        <f>ROUND(N(data!E87), 0)</f>
        <v>147718026</v>
      </c>
      <c r="AG4" s="208">
        <f>ROUND(N(data!E90), 0)</f>
        <v>63645</v>
      </c>
      <c r="AH4" s="208">
        <f>ROUND(N(data!E91), 0)</f>
        <v>136410</v>
      </c>
      <c r="AI4" s="208">
        <f>ROUND(N(data!E92), 0)</f>
        <v>20800</v>
      </c>
      <c r="AJ4" s="208">
        <f>ROUND(N(data!E93), 0)</f>
        <v>509189</v>
      </c>
      <c r="AK4" s="319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058</v>
      </c>
      <c r="B5" s="210" t="str">
        <f>RIGHT(data!$C$96,4)</f>
        <v>2023</v>
      </c>
      <c r="C5" s="12" t="str">
        <f>data!F$55</f>
        <v>6100</v>
      </c>
      <c r="D5" s="12" t="s">
        <v>1154</v>
      </c>
      <c r="E5" s="208">
        <f>ROUND(N(data!F59), 0)</f>
        <v>0</v>
      </c>
      <c r="F5" s="319">
        <f>ROUND(N(data!F60), 2)</f>
        <v>42.38</v>
      </c>
      <c r="G5" s="208">
        <f>ROUND(N(data!F61), 0)</f>
        <v>4349067</v>
      </c>
      <c r="H5" s="208">
        <f>ROUND(N(data!F62), 0)</f>
        <v>987707</v>
      </c>
      <c r="I5" s="208">
        <f>ROUND(N(data!F63), 0)</f>
        <v>0</v>
      </c>
      <c r="J5" s="208">
        <f>ROUND(N(data!F64), 0)</f>
        <v>162409</v>
      </c>
      <c r="K5" s="208">
        <f>ROUND(N(data!F65), 0)</f>
        <v>0</v>
      </c>
      <c r="L5" s="208">
        <f>ROUND(N(data!F66), 0)</f>
        <v>0</v>
      </c>
      <c r="M5" s="208">
        <f>ROUND(N(data!F67), 0)</f>
        <v>388508</v>
      </c>
      <c r="N5" s="208">
        <f>ROUND(N(data!F68), 0)</f>
        <v>26949</v>
      </c>
      <c r="O5" s="208">
        <f>ROUND(N(data!F69), 0)</f>
        <v>109984</v>
      </c>
      <c r="P5" s="208">
        <f>ROUND(N(data!F70), 0)</f>
        <v>0</v>
      </c>
      <c r="Q5" s="208">
        <f>ROUND(N(data!F71), 0)</f>
        <v>0</v>
      </c>
      <c r="R5" s="208">
        <f>ROUND(N(data!F72), 0)</f>
        <v>12394</v>
      </c>
      <c r="S5" s="208">
        <f>ROUND(N(data!F73), 0)</f>
        <v>0</v>
      </c>
      <c r="T5" s="208">
        <f>ROUND(N(data!F74), 0)</f>
        <v>56727</v>
      </c>
      <c r="U5" s="208">
        <f>ROUND(N(data!F75), 0)</f>
        <v>0</v>
      </c>
      <c r="V5" s="208">
        <f>ROUND(N(data!F76), 0)</f>
        <v>0</v>
      </c>
      <c r="W5" s="208">
        <f>ROUND(N(data!F77), 0)</f>
        <v>1647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39216</v>
      </c>
      <c r="AD5" s="208">
        <f>ROUND(N(data!F84), 0)</f>
        <v>37900</v>
      </c>
      <c r="AE5" s="208">
        <f>ROUND(N(data!F89), 0)</f>
        <v>27787605</v>
      </c>
      <c r="AF5" s="208">
        <f>ROUND(N(data!F87), 0)</f>
        <v>27309691</v>
      </c>
      <c r="AG5" s="208">
        <f>ROUND(N(data!F90), 0)</f>
        <v>18753</v>
      </c>
      <c r="AH5" s="208">
        <f>ROUND(N(data!F91), 0)</f>
        <v>12546</v>
      </c>
      <c r="AI5" s="208">
        <f>ROUND(N(data!F92), 0)</f>
        <v>5408</v>
      </c>
      <c r="AJ5" s="208">
        <f>ROUND(N(data!F93), 0)</f>
        <v>120566</v>
      </c>
      <c r="AK5" s="319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058</v>
      </c>
      <c r="B6" s="210" t="str">
        <f>RIGHT(data!$C$96,4)</f>
        <v>2023</v>
      </c>
      <c r="C6" s="12" t="str">
        <f>data!G$55</f>
        <v>6120</v>
      </c>
      <c r="D6" s="12" t="s">
        <v>1154</v>
      </c>
      <c r="E6" s="208">
        <f>ROUND(N(data!G59), 0)</f>
        <v>0</v>
      </c>
      <c r="F6" s="319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9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058</v>
      </c>
      <c r="B7" s="210" t="str">
        <f>RIGHT(data!$C$96,4)</f>
        <v>2023</v>
      </c>
      <c r="C7" s="12" t="str">
        <f>data!H$55</f>
        <v>6140</v>
      </c>
      <c r="D7" s="12" t="s">
        <v>1154</v>
      </c>
      <c r="E7" s="208">
        <f>ROUND(N(data!H59), 0)</f>
        <v>0</v>
      </c>
      <c r="F7" s="319">
        <f>ROUND(N(data!H60), 2)</f>
        <v>36.799999999999997</v>
      </c>
      <c r="G7" s="208">
        <f>ROUND(N(data!H61), 0)</f>
        <v>4021161</v>
      </c>
      <c r="H7" s="208">
        <f>ROUND(N(data!H62), 0)</f>
        <v>913237</v>
      </c>
      <c r="I7" s="208">
        <f>ROUND(N(data!H63), 0)</f>
        <v>541863</v>
      </c>
      <c r="J7" s="208">
        <f>ROUND(N(data!H64), 0)</f>
        <v>61368</v>
      </c>
      <c r="K7" s="208">
        <f>ROUND(N(data!H65), 0)</f>
        <v>0</v>
      </c>
      <c r="L7" s="208">
        <f>ROUND(N(data!H66), 0)</f>
        <v>920</v>
      </c>
      <c r="M7" s="208">
        <f>ROUND(N(data!H67), 0)</f>
        <v>276284</v>
      </c>
      <c r="N7" s="208">
        <f>ROUND(N(data!H68), 0)</f>
        <v>2786</v>
      </c>
      <c r="O7" s="208">
        <f>ROUND(N(data!H69), 0)</f>
        <v>50268</v>
      </c>
      <c r="P7" s="208">
        <f>ROUND(N(data!H70), 0)</f>
        <v>0</v>
      </c>
      <c r="Q7" s="208">
        <f>ROUND(N(data!H71), 0)</f>
        <v>6570</v>
      </c>
      <c r="R7" s="208">
        <f>ROUND(N(data!H72), 0)</f>
        <v>152</v>
      </c>
      <c r="S7" s="208">
        <f>ROUND(N(data!H73), 0)</f>
        <v>7655</v>
      </c>
      <c r="T7" s="208">
        <f>ROUND(N(data!H74), 0)</f>
        <v>16609</v>
      </c>
      <c r="U7" s="208">
        <f>ROUND(N(data!H75), 0)</f>
        <v>0</v>
      </c>
      <c r="V7" s="208">
        <f>ROUND(N(data!H76), 0)</f>
        <v>0</v>
      </c>
      <c r="W7" s="208">
        <f>ROUND(N(data!H77), 0)</f>
        <v>9313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9969</v>
      </c>
      <c r="AD7" s="208">
        <f>ROUND(N(data!H84), 0)</f>
        <v>87235</v>
      </c>
      <c r="AE7" s="208">
        <f>ROUND(N(data!H89), 0)</f>
        <v>25833549</v>
      </c>
      <c r="AF7" s="208">
        <f>ROUND(N(data!H87), 0)</f>
        <v>25805668</v>
      </c>
      <c r="AG7" s="208">
        <f>ROUND(N(data!H90), 0)</f>
        <v>13336</v>
      </c>
      <c r="AH7" s="208">
        <f>ROUND(N(data!H91), 0)</f>
        <v>20620</v>
      </c>
      <c r="AI7" s="208">
        <f>ROUND(N(data!H92), 0)</f>
        <v>2496</v>
      </c>
      <c r="AJ7" s="208">
        <f>ROUND(N(data!H93), 0)</f>
        <v>43234</v>
      </c>
      <c r="AK7" s="319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058</v>
      </c>
      <c r="B8" s="210" t="str">
        <f>RIGHT(data!$C$96,4)</f>
        <v>2023</v>
      </c>
      <c r="C8" s="12" t="str">
        <f>data!I$55</f>
        <v>6150</v>
      </c>
      <c r="D8" s="12" t="s">
        <v>1154</v>
      </c>
      <c r="E8" s="208">
        <f>ROUND(N(data!I59), 0)</f>
        <v>0</v>
      </c>
      <c r="F8" s="319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9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058</v>
      </c>
      <c r="B9" s="210" t="str">
        <f>RIGHT(data!$C$96,4)</f>
        <v>2023</v>
      </c>
      <c r="C9" s="12" t="str">
        <f>data!J$55</f>
        <v>6170</v>
      </c>
      <c r="D9" s="12" t="s">
        <v>1154</v>
      </c>
      <c r="E9" s="208">
        <f>ROUND(N(data!J59), 0)</f>
        <v>0</v>
      </c>
      <c r="F9" s="319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9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058</v>
      </c>
      <c r="B10" s="210" t="str">
        <f>RIGHT(data!$C$96,4)</f>
        <v>2023</v>
      </c>
      <c r="C10" s="12" t="str">
        <f>data!K$55</f>
        <v>6200</v>
      </c>
      <c r="D10" s="12" t="s">
        <v>1154</v>
      </c>
      <c r="E10" s="208">
        <f>ROUND(N(data!K59), 0)</f>
        <v>0</v>
      </c>
      <c r="F10" s="319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9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058</v>
      </c>
      <c r="B11" s="210" t="str">
        <f>RIGHT(data!$C$96,4)</f>
        <v>2023</v>
      </c>
      <c r="C11" s="12" t="str">
        <f>data!L$55</f>
        <v>6210</v>
      </c>
      <c r="D11" s="12" t="s">
        <v>1154</v>
      </c>
      <c r="E11" s="208">
        <f>ROUND(N(data!L59), 0)</f>
        <v>0</v>
      </c>
      <c r="F11" s="319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9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058</v>
      </c>
      <c r="B12" s="210" t="str">
        <f>RIGHT(data!$C$96,4)</f>
        <v>2023</v>
      </c>
      <c r="C12" s="12" t="str">
        <f>data!M$55</f>
        <v>6330</v>
      </c>
      <c r="D12" s="12" t="s">
        <v>1154</v>
      </c>
      <c r="E12" s="208">
        <f>ROUND(N(data!M59), 0)</f>
        <v>0</v>
      </c>
      <c r="F12" s="319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9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058</v>
      </c>
      <c r="B13" s="210" t="str">
        <f>RIGHT(data!$C$96,4)</f>
        <v>2023</v>
      </c>
      <c r="C13" s="12" t="str">
        <f>data!N$55</f>
        <v>6400</v>
      </c>
      <c r="D13" s="12" t="s">
        <v>1154</v>
      </c>
      <c r="E13" s="208">
        <f>ROUND(N(data!N59), 0)</f>
        <v>0</v>
      </c>
      <c r="F13" s="319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9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058</v>
      </c>
      <c r="B14" s="210" t="str">
        <f>RIGHT(data!$C$96,4)</f>
        <v>2023</v>
      </c>
      <c r="C14" s="12" t="str">
        <f>data!O$55</f>
        <v>7010</v>
      </c>
      <c r="D14" s="12" t="s">
        <v>1154</v>
      </c>
      <c r="E14" s="208">
        <f>ROUND(N(data!O59), 0)</f>
        <v>0</v>
      </c>
      <c r="F14" s="319">
        <f>ROUND(N(data!O60), 2)</f>
        <v>48.87</v>
      </c>
      <c r="G14" s="208">
        <f>ROUND(N(data!O61), 0)</f>
        <v>4917497</v>
      </c>
      <c r="H14" s="208">
        <f>ROUND(N(data!O62), 0)</f>
        <v>1116802</v>
      </c>
      <c r="I14" s="208">
        <f>ROUND(N(data!O63), 0)</f>
        <v>0</v>
      </c>
      <c r="J14" s="208">
        <f>ROUND(N(data!O64), 0)</f>
        <v>695639</v>
      </c>
      <c r="K14" s="208">
        <f>ROUND(N(data!O65), 0)</f>
        <v>0</v>
      </c>
      <c r="L14" s="208">
        <f>ROUND(N(data!O66), 0)</f>
        <v>1950</v>
      </c>
      <c r="M14" s="208">
        <f>ROUND(N(data!O67), 0)</f>
        <v>219560</v>
      </c>
      <c r="N14" s="208">
        <f>ROUND(N(data!O68), 0)</f>
        <v>1563</v>
      </c>
      <c r="O14" s="208">
        <f>ROUND(N(data!O69), 0)</f>
        <v>337351</v>
      </c>
      <c r="P14" s="208">
        <f>ROUND(N(data!O70), 0)</f>
        <v>0</v>
      </c>
      <c r="Q14" s="208">
        <f>ROUND(N(data!O71), 0)</f>
        <v>26800</v>
      </c>
      <c r="R14" s="208">
        <f>ROUND(N(data!O72), 0)</f>
        <v>200326</v>
      </c>
      <c r="S14" s="208">
        <f>ROUND(N(data!O73), 0)</f>
        <v>0</v>
      </c>
      <c r="T14" s="208">
        <f>ROUND(N(data!O74), 0)</f>
        <v>77164</v>
      </c>
      <c r="U14" s="208">
        <f>ROUND(N(data!O75), 0)</f>
        <v>0</v>
      </c>
      <c r="V14" s="208">
        <f>ROUND(N(data!O76), 0)</f>
        <v>0</v>
      </c>
      <c r="W14" s="208">
        <f>ROUND(N(data!O77), 0)</f>
        <v>10840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22221</v>
      </c>
      <c r="AD14" s="208">
        <f>ROUND(N(data!O84), 0)</f>
        <v>11287</v>
      </c>
      <c r="AE14" s="208">
        <f>ROUND(N(data!O89), 0)</f>
        <v>18702659</v>
      </c>
      <c r="AF14" s="208">
        <f>ROUND(N(data!O87), 0)</f>
        <v>17497582</v>
      </c>
      <c r="AG14" s="208">
        <f>ROUND(N(data!O90), 0)</f>
        <v>10598</v>
      </c>
      <c r="AH14" s="208">
        <f>ROUND(N(data!O91), 0)</f>
        <v>0</v>
      </c>
      <c r="AI14" s="208">
        <f>ROUND(N(data!O92), 0)</f>
        <v>5408</v>
      </c>
      <c r="AJ14" s="208">
        <f>ROUND(N(data!O93), 0)</f>
        <v>153153</v>
      </c>
      <c r="AK14" s="319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058</v>
      </c>
      <c r="B15" s="210" t="str">
        <f>RIGHT(data!$C$96,4)</f>
        <v>2023</v>
      </c>
      <c r="C15" s="12" t="str">
        <f>data!P$55</f>
        <v>7020</v>
      </c>
      <c r="D15" s="12" t="s">
        <v>1154</v>
      </c>
      <c r="E15" s="208">
        <f>ROUND(N(data!P59), 0)</f>
        <v>0</v>
      </c>
      <c r="F15" s="319">
        <f>ROUND(N(data!P60), 2)</f>
        <v>105.59</v>
      </c>
      <c r="G15" s="208">
        <f>ROUND(N(data!P61), 0)</f>
        <v>8992906</v>
      </c>
      <c r="H15" s="208">
        <f>ROUND(N(data!P62), 0)</f>
        <v>2042359</v>
      </c>
      <c r="I15" s="208">
        <f>ROUND(N(data!P63), 0)</f>
        <v>16625</v>
      </c>
      <c r="J15" s="208">
        <f>ROUND(N(data!P64), 0)</f>
        <v>19436507</v>
      </c>
      <c r="K15" s="208">
        <f>ROUND(N(data!P65), 0)</f>
        <v>46101</v>
      </c>
      <c r="L15" s="208">
        <f>ROUND(N(data!P66), 0)</f>
        <v>1542666</v>
      </c>
      <c r="M15" s="208">
        <f>ROUND(N(data!P67), 0)</f>
        <v>883896</v>
      </c>
      <c r="N15" s="208">
        <f>ROUND(N(data!P68), 0)</f>
        <v>775198</v>
      </c>
      <c r="O15" s="208">
        <f>ROUND(N(data!P69), 0)</f>
        <v>2266182</v>
      </c>
      <c r="P15" s="208">
        <f>ROUND(N(data!P70), 0)</f>
        <v>0</v>
      </c>
      <c r="Q15" s="208">
        <f>ROUND(N(data!P71), 0)</f>
        <v>1134806</v>
      </c>
      <c r="R15" s="208">
        <f>ROUND(N(data!P72), 0)</f>
        <v>13612</v>
      </c>
      <c r="S15" s="208">
        <f>ROUND(N(data!P73), 0)</f>
        <v>0</v>
      </c>
      <c r="T15" s="208">
        <f>ROUND(N(data!P74), 0)</f>
        <v>173071</v>
      </c>
      <c r="U15" s="208">
        <f>ROUND(N(data!P75), 0)</f>
        <v>28992</v>
      </c>
      <c r="V15" s="208">
        <f>ROUND(N(data!P76), 0)</f>
        <v>0</v>
      </c>
      <c r="W15" s="208">
        <f>ROUND(N(data!P77), 0)</f>
        <v>643182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28992</v>
      </c>
      <c r="AB15" s="208">
        <f>ROUND(N(data!P82), 0)</f>
        <v>0</v>
      </c>
      <c r="AC15" s="208">
        <f>ROUND(N(data!P83), 0)</f>
        <v>243527</v>
      </c>
      <c r="AD15" s="208">
        <f>ROUND(N(data!P84), 0)</f>
        <v>6000</v>
      </c>
      <c r="AE15" s="208">
        <f>ROUND(N(data!P89), 0)</f>
        <v>159552425</v>
      </c>
      <c r="AF15" s="208">
        <f>ROUND(N(data!P87), 0)</f>
        <v>30023608</v>
      </c>
      <c r="AG15" s="208">
        <f>ROUND(N(data!P90), 0)</f>
        <v>42665</v>
      </c>
      <c r="AH15" s="208">
        <f>ROUND(N(data!P91), 0)</f>
        <v>196</v>
      </c>
      <c r="AI15" s="208">
        <f>ROUND(N(data!P92), 0)</f>
        <v>9867</v>
      </c>
      <c r="AJ15" s="208">
        <f>ROUND(N(data!P93), 0)</f>
        <v>329512</v>
      </c>
      <c r="AK15" s="319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058</v>
      </c>
      <c r="B16" s="210" t="str">
        <f>RIGHT(data!$C$96,4)</f>
        <v>2023</v>
      </c>
      <c r="C16" s="12" t="str">
        <f>data!Q$55</f>
        <v>7030</v>
      </c>
      <c r="D16" s="12" t="s">
        <v>1154</v>
      </c>
      <c r="E16" s="208">
        <f>ROUND(N(data!Q59), 0)</f>
        <v>0</v>
      </c>
      <c r="F16" s="319">
        <f>ROUND(N(data!Q60), 2)</f>
        <v>30.89</v>
      </c>
      <c r="G16" s="208">
        <f>ROUND(N(data!Q61), 0)</f>
        <v>3147619</v>
      </c>
      <c r="H16" s="208">
        <f>ROUND(N(data!Q62), 0)</f>
        <v>714849</v>
      </c>
      <c r="I16" s="208">
        <f>ROUND(N(data!Q63), 0)</f>
        <v>2500000</v>
      </c>
      <c r="J16" s="208">
        <f>ROUND(N(data!Q64), 0)</f>
        <v>2072</v>
      </c>
      <c r="K16" s="208">
        <f>ROUND(N(data!Q65), 0)</f>
        <v>0</v>
      </c>
      <c r="L16" s="208">
        <f>ROUND(N(data!Q66), 0)</f>
        <v>0</v>
      </c>
      <c r="M16" s="208">
        <f>ROUND(N(data!Q67), 0)</f>
        <v>64824</v>
      </c>
      <c r="N16" s="208">
        <f>ROUND(N(data!Q68), 0)</f>
        <v>1391</v>
      </c>
      <c r="O16" s="208">
        <f>ROUND(N(data!Q69), 0)</f>
        <v>72549</v>
      </c>
      <c r="P16" s="208">
        <f>ROUND(N(data!Q70), 0)</f>
        <v>0</v>
      </c>
      <c r="Q16" s="208">
        <f>ROUND(N(data!Q71), 0)</f>
        <v>0</v>
      </c>
      <c r="R16" s="208">
        <f>ROUND(N(data!Q72), 0)</f>
        <v>48007</v>
      </c>
      <c r="S16" s="208">
        <f>ROUND(N(data!Q73), 0)</f>
        <v>0</v>
      </c>
      <c r="T16" s="208">
        <f>ROUND(N(data!Q74), 0)</f>
        <v>23957</v>
      </c>
      <c r="U16" s="208">
        <f>ROUND(N(data!Q75), 0)</f>
        <v>0</v>
      </c>
      <c r="V16" s="208">
        <f>ROUND(N(data!Q76), 0)</f>
        <v>0</v>
      </c>
      <c r="W16" s="208">
        <f>ROUND(N(data!Q77), 0)</f>
        <v>439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146</v>
      </c>
      <c r="AD16" s="208">
        <f>ROUND(N(data!Q84), 0)</f>
        <v>0</v>
      </c>
      <c r="AE16" s="208">
        <f>ROUND(N(data!Q89), 0)</f>
        <v>12577978</v>
      </c>
      <c r="AF16" s="208">
        <f>ROUND(N(data!Q87), 0)</f>
        <v>2351547</v>
      </c>
      <c r="AG16" s="208">
        <f>ROUND(N(data!Q90), 0)</f>
        <v>3129</v>
      </c>
      <c r="AH16" s="208">
        <f>ROUND(N(data!Q91), 0)</f>
        <v>166</v>
      </c>
      <c r="AI16" s="208">
        <f>ROUND(N(data!Q92), 0)</f>
        <v>884</v>
      </c>
      <c r="AJ16" s="208">
        <f>ROUND(N(data!Q93), 0)</f>
        <v>68151</v>
      </c>
      <c r="AK16" s="319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058</v>
      </c>
      <c r="B17" s="210" t="str">
        <f>RIGHT(data!$C$96,4)</f>
        <v>2023</v>
      </c>
      <c r="C17" s="12" t="str">
        <f>data!R$55</f>
        <v>7040</v>
      </c>
      <c r="D17" s="12" t="s">
        <v>1154</v>
      </c>
      <c r="E17" s="208">
        <f>ROUND(N(data!R59), 0)</f>
        <v>0</v>
      </c>
      <c r="F17" s="319">
        <f>ROUND(N(data!R60), 2)</f>
        <v>2.42</v>
      </c>
      <c r="G17" s="208">
        <f>ROUND(N(data!R61), 0)</f>
        <v>209146</v>
      </c>
      <c r="H17" s="208">
        <f>ROUND(N(data!R62), 0)</f>
        <v>47499</v>
      </c>
      <c r="I17" s="208">
        <f>ROUND(N(data!R63), 0)</f>
        <v>0</v>
      </c>
      <c r="J17" s="208">
        <f>ROUND(N(data!R64), 0)</f>
        <v>-176</v>
      </c>
      <c r="K17" s="208">
        <f>ROUND(N(data!R65), 0)</f>
        <v>0</v>
      </c>
      <c r="L17" s="208">
        <f>ROUND(N(data!R66), 0)</f>
        <v>0</v>
      </c>
      <c r="M17" s="208">
        <f>ROUND(N(data!R67), 0)</f>
        <v>12969</v>
      </c>
      <c r="N17" s="208">
        <f>ROUND(N(data!R68), 0)</f>
        <v>226</v>
      </c>
      <c r="O17" s="208">
        <f>ROUND(N(data!R69), 0)</f>
        <v>208446</v>
      </c>
      <c r="P17" s="208">
        <f>ROUND(N(data!R70), 0)</f>
        <v>0</v>
      </c>
      <c r="Q17" s="208">
        <f>ROUND(N(data!R71), 0)</f>
        <v>0</v>
      </c>
      <c r="R17" s="208">
        <f>ROUND(N(data!R72), 0)</f>
        <v>198666</v>
      </c>
      <c r="S17" s="208">
        <f>ROUND(N(data!R73), 0)</f>
        <v>734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3492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5554</v>
      </c>
      <c r="AD17" s="208">
        <f>ROUND(N(data!R84), 0)</f>
        <v>0</v>
      </c>
      <c r="AE17" s="208">
        <f>ROUND(N(data!R89), 0)</f>
        <v>6933089</v>
      </c>
      <c r="AF17" s="208">
        <f>ROUND(N(data!R87), 0)</f>
        <v>1503892</v>
      </c>
      <c r="AG17" s="208">
        <f>ROUND(N(data!R90), 0)</f>
        <v>626</v>
      </c>
      <c r="AH17" s="208">
        <f>ROUND(N(data!R91), 0)</f>
        <v>0</v>
      </c>
      <c r="AI17" s="208">
        <f>ROUND(N(data!R92), 0)</f>
        <v>91</v>
      </c>
      <c r="AJ17" s="208">
        <f>ROUND(N(data!R93), 0)</f>
        <v>0</v>
      </c>
      <c r="AK17" s="319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058</v>
      </c>
      <c r="B18" s="210" t="str">
        <f>RIGHT(data!$C$96,4)</f>
        <v>2023</v>
      </c>
      <c r="C18" s="12" t="str">
        <f>data!S$55</f>
        <v>7050</v>
      </c>
      <c r="D18" s="12" t="s">
        <v>1154</v>
      </c>
      <c r="E18" s="208">
        <f>ROUND(N(data!S59), 0)</f>
        <v>0</v>
      </c>
      <c r="F18" s="319">
        <f>ROUND(N(data!S60), 2)</f>
        <v>21.76</v>
      </c>
      <c r="G18" s="208">
        <f>ROUND(N(data!S61), 0)</f>
        <v>1140495</v>
      </c>
      <c r="H18" s="208">
        <f>ROUND(N(data!S62), 0)</f>
        <v>259015</v>
      </c>
      <c r="I18" s="208">
        <f>ROUND(N(data!S63), 0)</f>
        <v>0</v>
      </c>
      <c r="J18" s="208">
        <f>ROUND(N(data!S64), 0)</f>
        <v>821066</v>
      </c>
      <c r="K18" s="208">
        <f>ROUND(N(data!S65), 0)</f>
        <v>0</v>
      </c>
      <c r="L18" s="208">
        <f>ROUND(N(data!S66), 0)</f>
        <v>2048</v>
      </c>
      <c r="M18" s="208">
        <f>ROUND(N(data!S67), 0)</f>
        <v>711488</v>
      </c>
      <c r="N18" s="208">
        <f>ROUND(N(data!S68), 0)</f>
        <v>80942</v>
      </c>
      <c r="O18" s="208">
        <f>ROUND(N(data!S69), 0)</f>
        <v>129595</v>
      </c>
      <c r="P18" s="208">
        <f>ROUND(N(data!S70), 0)</f>
        <v>0</v>
      </c>
      <c r="Q18" s="208">
        <f>ROUND(N(data!S71), 0)</f>
        <v>0</v>
      </c>
      <c r="R18" s="208">
        <f>ROUND(N(data!S72), 0)</f>
        <v>140</v>
      </c>
      <c r="S18" s="208">
        <f>ROUND(N(data!S73), 0)</f>
        <v>0</v>
      </c>
      <c r="T18" s="208">
        <f>ROUND(N(data!S74), 0)</f>
        <v>9614</v>
      </c>
      <c r="U18" s="208">
        <f>ROUND(N(data!S75), 0)</f>
        <v>0</v>
      </c>
      <c r="V18" s="208">
        <f>ROUND(N(data!S76), 0)</f>
        <v>0</v>
      </c>
      <c r="W18" s="208">
        <f>ROUND(N(data!S77), 0)</f>
        <v>116131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3710</v>
      </c>
      <c r="AD18" s="208">
        <f>ROUND(N(data!S84), 0)</f>
        <v>0</v>
      </c>
      <c r="AE18" s="208">
        <f>ROUND(N(data!S89), 0)</f>
        <v>0</v>
      </c>
      <c r="AF18" s="208">
        <f>ROUND(N(data!S87), 0)</f>
        <v>-50</v>
      </c>
      <c r="AG18" s="208">
        <f>ROUND(N(data!S90), 0)</f>
        <v>34343</v>
      </c>
      <c r="AH18" s="208">
        <f>ROUND(N(data!S91), 0)</f>
        <v>0</v>
      </c>
      <c r="AI18" s="208">
        <f>ROUND(N(data!S92), 0)</f>
        <v>3042</v>
      </c>
      <c r="AJ18" s="208">
        <f>ROUND(N(data!S93), 0)</f>
        <v>18033</v>
      </c>
      <c r="AK18" s="319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058</v>
      </c>
      <c r="B19" s="210" t="str">
        <f>RIGHT(data!$C$96,4)</f>
        <v>2023</v>
      </c>
      <c r="C19" s="12" t="str">
        <f>data!T$55</f>
        <v>7060</v>
      </c>
      <c r="D19" s="12" t="s">
        <v>1154</v>
      </c>
      <c r="E19" s="208">
        <f>ROUND(N(data!T59), 0)</f>
        <v>0</v>
      </c>
      <c r="F19" s="319">
        <f>ROUND(N(data!T60), 2)</f>
        <v>9.4</v>
      </c>
      <c r="G19" s="208">
        <f>ROUND(N(data!T61), 0)</f>
        <v>1128783</v>
      </c>
      <c r="H19" s="208">
        <f>ROUND(N(data!T62), 0)</f>
        <v>256355</v>
      </c>
      <c r="I19" s="208">
        <f>ROUND(N(data!T63), 0)</f>
        <v>0</v>
      </c>
      <c r="J19" s="208">
        <f>ROUND(N(data!T64), 0)</f>
        <v>4540346</v>
      </c>
      <c r="K19" s="208">
        <f>ROUND(N(data!T65), 0)</f>
        <v>0</v>
      </c>
      <c r="L19" s="208">
        <f>ROUND(N(data!T66), 0)</f>
        <v>0</v>
      </c>
      <c r="M19" s="208">
        <f>ROUND(N(data!T67), 0)</f>
        <v>6049</v>
      </c>
      <c r="N19" s="208">
        <f>ROUND(N(data!T68), 0)</f>
        <v>368</v>
      </c>
      <c r="O19" s="208">
        <f>ROUND(N(data!T69), 0)</f>
        <v>14907</v>
      </c>
      <c r="P19" s="208">
        <f>ROUND(N(data!T70), 0)</f>
        <v>0</v>
      </c>
      <c r="Q19" s="208">
        <f>ROUND(N(data!T71), 0)</f>
        <v>0</v>
      </c>
      <c r="R19" s="208">
        <f>ROUND(N(data!T72), 0)</f>
        <v>815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6492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7600</v>
      </c>
      <c r="AD19" s="208">
        <f>ROUND(N(data!T84), 0)</f>
        <v>0</v>
      </c>
      <c r="AE19" s="208">
        <f>ROUND(N(data!T89), 0)</f>
        <v>2155127</v>
      </c>
      <c r="AF19" s="208">
        <f>ROUND(N(data!T87), 0)</f>
        <v>1512289</v>
      </c>
      <c r="AG19" s="208">
        <f>ROUND(N(data!T90), 0)</f>
        <v>292</v>
      </c>
      <c r="AH19" s="208">
        <f>ROUND(N(data!T91), 0)</f>
        <v>0</v>
      </c>
      <c r="AI19" s="208">
        <f>ROUND(N(data!T92), 0)</f>
        <v>26</v>
      </c>
      <c r="AJ19" s="208">
        <f>ROUND(N(data!T93), 0)</f>
        <v>0</v>
      </c>
      <c r="AK19" s="319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058</v>
      </c>
      <c r="B20" s="210" t="str">
        <f>RIGHT(data!$C$96,4)</f>
        <v>2023</v>
      </c>
      <c r="C20" s="12" t="str">
        <f>data!U$55</f>
        <v>7070</v>
      </c>
      <c r="D20" s="12" t="s">
        <v>1154</v>
      </c>
      <c r="E20" s="208">
        <f>ROUND(N(data!U59), 0)</f>
        <v>0</v>
      </c>
      <c r="F20" s="319">
        <f>ROUND(N(data!U60), 2)</f>
        <v>73.599999999999994</v>
      </c>
      <c r="G20" s="208">
        <f>ROUND(N(data!U61), 0)</f>
        <v>4901472</v>
      </c>
      <c r="H20" s="208">
        <f>ROUND(N(data!U62), 0)</f>
        <v>1113162</v>
      </c>
      <c r="I20" s="208">
        <f>ROUND(N(data!U63), 0)</f>
        <v>132957</v>
      </c>
      <c r="J20" s="208">
        <f>ROUND(N(data!U64), 0)</f>
        <v>15437</v>
      </c>
      <c r="K20" s="208">
        <f>ROUND(N(data!U65), 0)</f>
        <v>7448</v>
      </c>
      <c r="L20" s="208">
        <f>ROUND(N(data!U66), 0)</f>
        <v>1907490</v>
      </c>
      <c r="M20" s="208">
        <f>ROUND(N(data!U67), 0)</f>
        <v>244897</v>
      </c>
      <c r="N20" s="208">
        <f>ROUND(N(data!U68), 0)</f>
        <v>700771</v>
      </c>
      <c r="O20" s="208">
        <f>ROUND(N(data!U69), 0)</f>
        <v>3665062</v>
      </c>
      <c r="P20" s="208">
        <f>ROUND(N(data!U70), 0)</f>
        <v>1360152</v>
      </c>
      <c r="Q20" s="208">
        <f>ROUND(N(data!U71), 0)</f>
        <v>0</v>
      </c>
      <c r="R20" s="208">
        <f>ROUND(N(data!U72), 0)</f>
        <v>383708</v>
      </c>
      <c r="S20" s="208">
        <f>ROUND(N(data!U73), 0)</f>
        <v>0</v>
      </c>
      <c r="T20" s="208">
        <f>ROUND(N(data!U74), 0)</f>
        <v>13</v>
      </c>
      <c r="U20" s="208">
        <f>ROUND(N(data!U75), 0)</f>
        <v>13319</v>
      </c>
      <c r="V20" s="208">
        <f>ROUND(N(data!U76), 0)</f>
        <v>1547988</v>
      </c>
      <c r="W20" s="208">
        <f>ROUND(N(data!U77), 0)</f>
        <v>193568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13319</v>
      </c>
      <c r="AB20" s="208">
        <f>ROUND(N(data!U82), 0)</f>
        <v>0</v>
      </c>
      <c r="AC20" s="208">
        <f>ROUND(N(data!U83), 0)</f>
        <v>152995</v>
      </c>
      <c r="AD20" s="208">
        <f>ROUND(N(data!U84), 0)</f>
        <v>33322</v>
      </c>
      <c r="AE20" s="208">
        <f>ROUND(N(data!U89), 0)</f>
        <v>132477690</v>
      </c>
      <c r="AF20" s="208">
        <f>ROUND(N(data!U87), 0)</f>
        <v>46352571</v>
      </c>
      <c r="AG20" s="208">
        <f>ROUND(N(data!U90), 0)</f>
        <v>11821</v>
      </c>
      <c r="AH20" s="208">
        <f>ROUND(N(data!U91), 0)</f>
        <v>0</v>
      </c>
      <c r="AI20" s="208">
        <f>ROUND(N(data!U92), 0)</f>
        <v>1261</v>
      </c>
      <c r="AJ20" s="208">
        <f>ROUND(N(data!U93), 0)</f>
        <v>0</v>
      </c>
      <c r="AK20" s="319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058</v>
      </c>
      <c r="B21" s="210" t="str">
        <f>RIGHT(data!$C$96,4)</f>
        <v>2023</v>
      </c>
      <c r="C21" s="12" t="str">
        <f>data!V$55</f>
        <v>7110</v>
      </c>
      <c r="D21" s="12" t="s">
        <v>1154</v>
      </c>
      <c r="E21" s="208">
        <f>ROUND(N(data!V59), 0)</f>
        <v>0</v>
      </c>
      <c r="F21" s="319">
        <f>ROUND(N(data!V60), 2)</f>
        <v>2.2200000000000002</v>
      </c>
      <c r="G21" s="208">
        <f>ROUND(N(data!V61), 0)</f>
        <v>100407</v>
      </c>
      <c r="H21" s="208">
        <f>ROUND(N(data!V62), 0)</f>
        <v>22803</v>
      </c>
      <c r="I21" s="208">
        <f>ROUND(N(data!V63), 0)</f>
        <v>0</v>
      </c>
      <c r="J21" s="208">
        <f>ROUND(N(data!V64), 0)</f>
        <v>1738</v>
      </c>
      <c r="K21" s="208">
        <f>ROUND(N(data!V65), 0)</f>
        <v>0</v>
      </c>
      <c r="L21" s="208">
        <f>ROUND(N(data!V66), 0)</f>
        <v>0</v>
      </c>
      <c r="M21" s="208">
        <f>ROUND(N(data!V67), 0)</f>
        <v>4682</v>
      </c>
      <c r="N21" s="208">
        <f>ROUND(N(data!V68), 0)</f>
        <v>43</v>
      </c>
      <c r="O21" s="208">
        <f>ROUND(N(data!V69), 0)</f>
        <v>2438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2438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9313664</v>
      </c>
      <c r="AF21" s="208">
        <f>ROUND(N(data!V87), 0)</f>
        <v>3161469</v>
      </c>
      <c r="AG21" s="208">
        <f>ROUND(N(data!V90), 0)</f>
        <v>226</v>
      </c>
      <c r="AH21" s="208">
        <f>ROUND(N(data!V91), 0)</f>
        <v>0</v>
      </c>
      <c r="AI21" s="208">
        <f>ROUND(N(data!V92), 0)</f>
        <v>637</v>
      </c>
      <c r="AJ21" s="208">
        <f>ROUND(N(data!V93), 0)</f>
        <v>0</v>
      </c>
      <c r="AK21" s="319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058</v>
      </c>
      <c r="B22" s="210" t="str">
        <f>RIGHT(data!$C$96,4)</f>
        <v>2023</v>
      </c>
      <c r="C22" s="12" t="str">
        <f>data!W$55</f>
        <v>7120</v>
      </c>
      <c r="D22" s="12" t="s">
        <v>1154</v>
      </c>
      <c r="E22" s="208">
        <f>ROUND(N(data!W59), 0)</f>
        <v>0</v>
      </c>
      <c r="F22" s="319">
        <f>ROUND(N(data!W60), 2)</f>
        <v>11.01</v>
      </c>
      <c r="G22" s="208">
        <f>ROUND(N(data!W61), 0)</f>
        <v>1161983</v>
      </c>
      <c r="H22" s="208">
        <f>ROUND(N(data!W62), 0)</f>
        <v>263895</v>
      </c>
      <c r="I22" s="208">
        <f>ROUND(N(data!W63), 0)</f>
        <v>0</v>
      </c>
      <c r="J22" s="208">
        <f>ROUND(N(data!W64), 0)</f>
        <v>40484</v>
      </c>
      <c r="K22" s="208">
        <f>ROUND(N(data!W65), 0)</f>
        <v>0</v>
      </c>
      <c r="L22" s="208">
        <f>ROUND(N(data!W66), 0)</f>
        <v>448772</v>
      </c>
      <c r="M22" s="208">
        <f>ROUND(N(data!W67), 0)</f>
        <v>47152</v>
      </c>
      <c r="N22" s="208">
        <f>ROUND(N(data!W68), 0)</f>
        <v>436</v>
      </c>
      <c r="O22" s="208">
        <f>ROUND(N(data!W69), 0)</f>
        <v>24896</v>
      </c>
      <c r="P22" s="208">
        <f>ROUND(N(data!W70), 0)</f>
        <v>0</v>
      </c>
      <c r="Q22" s="208">
        <f>ROUND(N(data!W71), 0)</f>
        <v>0</v>
      </c>
      <c r="R22" s="208">
        <f>ROUND(N(data!W72), 0)</f>
        <v>450</v>
      </c>
      <c r="S22" s="208">
        <f>ROUND(N(data!W73), 0)</f>
        <v>0</v>
      </c>
      <c r="T22" s="208">
        <f>ROUND(N(data!W74), 0)</f>
        <v>6231</v>
      </c>
      <c r="U22" s="208">
        <f>ROUND(N(data!W75), 0)</f>
        <v>0</v>
      </c>
      <c r="V22" s="208">
        <f>ROUND(N(data!W76), 0)</f>
        <v>0</v>
      </c>
      <c r="W22" s="208">
        <f>ROUND(N(data!W77), 0)</f>
        <v>18035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180</v>
      </c>
      <c r="AD22" s="208">
        <f>ROUND(N(data!W84), 0)</f>
        <v>0</v>
      </c>
      <c r="AE22" s="208">
        <f>ROUND(N(data!W89), 0)</f>
        <v>36716215</v>
      </c>
      <c r="AF22" s="208">
        <f>ROUND(N(data!W87), 0)</f>
        <v>3027386</v>
      </c>
      <c r="AG22" s="208">
        <f>ROUND(N(data!W90), 0)</f>
        <v>2276</v>
      </c>
      <c r="AH22" s="208">
        <f>ROUND(N(data!W91), 0)</f>
        <v>0</v>
      </c>
      <c r="AI22" s="208">
        <f>ROUND(N(data!W92), 0)</f>
        <v>195</v>
      </c>
      <c r="AJ22" s="208">
        <f>ROUND(N(data!W93), 0)</f>
        <v>12049</v>
      </c>
      <c r="AK22" s="319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058</v>
      </c>
      <c r="B23" s="210" t="str">
        <f>RIGHT(data!$C$96,4)</f>
        <v>2023</v>
      </c>
      <c r="C23" s="12" t="str">
        <f>data!X$55</f>
        <v>7130</v>
      </c>
      <c r="D23" s="12" t="s">
        <v>1154</v>
      </c>
      <c r="E23" s="208">
        <f>ROUND(N(data!X59), 0)</f>
        <v>0</v>
      </c>
      <c r="F23" s="319">
        <f>ROUND(N(data!X60), 2)</f>
        <v>15.89</v>
      </c>
      <c r="G23" s="208">
        <f>ROUND(N(data!X61), 0)</f>
        <v>1512784</v>
      </c>
      <c r="H23" s="208">
        <f>ROUND(N(data!X62), 0)</f>
        <v>343565</v>
      </c>
      <c r="I23" s="208">
        <f>ROUND(N(data!X63), 0)</f>
        <v>0</v>
      </c>
      <c r="J23" s="208">
        <f>ROUND(N(data!X64), 0)</f>
        <v>377196</v>
      </c>
      <c r="K23" s="208">
        <f>ROUND(N(data!X65), 0)</f>
        <v>0</v>
      </c>
      <c r="L23" s="208">
        <f>ROUND(N(data!X66), 0)</f>
        <v>236610</v>
      </c>
      <c r="M23" s="208">
        <f>ROUND(N(data!X67), 0)</f>
        <v>49535</v>
      </c>
      <c r="N23" s="208">
        <f>ROUND(N(data!X68), 0)</f>
        <v>972</v>
      </c>
      <c r="O23" s="208">
        <f>ROUND(N(data!X69), 0)</f>
        <v>77212</v>
      </c>
      <c r="P23" s="208">
        <f>ROUND(N(data!X70), 0)</f>
        <v>0</v>
      </c>
      <c r="Q23" s="208">
        <f>ROUND(N(data!X71), 0)</f>
        <v>0</v>
      </c>
      <c r="R23" s="208">
        <f>ROUND(N(data!X72), 0)</f>
        <v>60767</v>
      </c>
      <c r="S23" s="208">
        <f>ROUND(N(data!X73), 0)</f>
        <v>0</v>
      </c>
      <c r="T23" s="208">
        <f>ROUND(N(data!X74), 0)</f>
        <v>13323</v>
      </c>
      <c r="U23" s="208">
        <f>ROUND(N(data!X75), 0)</f>
        <v>0</v>
      </c>
      <c r="V23" s="208">
        <f>ROUND(N(data!X76), 0)</f>
        <v>0</v>
      </c>
      <c r="W23" s="208">
        <f>ROUND(N(data!X77), 0)</f>
        <v>1786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1336</v>
      </c>
      <c r="AD23" s="208">
        <f>ROUND(N(data!X84), 0)</f>
        <v>0</v>
      </c>
      <c r="AE23" s="208">
        <f>ROUND(N(data!X89), 0)</f>
        <v>109984540</v>
      </c>
      <c r="AF23" s="208">
        <f>ROUND(N(data!X87), 0)</f>
        <v>26523275</v>
      </c>
      <c r="AG23" s="208">
        <f>ROUND(N(data!X90), 0)</f>
        <v>2391</v>
      </c>
      <c r="AH23" s="208">
        <f>ROUND(N(data!X91), 0)</f>
        <v>0</v>
      </c>
      <c r="AI23" s="208">
        <f>ROUND(N(data!X92), 0)</f>
        <v>377</v>
      </c>
      <c r="AJ23" s="208">
        <f>ROUND(N(data!X93), 0)</f>
        <v>33044</v>
      </c>
      <c r="AK23" s="319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058</v>
      </c>
      <c r="B24" s="210" t="str">
        <f>RIGHT(data!$C$96,4)</f>
        <v>2023</v>
      </c>
      <c r="C24" s="12" t="str">
        <f>data!Y$55</f>
        <v>7140</v>
      </c>
      <c r="D24" s="12" t="s">
        <v>1154</v>
      </c>
      <c r="E24" s="208">
        <f>ROUND(N(data!Y59), 0)</f>
        <v>0</v>
      </c>
      <c r="F24" s="319">
        <f>ROUND(N(data!Y60), 2)</f>
        <v>73.739999999999995</v>
      </c>
      <c r="G24" s="208">
        <f>ROUND(N(data!Y61), 0)</f>
        <v>6387948</v>
      </c>
      <c r="H24" s="208">
        <f>ROUND(N(data!Y62), 0)</f>
        <v>1450753</v>
      </c>
      <c r="I24" s="208">
        <f>ROUND(N(data!Y63), 0)</f>
        <v>71592</v>
      </c>
      <c r="J24" s="208">
        <f>ROUND(N(data!Y64), 0)</f>
        <v>9512829</v>
      </c>
      <c r="K24" s="208">
        <f>ROUND(N(data!Y65), 0)</f>
        <v>157983</v>
      </c>
      <c r="L24" s="208">
        <f>ROUND(N(data!Y66), 0)</f>
        <v>352194</v>
      </c>
      <c r="M24" s="208">
        <f>ROUND(N(data!Y67), 0)</f>
        <v>837925</v>
      </c>
      <c r="N24" s="208">
        <f>ROUND(N(data!Y68), 0)</f>
        <v>147156</v>
      </c>
      <c r="O24" s="208">
        <f>ROUND(N(data!Y69), 0)</f>
        <v>865403</v>
      </c>
      <c r="P24" s="208">
        <f>ROUND(N(data!Y70), 0)</f>
        <v>0</v>
      </c>
      <c r="Q24" s="208">
        <f>ROUND(N(data!Y71), 0)</f>
        <v>204514</v>
      </c>
      <c r="R24" s="208">
        <f>ROUND(N(data!Y72), 0)</f>
        <v>228690</v>
      </c>
      <c r="S24" s="208">
        <f>ROUND(N(data!Y73), 0)</f>
        <v>-1192</v>
      </c>
      <c r="T24" s="208">
        <f>ROUND(N(data!Y74), 0)</f>
        <v>35966</v>
      </c>
      <c r="U24" s="208">
        <f>ROUND(N(data!Y75), 0)</f>
        <v>55745</v>
      </c>
      <c r="V24" s="208">
        <f>ROUND(N(data!Y76), 0)</f>
        <v>0</v>
      </c>
      <c r="W24" s="208">
        <f>ROUND(N(data!Y77), 0)</f>
        <v>142413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55745</v>
      </c>
      <c r="AB24" s="208">
        <f>ROUND(N(data!Y82), 0)</f>
        <v>0</v>
      </c>
      <c r="AC24" s="208">
        <f>ROUND(N(data!Y83), 0)</f>
        <v>143522</v>
      </c>
      <c r="AD24" s="208">
        <f>ROUND(N(data!Y84), 0)</f>
        <v>2283</v>
      </c>
      <c r="AE24" s="208">
        <f>ROUND(N(data!Y89), 0)</f>
        <v>140303038</v>
      </c>
      <c r="AF24" s="208">
        <f>ROUND(N(data!Y87), 0)</f>
        <v>33590364</v>
      </c>
      <c r="AG24" s="208">
        <f>ROUND(N(data!Y90), 0)</f>
        <v>40446</v>
      </c>
      <c r="AH24" s="208">
        <f>ROUND(N(data!Y91), 0)</f>
        <v>1125</v>
      </c>
      <c r="AI24" s="208">
        <f>ROUND(N(data!Y92), 0)</f>
        <v>7631</v>
      </c>
      <c r="AJ24" s="208">
        <f>ROUND(N(data!Y93), 0)</f>
        <v>78481</v>
      </c>
      <c r="AK24" s="319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058</v>
      </c>
      <c r="B25" s="210" t="str">
        <f>RIGHT(data!$C$96,4)</f>
        <v>2023</v>
      </c>
      <c r="C25" s="12" t="str">
        <f>data!Z$55</f>
        <v>7150</v>
      </c>
      <c r="D25" s="12" t="s">
        <v>1154</v>
      </c>
      <c r="E25" s="208">
        <f>ROUND(N(data!Z59), 0)</f>
        <v>0</v>
      </c>
      <c r="F25" s="319">
        <f>ROUND(N(data!Z60), 2)</f>
        <v>11.84</v>
      </c>
      <c r="G25" s="208">
        <f>ROUND(N(data!Z61), 0)</f>
        <v>1293806</v>
      </c>
      <c r="H25" s="208">
        <f>ROUND(N(data!Z62), 0)</f>
        <v>293833</v>
      </c>
      <c r="I25" s="208">
        <f>ROUND(N(data!Z63), 0)</f>
        <v>0</v>
      </c>
      <c r="J25" s="208">
        <f>ROUND(N(data!Z64), 0)</f>
        <v>61289</v>
      </c>
      <c r="K25" s="208">
        <f>ROUND(N(data!Z65), 0)</f>
        <v>0</v>
      </c>
      <c r="L25" s="208">
        <f>ROUND(N(data!Z66), 0)</f>
        <v>1085406</v>
      </c>
      <c r="M25" s="208">
        <f>ROUND(N(data!Z67), 0)</f>
        <v>263004</v>
      </c>
      <c r="N25" s="208">
        <f>ROUND(N(data!Z68), 0)</f>
        <v>4296</v>
      </c>
      <c r="O25" s="208">
        <f>ROUND(N(data!Z69), 0)</f>
        <v>930228</v>
      </c>
      <c r="P25" s="208">
        <f>ROUND(N(data!Z70), 0)</f>
        <v>0</v>
      </c>
      <c r="Q25" s="208">
        <f>ROUND(N(data!Z71), 0)</f>
        <v>0</v>
      </c>
      <c r="R25" s="208">
        <f>ROUND(N(data!Z72), 0)</f>
        <v>898119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2686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29423</v>
      </c>
      <c r="AD25" s="208">
        <f>ROUND(N(data!Z84), 0)</f>
        <v>47</v>
      </c>
      <c r="AE25" s="208">
        <f>ROUND(N(data!Z89), 0)</f>
        <v>24291633</v>
      </c>
      <c r="AF25" s="208">
        <f>ROUND(N(data!Z87), 0)</f>
        <v>252021</v>
      </c>
      <c r="AG25" s="208">
        <f>ROUND(N(data!Z90), 0)</f>
        <v>12695</v>
      </c>
      <c r="AH25" s="208">
        <f>ROUND(N(data!Z91), 0)</f>
        <v>0</v>
      </c>
      <c r="AI25" s="208">
        <f>ROUND(N(data!Z92), 0)</f>
        <v>2132</v>
      </c>
      <c r="AJ25" s="208">
        <f>ROUND(N(data!Z93), 0)</f>
        <v>0</v>
      </c>
      <c r="AK25" s="319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058</v>
      </c>
      <c r="B26" s="210" t="str">
        <f>RIGHT(data!$C$96,4)</f>
        <v>2023</v>
      </c>
      <c r="C26" s="12" t="str">
        <f>data!AA$55</f>
        <v>7160</v>
      </c>
      <c r="D26" s="12" t="s">
        <v>1154</v>
      </c>
      <c r="E26" s="208">
        <f>ROUND(N(data!AA59), 0)</f>
        <v>0</v>
      </c>
      <c r="F26" s="319">
        <f>ROUND(N(data!AA60), 2)</f>
        <v>5.24</v>
      </c>
      <c r="G26" s="208">
        <f>ROUND(N(data!AA61), 0)</f>
        <v>511870</v>
      </c>
      <c r="H26" s="208">
        <f>ROUND(N(data!AA62), 0)</f>
        <v>116250</v>
      </c>
      <c r="I26" s="208">
        <f>ROUND(N(data!AA63), 0)</f>
        <v>0</v>
      </c>
      <c r="J26" s="208">
        <f>ROUND(N(data!AA64), 0)</f>
        <v>566457</v>
      </c>
      <c r="K26" s="208">
        <f>ROUND(N(data!AA65), 0)</f>
        <v>0</v>
      </c>
      <c r="L26" s="208">
        <f>ROUND(N(data!AA66), 0)</f>
        <v>59874</v>
      </c>
      <c r="M26" s="208">
        <f>ROUND(N(data!AA67), 0)</f>
        <v>47401</v>
      </c>
      <c r="N26" s="208">
        <f>ROUND(N(data!AA68), 0)</f>
        <v>939</v>
      </c>
      <c r="O26" s="208">
        <f>ROUND(N(data!AA69), 0)</f>
        <v>20850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397</v>
      </c>
      <c r="T26" s="208">
        <f>ROUND(N(data!AA74), 0)</f>
        <v>1713</v>
      </c>
      <c r="U26" s="208">
        <f>ROUND(N(data!AA75), 0)</f>
        <v>0</v>
      </c>
      <c r="V26" s="208">
        <f>ROUND(N(data!AA76), 0)</f>
        <v>0</v>
      </c>
      <c r="W26" s="208">
        <f>ROUND(N(data!AA77), 0)</f>
        <v>1190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17550</v>
      </c>
      <c r="AD26" s="208">
        <f>ROUND(N(data!AA84), 0)</f>
        <v>0</v>
      </c>
      <c r="AE26" s="208">
        <f>ROUND(N(data!AA89), 0)</f>
        <v>9060719</v>
      </c>
      <c r="AF26" s="208">
        <f>ROUND(N(data!AA87), 0)</f>
        <v>197467</v>
      </c>
      <c r="AG26" s="208">
        <f>ROUND(N(data!AA90), 0)</f>
        <v>2288</v>
      </c>
      <c r="AH26" s="208">
        <f>ROUND(N(data!AA91), 0)</f>
        <v>0</v>
      </c>
      <c r="AI26" s="208">
        <f>ROUND(N(data!AA92), 0)</f>
        <v>1326</v>
      </c>
      <c r="AJ26" s="208">
        <f>ROUND(N(data!AA93), 0)</f>
        <v>4437</v>
      </c>
      <c r="AK26" s="319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058</v>
      </c>
      <c r="B27" s="210" t="str">
        <f>RIGHT(data!$C$96,4)</f>
        <v>2023</v>
      </c>
      <c r="C27" s="12" t="str">
        <f>data!AB$55</f>
        <v>7170</v>
      </c>
      <c r="D27" s="12" t="s">
        <v>1154</v>
      </c>
      <c r="E27" s="208">
        <f>ROUND(N(data!AB59), 0)</f>
        <v>0</v>
      </c>
      <c r="F27" s="319">
        <f>ROUND(N(data!AB60), 2)</f>
        <v>62.23</v>
      </c>
      <c r="G27" s="208">
        <f>ROUND(N(data!AB61), 0)</f>
        <v>5727231</v>
      </c>
      <c r="H27" s="208">
        <f>ROUND(N(data!AB62), 0)</f>
        <v>1300699</v>
      </c>
      <c r="I27" s="208">
        <f>ROUND(N(data!AB63), 0)</f>
        <v>0</v>
      </c>
      <c r="J27" s="208">
        <f>ROUND(N(data!AB64), 0)</f>
        <v>12284941</v>
      </c>
      <c r="K27" s="208">
        <f>ROUND(N(data!AB65), 0)</f>
        <v>4378</v>
      </c>
      <c r="L27" s="208">
        <f>ROUND(N(data!AB66), 0)</f>
        <v>204638</v>
      </c>
      <c r="M27" s="208">
        <f>ROUND(N(data!AB67), 0)</f>
        <v>213449</v>
      </c>
      <c r="N27" s="208">
        <f>ROUND(N(data!AB68), 0)</f>
        <v>80879</v>
      </c>
      <c r="O27" s="208">
        <f>ROUND(N(data!AB69), 0)</f>
        <v>315128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988</v>
      </c>
      <c r="U27" s="208">
        <f>ROUND(N(data!AB75), 0)</f>
        <v>0</v>
      </c>
      <c r="V27" s="208">
        <f>ROUND(N(data!AB76), 0)</f>
        <v>0</v>
      </c>
      <c r="W27" s="208">
        <f>ROUND(N(data!AB77), 0)</f>
        <v>27978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286162</v>
      </c>
      <c r="AD27" s="208">
        <f>ROUND(N(data!AB84), 0)</f>
        <v>236060</v>
      </c>
      <c r="AE27" s="208">
        <f>ROUND(N(data!AB89), 0)</f>
        <v>78404521</v>
      </c>
      <c r="AF27" s="208">
        <f>ROUND(N(data!AB87), 0)</f>
        <v>39228897</v>
      </c>
      <c r="AG27" s="208">
        <f>ROUND(N(data!AB90), 0)</f>
        <v>10303</v>
      </c>
      <c r="AH27" s="208">
        <f>ROUND(N(data!AB91), 0)</f>
        <v>0</v>
      </c>
      <c r="AI27" s="208">
        <f>ROUND(N(data!AB92), 0)</f>
        <v>1339</v>
      </c>
      <c r="AJ27" s="208">
        <f>ROUND(N(data!AB93), 0)</f>
        <v>1300</v>
      </c>
      <c r="AK27" s="319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058</v>
      </c>
      <c r="B28" s="210" t="str">
        <f>RIGHT(data!$C$96,4)</f>
        <v>2023</v>
      </c>
      <c r="C28" s="12" t="str">
        <f>data!AC$55</f>
        <v>7180</v>
      </c>
      <c r="D28" s="12" t="s">
        <v>1154</v>
      </c>
      <c r="E28" s="208">
        <f>ROUND(N(data!AC59), 0)</f>
        <v>0</v>
      </c>
      <c r="F28" s="319">
        <f>ROUND(N(data!AC60), 2)</f>
        <v>18</v>
      </c>
      <c r="G28" s="208">
        <f>ROUND(N(data!AC61), 0)</f>
        <v>1837060</v>
      </c>
      <c r="H28" s="208">
        <f>ROUND(N(data!AC62), 0)</f>
        <v>417211</v>
      </c>
      <c r="I28" s="208">
        <f>ROUND(N(data!AC63), 0)</f>
        <v>0</v>
      </c>
      <c r="J28" s="208">
        <f>ROUND(N(data!AC64), 0)</f>
        <v>490870</v>
      </c>
      <c r="K28" s="208">
        <f>ROUND(N(data!AC65), 0)</f>
        <v>0</v>
      </c>
      <c r="L28" s="208">
        <f>ROUND(N(data!AC66), 0)</f>
        <v>518</v>
      </c>
      <c r="M28" s="208">
        <f>ROUND(N(data!AC67), 0)</f>
        <v>63726</v>
      </c>
      <c r="N28" s="208">
        <f>ROUND(N(data!AC68), 0)</f>
        <v>29066</v>
      </c>
      <c r="O28" s="208">
        <f>ROUND(N(data!AC69), 0)</f>
        <v>385846</v>
      </c>
      <c r="P28" s="208">
        <f>ROUND(N(data!AC70), 0)</f>
        <v>0</v>
      </c>
      <c r="Q28" s="208">
        <f>ROUND(N(data!AC71), 0)</f>
        <v>358195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22935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4716</v>
      </c>
      <c r="AD28" s="208">
        <f>ROUND(N(data!AC84), 0)</f>
        <v>0</v>
      </c>
      <c r="AE28" s="208">
        <f>ROUND(N(data!AC89), 0)</f>
        <v>23201337</v>
      </c>
      <c r="AF28" s="208">
        <f>ROUND(N(data!AC87), 0)</f>
        <v>17905762</v>
      </c>
      <c r="AG28" s="208">
        <f>ROUND(N(data!AC90), 0)</f>
        <v>3076</v>
      </c>
      <c r="AH28" s="208">
        <f>ROUND(N(data!AC91), 0)</f>
        <v>0</v>
      </c>
      <c r="AI28" s="208">
        <f>ROUND(N(data!AC92), 0)</f>
        <v>234</v>
      </c>
      <c r="AJ28" s="208">
        <f>ROUND(N(data!AC93), 0)</f>
        <v>0</v>
      </c>
      <c r="AK28" s="319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058</v>
      </c>
      <c r="B29" s="210" t="str">
        <f>RIGHT(data!$C$96,4)</f>
        <v>2023</v>
      </c>
      <c r="C29" s="12" t="str">
        <f>data!AD$55</f>
        <v>7190</v>
      </c>
      <c r="D29" s="12" t="s">
        <v>1154</v>
      </c>
      <c r="E29" s="208">
        <f>ROUND(N(data!AD59), 0)</f>
        <v>0</v>
      </c>
      <c r="F29" s="319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1778074</v>
      </c>
      <c r="M29" s="208">
        <f>ROUND(N(data!AD67), 0)</f>
        <v>5531</v>
      </c>
      <c r="N29" s="208">
        <f>ROUND(N(data!AD68), 0)</f>
        <v>0</v>
      </c>
      <c r="O29" s="208">
        <f>ROUND(N(data!AD69), 0)</f>
        <v>34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34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3810717</v>
      </c>
      <c r="AF29" s="208">
        <f>ROUND(N(data!AD87), 0)</f>
        <v>3645702</v>
      </c>
      <c r="AG29" s="208">
        <f>ROUND(N(data!AD90), 0)</f>
        <v>267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9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058</v>
      </c>
      <c r="B30" s="210" t="str">
        <f>RIGHT(data!$C$96,4)</f>
        <v>2023</v>
      </c>
      <c r="C30" s="12" t="str">
        <f>data!AE$55</f>
        <v>7200</v>
      </c>
      <c r="D30" s="12" t="s">
        <v>1154</v>
      </c>
      <c r="E30" s="208">
        <f>ROUND(N(data!AE59), 0)</f>
        <v>0</v>
      </c>
      <c r="F30" s="319">
        <f>ROUND(N(data!AE60), 2)</f>
        <v>25.96</v>
      </c>
      <c r="G30" s="208">
        <f>ROUND(N(data!AE61), 0)</f>
        <v>2604864</v>
      </c>
      <c r="H30" s="208">
        <f>ROUND(N(data!AE62), 0)</f>
        <v>591585</v>
      </c>
      <c r="I30" s="208">
        <f>ROUND(N(data!AE63), 0)</f>
        <v>0</v>
      </c>
      <c r="J30" s="208">
        <f>ROUND(N(data!AE64), 0)</f>
        <v>15855</v>
      </c>
      <c r="K30" s="208">
        <f>ROUND(N(data!AE65), 0)</f>
        <v>10470</v>
      </c>
      <c r="L30" s="208">
        <f>ROUND(N(data!AE66), 0)</f>
        <v>16</v>
      </c>
      <c r="M30" s="208">
        <f>ROUND(N(data!AE67), 0)</f>
        <v>228531</v>
      </c>
      <c r="N30" s="208">
        <f>ROUND(N(data!AE68), 0)</f>
        <v>163282</v>
      </c>
      <c r="O30" s="208">
        <f>ROUND(N(data!AE69), 0)</f>
        <v>45910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4001</v>
      </c>
      <c r="U30" s="208">
        <f>ROUND(N(data!AE75), 0)</f>
        <v>0</v>
      </c>
      <c r="V30" s="208">
        <f>ROUND(N(data!AE76), 0)</f>
        <v>0</v>
      </c>
      <c r="W30" s="208">
        <f>ROUND(N(data!AE77), 0)</f>
        <v>1973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39936</v>
      </c>
      <c r="AD30" s="208">
        <f>ROUND(N(data!AE84), 0)</f>
        <v>162298</v>
      </c>
      <c r="AE30" s="208">
        <f>ROUND(N(data!AE89), 0)</f>
        <v>7009539</v>
      </c>
      <c r="AF30" s="208">
        <f>ROUND(N(data!AE87), 0)</f>
        <v>4067405</v>
      </c>
      <c r="AG30" s="208">
        <f>ROUND(N(data!AE90), 0)</f>
        <v>11031</v>
      </c>
      <c r="AH30" s="208">
        <f>ROUND(N(data!AE91), 0)</f>
        <v>0</v>
      </c>
      <c r="AI30" s="208">
        <f>ROUND(N(data!AE92), 0)</f>
        <v>2002</v>
      </c>
      <c r="AJ30" s="208">
        <f>ROUND(N(data!AE93), 0)</f>
        <v>0</v>
      </c>
      <c r="AK30" s="319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058</v>
      </c>
      <c r="B31" s="210" t="str">
        <f>RIGHT(data!$C$96,4)</f>
        <v>2023</v>
      </c>
      <c r="C31" s="12" t="str">
        <f>data!AF$55</f>
        <v>7220</v>
      </c>
      <c r="D31" s="12" t="s">
        <v>1154</v>
      </c>
      <c r="E31" s="208">
        <f>ROUND(N(data!AF59), 0)</f>
        <v>0</v>
      </c>
      <c r="F31" s="319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9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058</v>
      </c>
      <c r="B32" s="210" t="str">
        <f>RIGHT(data!$C$96,4)</f>
        <v>2023</v>
      </c>
      <c r="C32" s="12" t="str">
        <f>data!AG$55</f>
        <v>7230</v>
      </c>
      <c r="D32" s="12" t="s">
        <v>1154</v>
      </c>
      <c r="E32" s="208">
        <f>ROUND(N(data!AG59), 0)</f>
        <v>0</v>
      </c>
      <c r="F32" s="319">
        <f>ROUND(N(data!AG60), 2)</f>
        <v>104.36</v>
      </c>
      <c r="G32" s="208">
        <f>ROUND(N(data!AG61), 0)</f>
        <v>9462201</v>
      </c>
      <c r="H32" s="208">
        <f>ROUND(N(data!AG62), 0)</f>
        <v>2148939</v>
      </c>
      <c r="I32" s="208">
        <f>ROUND(N(data!AG63), 0)</f>
        <v>13814828</v>
      </c>
      <c r="J32" s="208">
        <f>ROUND(N(data!AG64), 0)</f>
        <v>1800184</v>
      </c>
      <c r="K32" s="208">
        <f>ROUND(N(data!AG65), 0)</f>
        <v>0</v>
      </c>
      <c r="L32" s="208">
        <f>ROUND(N(data!AG66), 0)</f>
        <v>1327618</v>
      </c>
      <c r="M32" s="208">
        <f>ROUND(N(data!AG67), 0)</f>
        <v>427684</v>
      </c>
      <c r="N32" s="208">
        <f>ROUND(N(data!AG68), 0)</f>
        <v>6012</v>
      </c>
      <c r="O32" s="208">
        <f>ROUND(N(data!AG69), 0)</f>
        <v>1981621</v>
      </c>
      <c r="P32" s="208">
        <f>ROUND(N(data!AG70), 0)</f>
        <v>0</v>
      </c>
      <c r="Q32" s="208">
        <f>ROUND(N(data!AG71), 0)</f>
        <v>1823379</v>
      </c>
      <c r="R32" s="208">
        <f>ROUND(N(data!AG72), 0)</f>
        <v>5444</v>
      </c>
      <c r="S32" s="208">
        <f>ROUND(N(data!AG73), 0)</f>
        <v>0</v>
      </c>
      <c r="T32" s="208">
        <f>ROUND(N(data!AG74), 0)</f>
        <v>135009</v>
      </c>
      <c r="U32" s="208">
        <f>ROUND(N(data!AG75), 0)</f>
        <v>0</v>
      </c>
      <c r="V32" s="208">
        <f>ROUND(N(data!AG76), 0)</f>
        <v>0</v>
      </c>
      <c r="W32" s="208">
        <f>ROUND(N(data!AG77), 0)</f>
        <v>8835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8954</v>
      </c>
      <c r="AD32" s="208">
        <f>ROUND(N(data!AG84), 0)</f>
        <v>72903</v>
      </c>
      <c r="AE32" s="208">
        <f>ROUND(N(data!AG89), 0)</f>
        <v>221911271</v>
      </c>
      <c r="AF32" s="208">
        <f>ROUND(N(data!AG87), 0)</f>
        <v>44122370</v>
      </c>
      <c r="AG32" s="208">
        <f>ROUND(N(data!AG90), 0)</f>
        <v>20644</v>
      </c>
      <c r="AH32" s="208">
        <f>ROUND(N(data!AG91), 0)</f>
        <v>9367</v>
      </c>
      <c r="AI32" s="208">
        <f>ROUND(N(data!AG92), 0)</f>
        <v>17940</v>
      </c>
      <c r="AJ32" s="208">
        <f>ROUND(N(data!AG93), 0)</f>
        <v>370247</v>
      </c>
      <c r="AK32" s="319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058</v>
      </c>
      <c r="B33" s="210" t="str">
        <f>RIGHT(data!$C$96,4)</f>
        <v>2023</v>
      </c>
      <c r="C33" s="12" t="str">
        <f>data!AH$55</f>
        <v>7240</v>
      </c>
      <c r="D33" s="12" t="s">
        <v>1154</v>
      </c>
      <c r="E33" s="208">
        <f>ROUND(N(data!AH59), 0)</f>
        <v>0</v>
      </c>
      <c r="F33" s="319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9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058</v>
      </c>
      <c r="B34" s="210" t="str">
        <f>RIGHT(data!$C$96,4)</f>
        <v>2023</v>
      </c>
      <c r="C34" s="12" t="str">
        <f>data!AI$55</f>
        <v>7250</v>
      </c>
      <c r="D34" s="12" t="s">
        <v>1154</v>
      </c>
      <c r="E34" s="208">
        <f>ROUND(N(data!AI59), 0)</f>
        <v>0</v>
      </c>
      <c r="F34" s="319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9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058</v>
      </c>
      <c r="B35" s="210" t="str">
        <f>RIGHT(data!$C$96,4)</f>
        <v>2023</v>
      </c>
      <c r="C35" s="12" t="str">
        <f>data!AJ$55</f>
        <v>7260</v>
      </c>
      <c r="D35" s="12" t="s">
        <v>1154</v>
      </c>
      <c r="E35" s="208">
        <f>ROUND(N(data!AJ59), 0)</f>
        <v>0</v>
      </c>
      <c r="F35" s="319">
        <f>ROUND(N(data!AJ60), 2)</f>
        <v>66.16</v>
      </c>
      <c r="G35" s="208">
        <f>ROUND(N(data!AJ61), 0)</f>
        <v>7033624</v>
      </c>
      <c r="H35" s="208">
        <f>ROUND(N(data!AJ62), 0)</f>
        <v>1597391</v>
      </c>
      <c r="I35" s="208">
        <f>ROUND(N(data!AJ63), 0)</f>
        <v>1982452</v>
      </c>
      <c r="J35" s="208">
        <f>ROUND(N(data!AJ64), 0)</f>
        <v>27702734</v>
      </c>
      <c r="K35" s="208">
        <f>ROUND(N(data!AJ65), 0)</f>
        <v>163914</v>
      </c>
      <c r="L35" s="208">
        <f>ROUND(N(data!AJ66), 0)</f>
        <v>81067</v>
      </c>
      <c r="M35" s="208">
        <f>ROUND(N(data!AJ67), 0)</f>
        <v>351818</v>
      </c>
      <c r="N35" s="208">
        <f>ROUND(N(data!AJ68), 0)</f>
        <v>92321</v>
      </c>
      <c r="O35" s="208">
        <f>ROUND(N(data!AJ69), 0)</f>
        <v>1018631</v>
      </c>
      <c r="P35" s="208">
        <f>ROUND(N(data!AJ70), 0)</f>
        <v>0</v>
      </c>
      <c r="Q35" s="208">
        <f>ROUND(N(data!AJ71), 0)</f>
        <v>0</v>
      </c>
      <c r="R35" s="208">
        <f>ROUND(N(data!AJ72), 0)</f>
        <v>200551</v>
      </c>
      <c r="S35" s="208">
        <f>ROUND(N(data!AJ73), 0)</f>
        <v>34713</v>
      </c>
      <c r="T35" s="208">
        <f>ROUND(N(data!AJ74), 0)</f>
        <v>360</v>
      </c>
      <c r="U35" s="208">
        <f>ROUND(N(data!AJ75), 0)</f>
        <v>7490</v>
      </c>
      <c r="V35" s="208">
        <f>ROUND(N(data!AJ76), 0)</f>
        <v>0</v>
      </c>
      <c r="W35" s="208">
        <f>ROUND(N(data!AJ77), 0)</f>
        <v>141009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7490</v>
      </c>
      <c r="AB35" s="208">
        <f>ROUND(N(data!AJ82), 0)</f>
        <v>0</v>
      </c>
      <c r="AC35" s="208">
        <f>ROUND(N(data!AJ83), 0)</f>
        <v>627018</v>
      </c>
      <c r="AD35" s="208">
        <f>ROUND(N(data!AJ84), 0)</f>
        <v>605942</v>
      </c>
      <c r="AE35" s="208">
        <f>ROUND(N(data!AJ89), 0)</f>
        <v>191256436</v>
      </c>
      <c r="AF35" s="208">
        <f>ROUND(N(data!AJ87), 0)</f>
        <v>1040150</v>
      </c>
      <c r="AG35" s="208">
        <f>ROUND(N(data!AJ90), 0)</f>
        <v>16982</v>
      </c>
      <c r="AH35" s="208">
        <f>ROUND(N(data!AJ91), 0)</f>
        <v>0</v>
      </c>
      <c r="AI35" s="208">
        <f>ROUND(N(data!AJ92), 0)</f>
        <v>5746</v>
      </c>
      <c r="AJ35" s="208">
        <f>ROUND(N(data!AJ93), 0)</f>
        <v>0</v>
      </c>
      <c r="AK35" s="319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058</v>
      </c>
      <c r="B36" s="210" t="str">
        <f>RIGHT(data!$C$96,4)</f>
        <v>2023</v>
      </c>
      <c r="C36" s="12" t="str">
        <f>data!AK$55</f>
        <v>7310</v>
      </c>
      <c r="D36" s="12" t="s">
        <v>1154</v>
      </c>
      <c r="E36" s="208">
        <f>ROUND(N(data!AK59), 0)</f>
        <v>0</v>
      </c>
      <c r="F36" s="319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9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058</v>
      </c>
      <c r="B37" s="210" t="str">
        <f>RIGHT(data!$C$96,4)</f>
        <v>2023</v>
      </c>
      <c r="C37" s="12" t="str">
        <f>data!AL$55</f>
        <v>7320</v>
      </c>
      <c r="D37" s="12" t="s">
        <v>1154</v>
      </c>
      <c r="E37" s="208">
        <f>ROUND(N(data!AL59), 0)</f>
        <v>0</v>
      </c>
      <c r="F37" s="319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9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058</v>
      </c>
      <c r="B38" s="210" t="str">
        <f>RIGHT(data!$C$96,4)</f>
        <v>2023</v>
      </c>
      <c r="C38" s="12" t="str">
        <f>data!AM$55</f>
        <v>7330</v>
      </c>
      <c r="D38" s="12" t="s">
        <v>1154</v>
      </c>
      <c r="E38" s="208">
        <f>ROUND(N(data!AM59), 0)</f>
        <v>0</v>
      </c>
      <c r="F38" s="319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9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058</v>
      </c>
      <c r="B39" s="210" t="str">
        <f>RIGHT(data!$C$96,4)</f>
        <v>2023</v>
      </c>
      <c r="C39" s="12" t="str">
        <f>data!AN$55</f>
        <v>7340</v>
      </c>
      <c r="D39" s="12" t="s">
        <v>1154</v>
      </c>
      <c r="E39" s="208">
        <f>ROUND(N(data!AN59), 0)</f>
        <v>0</v>
      </c>
      <c r="F39" s="319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9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058</v>
      </c>
      <c r="B40" s="210" t="str">
        <f>RIGHT(data!$C$96,4)</f>
        <v>2023</v>
      </c>
      <c r="C40" s="12" t="str">
        <f>data!AO$55</f>
        <v>7350</v>
      </c>
      <c r="D40" s="12" t="s">
        <v>1154</v>
      </c>
      <c r="E40" s="208">
        <f>ROUND(N(data!AO59), 0)</f>
        <v>0</v>
      </c>
      <c r="F40" s="319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9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058</v>
      </c>
      <c r="B41" s="210" t="str">
        <f>RIGHT(data!$C$96,4)</f>
        <v>2023</v>
      </c>
      <c r="C41" s="12" t="str">
        <f>data!AP$55</f>
        <v>7380</v>
      </c>
      <c r="D41" s="12" t="s">
        <v>1154</v>
      </c>
      <c r="E41" s="208">
        <f>ROUND(N(data!AP59), 0)</f>
        <v>0</v>
      </c>
      <c r="F41" s="319">
        <f>ROUND(N(data!AP60), 2)</f>
        <v>390.48</v>
      </c>
      <c r="G41" s="208">
        <f>ROUND(N(data!AP61), 0)</f>
        <v>66154619</v>
      </c>
      <c r="H41" s="208">
        <f>ROUND(N(data!AP62), 0)</f>
        <v>15024227</v>
      </c>
      <c r="I41" s="208">
        <f>ROUND(N(data!AP63), 0)</f>
        <v>12974092</v>
      </c>
      <c r="J41" s="208">
        <f>ROUND(N(data!AP64), 0)</f>
        <v>3331411</v>
      </c>
      <c r="K41" s="208">
        <f>ROUND(N(data!AP65), 0)</f>
        <v>351793</v>
      </c>
      <c r="L41" s="208">
        <f>ROUND(N(data!AP66), 0)</f>
        <v>3838098</v>
      </c>
      <c r="M41" s="208">
        <f>ROUND(N(data!AP67), 0)</f>
        <v>3583028</v>
      </c>
      <c r="N41" s="208">
        <f>ROUND(N(data!AP68), 0)</f>
        <v>5159669</v>
      </c>
      <c r="O41" s="208">
        <f>ROUND(N(data!AP69), 0)</f>
        <v>4806128</v>
      </c>
      <c r="P41" s="208">
        <f>ROUND(N(data!AP70), 0)</f>
        <v>0</v>
      </c>
      <c r="Q41" s="208">
        <f>ROUND(N(data!AP71), 0)</f>
        <v>56980</v>
      </c>
      <c r="R41" s="208">
        <f>ROUND(N(data!AP72), 0)</f>
        <v>946392</v>
      </c>
      <c r="S41" s="208">
        <f>ROUND(N(data!AP73), 0)</f>
        <v>1469502</v>
      </c>
      <c r="T41" s="208">
        <f>ROUND(N(data!AP74), 0)</f>
        <v>69955</v>
      </c>
      <c r="U41" s="208">
        <f>ROUND(N(data!AP75), 0)</f>
        <v>252770</v>
      </c>
      <c r="V41" s="208">
        <f>ROUND(N(data!AP76), 0)</f>
        <v>0</v>
      </c>
      <c r="W41" s="208">
        <f>ROUND(N(data!AP77), 0)</f>
        <v>218557</v>
      </c>
      <c r="X41" s="208">
        <f>ROUND(N(data!AP78), 0)</f>
        <v>0</v>
      </c>
      <c r="Y41" s="208">
        <f>ROUND(N(data!AP79), 0)</f>
        <v>22528</v>
      </c>
      <c r="Z41" s="208">
        <f>ROUND(N(data!AP80), 0)</f>
        <v>0</v>
      </c>
      <c r="AA41" s="208">
        <f>ROUND(N(data!AP81), 0)</f>
        <v>249671</v>
      </c>
      <c r="AB41" s="208">
        <f>ROUND(N(data!AP82), 0)</f>
        <v>0</v>
      </c>
      <c r="AC41" s="208">
        <f>ROUND(N(data!AP83), 0)</f>
        <v>1519773</v>
      </c>
      <c r="AD41" s="208">
        <f>ROUND(N(data!AP84), 0)</f>
        <v>226096</v>
      </c>
      <c r="AE41" s="208">
        <f>ROUND(N(data!AP89), 0)</f>
        <v>280225510</v>
      </c>
      <c r="AF41" s="208">
        <f>ROUND(N(data!AP87), 0)</f>
        <v>17390819</v>
      </c>
      <c r="AG41" s="208">
        <f>ROUND(N(data!AP90), 0)</f>
        <v>172950</v>
      </c>
      <c r="AH41" s="208">
        <f>ROUND(N(data!AP91), 0)</f>
        <v>0</v>
      </c>
      <c r="AI41" s="208">
        <f>ROUND(N(data!AP92), 0)</f>
        <v>8281</v>
      </c>
      <c r="AJ41" s="208">
        <f>ROUND(N(data!AP93), 0)</f>
        <v>3907</v>
      </c>
      <c r="AK41" s="319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058</v>
      </c>
      <c r="B42" s="210" t="str">
        <f>RIGHT(data!$C$96,4)</f>
        <v>2023</v>
      </c>
      <c r="C42" s="12" t="str">
        <f>data!AQ$55</f>
        <v>7390</v>
      </c>
      <c r="D42" s="12" t="s">
        <v>1154</v>
      </c>
      <c r="E42" s="208">
        <f>ROUND(N(data!AQ59), 0)</f>
        <v>0</v>
      </c>
      <c r="F42" s="319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9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058</v>
      </c>
      <c r="B43" s="210" t="str">
        <f>RIGHT(data!$C$96,4)</f>
        <v>2023</v>
      </c>
      <c r="C43" s="12" t="str">
        <f>data!AR$55</f>
        <v>7400</v>
      </c>
      <c r="D43" s="12" t="s">
        <v>1154</v>
      </c>
      <c r="E43" s="208">
        <f>ROUND(N(data!AR59), 0)</f>
        <v>0</v>
      </c>
      <c r="F43" s="319">
        <f>ROUND(N(data!AR60), 2)</f>
        <v>78.63</v>
      </c>
      <c r="G43" s="208">
        <f>ROUND(N(data!AR61), 0)</f>
        <v>7700505</v>
      </c>
      <c r="H43" s="208">
        <f>ROUND(N(data!AR62), 0)</f>
        <v>1748844</v>
      </c>
      <c r="I43" s="208">
        <f>ROUND(N(data!AR63), 0)</f>
        <v>0</v>
      </c>
      <c r="J43" s="208">
        <f>ROUND(N(data!AR64), 0)</f>
        <v>1334473</v>
      </c>
      <c r="K43" s="208">
        <f>ROUND(N(data!AR65), 0)</f>
        <v>84387</v>
      </c>
      <c r="L43" s="208">
        <f>ROUND(N(data!AR66), 0)</f>
        <v>1019592</v>
      </c>
      <c r="M43" s="208">
        <f>ROUND(N(data!AR67), 0)</f>
        <v>541235</v>
      </c>
      <c r="N43" s="208">
        <f>ROUND(N(data!AR68), 0)</f>
        <v>187638</v>
      </c>
      <c r="O43" s="208">
        <f>ROUND(N(data!AR69), 0)</f>
        <v>511951</v>
      </c>
      <c r="P43" s="208">
        <f>ROUND(N(data!AR70), 0)</f>
        <v>0</v>
      </c>
      <c r="Q43" s="208">
        <f>ROUND(N(data!AR71), 0)</f>
        <v>0</v>
      </c>
      <c r="R43" s="208">
        <f>ROUND(N(data!AR72), 0)</f>
        <v>11903</v>
      </c>
      <c r="S43" s="208">
        <f>ROUND(N(data!AR73), 0)</f>
        <v>1980</v>
      </c>
      <c r="T43" s="208">
        <f>ROUND(N(data!AR74), 0)</f>
        <v>32539</v>
      </c>
      <c r="U43" s="208">
        <f>ROUND(N(data!AR75), 0)</f>
        <v>57768</v>
      </c>
      <c r="V43" s="208">
        <f>ROUND(N(data!AR76), 0)</f>
        <v>0</v>
      </c>
      <c r="W43" s="208">
        <f>ROUND(N(data!AR77), 0)</f>
        <v>62973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57768</v>
      </c>
      <c r="AB43" s="208">
        <f>ROUND(N(data!AR82), 0)</f>
        <v>0</v>
      </c>
      <c r="AC43" s="208">
        <f>ROUND(N(data!AR83), 0)</f>
        <v>287020</v>
      </c>
      <c r="AD43" s="208">
        <f>ROUND(N(data!AR84), 0)</f>
        <v>125706</v>
      </c>
      <c r="AE43" s="208">
        <f>ROUND(N(data!AR89), 0)</f>
        <v>25425180</v>
      </c>
      <c r="AF43" s="208">
        <f>ROUND(N(data!AR87), 0)</f>
        <v>0</v>
      </c>
      <c r="AG43" s="208">
        <f>ROUND(N(data!AR90), 0)</f>
        <v>26125</v>
      </c>
      <c r="AH43" s="208">
        <f>ROUND(N(data!AR91), 0)</f>
        <v>1249</v>
      </c>
      <c r="AI43" s="208">
        <f>ROUND(N(data!AR92), 0)</f>
        <v>6747</v>
      </c>
      <c r="AJ43" s="208">
        <f>ROUND(N(data!AR93), 0)</f>
        <v>0</v>
      </c>
      <c r="AK43" s="319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058</v>
      </c>
      <c r="B44" s="210" t="str">
        <f>RIGHT(data!$C$96,4)</f>
        <v>2023</v>
      </c>
      <c r="C44" s="12" t="str">
        <f>data!AS$55</f>
        <v>7410</v>
      </c>
      <c r="D44" s="12" t="s">
        <v>1154</v>
      </c>
      <c r="E44" s="208">
        <f>ROUND(N(data!AS59), 0)</f>
        <v>0</v>
      </c>
      <c r="F44" s="319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9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058</v>
      </c>
      <c r="B45" s="210" t="str">
        <f>RIGHT(data!$C$96,4)</f>
        <v>2023</v>
      </c>
      <c r="C45" s="12" t="str">
        <f>data!AT$55</f>
        <v>7420</v>
      </c>
      <c r="D45" s="12" t="s">
        <v>1154</v>
      </c>
      <c r="E45" s="208">
        <f>ROUND(N(data!AT59), 0)</f>
        <v>0</v>
      </c>
      <c r="F45" s="319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9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058</v>
      </c>
      <c r="B46" s="210" t="str">
        <f>RIGHT(data!$C$96,4)</f>
        <v>2023</v>
      </c>
      <c r="C46" s="12" t="str">
        <f>data!AU$55</f>
        <v>7430</v>
      </c>
      <c r="D46" s="12" t="s">
        <v>1154</v>
      </c>
      <c r="E46" s="208">
        <f>ROUND(N(data!AU59), 0)</f>
        <v>0</v>
      </c>
      <c r="F46" s="319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9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058</v>
      </c>
      <c r="B47" s="210" t="str">
        <f>RIGHT(data!$C$96,4)</f>
        <v>2023</v>
      </c>
      <c r="C47" s="12" t="str">
        <f>data!AV$55</f>
        <v>7490</v>
      </c>
      <c r="D47" s="12" t="s">
        <v>1154</v>
      </c>
      <c r="E47" s="208">
        <f>ROUND(N(data!AV59), 0)</f>
        <v>0</v>
      </c>
      <c r="F47" s="319">
        <f>ROUND(N(data!AV60), 2)</f>
        <v>130.38999999999999</v>
      </c>
      <c r="G47" s="208">
        <f>ROUND(N(data!AV61), 0)</f>
        <v>21298221</v>
      </c>
      <c r="H47" s="208">
        <f>ROUND(N(data!AV62), 0)</f>
        <v>4836991</v>
      </c>
      <c r="I47" s="208">
        <f>ROUND(N(data!AV63), 0)</f>
        <v>2192550</v>
      </c>
      <c r="J47" s="208">
        <f>ROUND(N(data!AV64), 0)</f>
        <v>10466966</v>
      </c>
      <c r="K47" s="208">
        <f>ROUND(N(data!AV65), 0)</f>
        <v>22626</v>
      </c>
      <c r="L47" s="208">
        <f>ROUND(N(data!AV66), 0)</f>
        <v>444009</v>
      </c>
      <c r="M47" s="208">
        <f>ROUND(N(data!AV67), 0)</f>
        <v>225568</v>
      </c>
      <c r="N47" s="208">
        <f>ROUND(N(data!AV68), 0)</f>
        <v>504635</v>
      </c>
      <c r="O47" s="208">
        <f>ROUND(N(data!AV69), 0)</f>
        <v>937460</v>
      </c>
      <c r="P47" s="208">
        <f>ROUND(N(data!AV70), 0)</f>
        <v>0</v>
      </c>
      <c r="Q47" s="208">
        <f>ROUND(N(data!AV71), 0)</f>
        <v>134699</v>
      </c>
      <c r="R47" s="208">
        <f>ROUND(N(data!AV72), 0)</f>
        <v>155339</v>
      </c>
      <c r="S47" s="208">
        <f>ROUND(N(data!AV73), 0)</f>
        <v>233802</v>
      </c>
      <c r="T47" s="208">
        <f>ROUND(N(data!AV74), 0)</f>
        <v>13766</v>
      </c>
      <c r="U47" s="208">
        <f>ROUND(N(data!AV75), 0)</f>
        <v>25333</v>
      </c>
      <c r="V47" s="208">
        <f>ROUND(N(data!AV76), 0)</f>
        <v>0</v>
      </c>
      <c r="W47" s="208">
        <f>ROUND(N(data!AV77), 0)</f>
        <v>35702</v>
      </c>
      <c r="X47" s="208">
        <f>ROUND(N(data!AV78), 0)</f>
        <v>0</v>
      </c>
      <c r="Y47" s="208">
        <f>ROUND(N(data!AV79), 0)</f>
        <v>960</v>
      </c>
      <c r="Z47" s="208">
        <f>ROUND(N(data!AV80), 0)</f>
        <v>0</v>
      </c>
      <c r="AA47" s="208">
        <f>ROUND(N(data!AV81), 0)</f>
        <v>25333</v>
      </c>
      <c r="AB47" s="208">
        <f>ROUND(N(data!AV82), 0)</f>
        <v>0</v>
      </c>
      <c r="AC47" s="208">
        <f>ROUND(N(data!AV83), 0)</f>
        <v>312526</v>
      </c>
      <c r="AD47" s="208">
        <f>ROUND(N(data!AV84), 0)</f>
        <v>6592838</v>
      </c>
      <c r="AE47" s="208">
        <f>ROUND(N(data!AV89), 0)</f>
        <v>51810719</v>
      </c>
      <c r="AF47" s="208">
        <f>ROUND(N(data!AV87), 0)</f>
        <v>20548514</v>
      </c>
      <c r="AG47" s="208">
        <f>ROUND(N(data!AV90), 0)</f>
        <v>10888</v>
      </c>
      <c r="AH47" s="208">
        <f>ROUND(N(data!AV91), 0)</f>
        <v>0</v>
      </c>
      <c r="AI47" s="208">
        <f>ROUND(N(data!AV92), 0)</f>
        <v>5447</v>
      </c>
      <c r="AJ47" s="208">
        <f>ROUND(N(data!AV93), 0)</f>
        <v>169</v>
      </c>
      <c r="AK47" s="319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058</v>
      </c>
      <c r="B48" s="210" t="str">
        <f>RIGHT(data!$C$96,4)</f>
        <v>2023</v>
      </c>
      <c r="C48" s="12" t="str">
        <f>data!AW$55</f>
        <v>8200</v>
      </c>
      <c r="D48" s="12" t="s">
        <v>1154</v>
      </c>
      <c r="E48" s="208">
        <f>ROUND(N(data!AW59), 0)</f>
        <v>0</v>
      </c>
      <c r="F48" s="319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9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058</v>
      </c>
      <c r="B49" s="210" t="str">
        <f>RIGHT(data!$C$96,4)</f>
        <v>2023</v>
      </c>
      <c r="C49" s="12" t="str">
        <f>data!AX$55</f>
        <v>8310</v>
      </c>
      <c r="D49" s="12" t="s">
        <v>1154</v>
      </c>
      <c r="E49" s="208">
        <f>ROUND(N(data!AX59), 0)</f>
        <v>0</v>
      </c>
      <c r="F49" s="319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9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058</v>
      </c>
      <c r="B50" s="210" t="str">
        <f>RIGHT(data!$C$96,4)</f>
        <v>2023</v>
      </c>
      <c r="C50" s="12" t="str">
        <f>data!AY$55</f>
        <v>8320</v>
      </c>
      <c r="D50" s="12" t="s">
        <v>1154</v>
      </c>
      <c r="E50" s="208">
        <f>ROUND(N(data!AY59), 0)</f>
        <v>184130</v>
      </c>
      <c r="F50" s="319">
        <f>ROUND(N(data!AY60), 2)</f>
        <v>34.57</v>
      </c>
      <c r="G50" s="208">
        <f>ROUND(N(data!AY61), 0)</f>
        <v>1733571</v>
      </c>
      <c r="H50" s="208">
        <f>ROUND(N(data!AY62), 0)</f>
        <v>393707</v>
      </c>
      <c r="I50" s="208">
        <f>ROUND(N(data!AY63), 0)</f>
        <v>0</v>
      </c>
      <c r="J50" s="208">
        <f>ROUND(N(data!AY64), 0)</f>
        <v>583018</v>
      </c>
      <c r="K50" s="208">
        <f>ROUND(N(data!AY65), 0)</f>
        <v>0</v>
      </c>
      <c r="L50" s="208">
        <f>ROUND(N(data!AY66), 0)</f>
        <v>1621</v>
      </c>
      <c r="M50" s="208">
        <f>ROUND(N(data!AY67), 0)</f>
        <v>137375</v>
      </c>
      <c r="N50" s="208">
        <f>ROUND(N(data!AY68), 0)</f>
        <v>11191</v>
      </c>
      <c r="O50" s="208">
        <f>ROUND(N(data!AY69), 0)</f>
        <v>166910</v>
      </c>
      <c r="P50" s="208">
        <f>ROUND(N(data!AY70), 0)</f>
        <v>0</v>
      </c>
      <c r="Q50" s="208">
        <f>ROUND(N(data!AY71), 0)</f>
        <v>0</v>
      </c>
      <c r="R50" s="208">
        <f>ROUND(N(data!AY72), 0)</f>
        <v>96789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51314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18807</v>
      </c>
      <c r="AD50" s="208">
        <f>ROUND(N(data!AY84), 0)</f>
        <v>3047</v>
      </c>
      <c r="AE50" s="208">
        <f>ROUND(N(data!AY89), 0)</f>
        <v>0</v>
      </c>
      <c r="AF50" s="208">
        <f>ROUND(N(data!AY87), 0)</f>
        <v>0</v>
      </c>
      <c r="AG50" s="208">
        <f>ROUND(N(data!AY90), 0)</f>
        <v>6631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9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058</v>
      </c>
      <c r="B51" s="210" t="str">
        <f>RIGHT(data!$C$96,4)</f>
        <v>2023</v>
      </c>
      <c r="C51" s="12" t="str">
        <f>data!AZ$55</f>
        <v>8330</v>
      </c>
      <c r="D51" s="12" t="s">
        <v>1154</v>
      </c>
      <c r="E51" s="208">
        <f>ROUND(N(data!AZ59), 0)</f>
        <v>214032</v>
      </c>
      <c r="F51" s="319">
        <f>ROUND(N(data!AZ60), 2)</f>
        <v>23.8</v>
      </c>
      <c r="G51" s="208">
        <f>ROUND(N(data!AZ61), 0)</f>
        <v>1012754</v>
      </c>
      <c r="H51" s="208">
        <f>ROUND(N(data!AZ62), 0)</f>
        <v>230004</v>
      </c>
      <c r="I51" s="208">
        <f>ROUND(N(data!AZ63), 0)</f>
        <v>0</v>
      </c>
      <c r="J51" s="208">
        <f>ROUND(N(data!AZ64), 0)</f>
        <v>884307</v>
      </c>
      <c r="K51" s="208">
        <f>ROUND(N(data!AZ65), 0)</f>
        <v>0</v>
      </c>
      <c r="L51" s="208">
        <f>ROUND(N(data!AZ66), 0)</f>
        <v>0</v>
      </c>
      <c r="M51" s="208">
        <f>ROUND(N(data!AZ67), 0)</f>
        <v>113343</v>
      </c>
      <c r="N51" s="208">
        <f>ROUND(N(data!AZ68), 0)</f>
        <v>12</v>
      </c>
      <c r="O51" s="208">
        <f>ROUND(N(data!AZ69), 0)</f>
        <v>210828</v>
      </c>
      <c r="P51" s="208">
        <f>ROUND(N(data!AZ70), 0)</f>
        <v>0</v>
      </c>
      <c r="Q51" s="208">
        <f>ROUND(N(data!AZ71), 0)</f>
        <v>0</v>
      </c>
      <c r="R51" s="208">
        <f>ROUND(N(data!AZ72), 0)</f>
        <v>25192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5651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179985</v>
      </c>
      <c r="AD51" s="208">
        <f>ROUND(N(data!AZ84), 0)</f>
        <v>2269848</v>
      </c>
      <c r="AE51" s="208">
        <f>ROUND(N(data!AZ89), 0)</f>
        <v>0</v>
      </c>
      <c r="AF51" s="208">
        <f>ROUND(N(data!AZ87), 0)</f>
        <v>0</v>
      </c>
      <c r="AG51" s="208">
        <f>ROUND(N(data!AZ90), 0)</f>
        <v>5471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9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058</v>
      </c>
      <c r="B52" s="210" t="str">
        <f>RIGHT(data!$C$96,4)</f>
        <v>2023</v>
      </c>
      <c r="C52" s="12" t="str">
        <f>data!BA$55</f>
        <v>8350</v>
      </c>
      <c r="D52" s="12" t="s">
        <v>1154</v>
      </c>
      <c r="E52" s="208">
        <f>ROUND(N(data!BA59), 0)</f>
        <v>0</v>
      </c>
      <c r="F52" s="319">
        <f>ROUND(N(data!BA60), 2)</f>
        <v>2.68</v>
      </c>
      <c r="G52" s="208">
        <f>ROUND(N(data!BA61), 0)</f>
        <v>103467</v>
      </c>
      <c r="H52" s="208">
        <f>ROUND(N(data!BA62), 0)</f>
        <v>23498</v>
      </c>
      <c r="I52" s="208">
        <f>ROUND(N(data!BA63), 0)</f>
        <v>0</v>
      </c>
      <c r="J52" s="208">
        <f>ROUND(N(data!BA64), 0)</f>
        <v>342664</v>
      </c>
      <c r="K52" s="208">
        <f>ROUND(N(data!BA65), 0)</f>
        <v>0</v>
      </c>
      <c r="L52" s="208">
        <f>ROUND(N(data!BA66), 0)</f>
        <v>44676</v>
      </c>
      <c r="M52" s="208">
        <f>ROUND(N(data!BA67), 0)</f>
        <v>54403</v>
      </c>
      <c r="N52" s="208">
        <f>ROUND(N(data!BA68), 0)</f>
        <v>231632</v>
      </c>
      <c r="O52" s="208">
        <f>ROUND(N(data!BA69), 0)</f>
        <v>1086161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1085956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205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2626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9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058</v>
      </c>
      <c r="B53" s="210" t="str">
        <f>RIGHT(data!$C$96,4)</f>
        <v>2023</v>
      </c>
      <c r="C53" s="12" t="str">
        <f>data!BB$55</f>
        <v>8360</v>
      </c>
      <c r="D53" s="12" t="s">
        <v>1154</v>
      </c>
      <c r="E53" s="208">
        <f>ROUND(N(data!BB59), 0)</f>
        <v>0</v>
      </c>
      <c r="F53" s="319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9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058</v>
      </c>
      <c r="B54" s="210" t="str">
        <f>RIGHT(data!$C$96,4)</f>
        <v>2023</v>
      </c>
      <c r="C54" s="12" t="str">
        <f>data!BC$55</f>
        <v>8370</v>
      </c>
      <c r="D54" s="12" t="s">
        <v>1154</v>
      </c>
      <c r="E54" s="208">
        <f>ROUND(N(data!BC59), 0)</f>
        <v>0</v>
      </c>
      <c r="F54" s="319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9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058</v>
      </c>
      <c r="B55" s="210" t="str">
        <f>RIGHT(data!$C$96,4)</f>
        <v>2023</v>
      </c>
      <c r="C55" s="12" t="str">
        <f>data!BD$55</f>
        <v>8420</v>
      </c>
      <c r="D55" s="12" t="s">
        <v>1154</v>
      </c>
      <c r="E55" s="208">
        <f>ROUND(N(data!BD59), 0)</f>
        <v>0</v>
      </c>
      <c r="F55" s="319">
        <f>ROUND(N(data!BD60), 2)</f>
        <v>19.36</v>
      </c>
      <c r="G55" s="208">
        <f>ROUND(N(data!BD61), 0)</f>
        <v>1075325</v>
      </c>
      <c r="H55" s="208">
        <f>ROUND(N(data!BD62), 0)</f>
        <v>244215</v>
      </c>
      <c r="I55" s="208">
        <f>ROUND(N(data!BD63), 0)</f>
        <v>0</v>
      </c>
      <c r="J55" s="208">
        <f>ROUND(N(data!BD64), 0)</f>
        <v>-178377</v>
      </c>
      <c r="K55" s="208">
        <f>ROUND(N(data!BD65), 0)</f>
        <v>0</v>
      </c>
      <c r="L55" s="208">
        <f>ROUND(N(data!BD66), 0)</f>
        <v>0</v>
      </c>
      <c r="M55" s="208">
        <f>ROUND(N(data!BD67), 0)</f>
        <v>138018</v>
      </c>
      <c r="N55" s="208">
        <f>ROUND(N(data!BD68), 0)</f>
        <v>5820</v>
      </c>
      <c r="O55" s="208">
        <f>ROUND(N(data!BD69), 0)</f>
        <v>1820443</v>
      </c>
      <c r="P55" s="208">
        <f>ROUND(N(data!BD70), 0)</f>
        <v>0</v>
      </c>
      <c r="Q55" s="208">
        <f>ROUND(N(data!BD71), 0)</f>
        <v>0</v>
      </c>
      <c r="R55" s="208">
        <f>ROUND(N(data!BD72), 0)</f>
        <v>47698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1073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1771672</v>
      </c>
      <c r="AD55" s="208">
        <f>ROUND(N(data!BD84), 0)</f>
        <v>67826</v>
      </c>
      <c r="AE55" s="208">
        <f>ROUND(N(data!BD89), 0)</f>
        <v>0</v>
      </c>
      <c r="AF55" s="208">
        <f>ROUND(N(data!BD87), 0)</f>
        <v>0</v>
      </c>
      <c r="AG55" s="208">
        <f>ROUND(N(data!BD90), 0)</f>
        <v>6662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9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058</v>
      </c>
      <c r="B56" s="210" t="str">
        <f>RIGHT(data!$C$96,4)</f>
        <v>2023</v>
      </c>
      <c r="C56" s="12" t="str">
        <f>data!BE$55</f>
        <v>8430</v>
      </c>
      <c r="D56" s="12" t="s">
        <v>1154</v>
      </c>
      <c r="E56" s="208">
        <f>ROUND(N(data!BE59), 0)</f>
        <v>1060797</v>
      </c>
      <c r="F56" s="319">
        <f>ROUND(N(data!BE60), 2)</f>
        <v>20.11</v>
      </c>
      <c r="G56" s="208">
        <f>ROUND(N(data!BE61), 0)</f>
        <v>1338083</v>
      </c>
      <c r="H56" s="208">
        <f>ROUND(N(data!BE62), 0)</f>
        <v>303889</v>
      </c>
      <c r="I56" s="208">
        <f>ROUND(N(data!BE63), 0)</f>
        <v>0</v>
      </c>
      <c r="J56" s="208">
        <f>ROUND(N(data!BE64), 0)</f>
        <v>145552</v>
      </c>
      <c r="K56" s="208">
        <f>ROUND(N(data!BE65), 0)</f>
        <v>2295722</v>
      </c>
      <c r="L56" s="208">
        <f>ROUND(N(data!BE66), 0)</f>
        <v>286045</v>
      </c>
      <c r="M56" s="208">
        <f>ROUND(N(data!BE67), 0)</f>
        <v>8840228</v>
      </c>
      <c r="N56" s="208">
        <f>ROUND(N(data!BE68), 0)</f>
        <v>3054</v>
      </c>
      <c r="O56" s="208">
        <f>ROUND(N(data!BE69), 0)</f>
        <v>2603283</v>
      </c>
      <c r="P56" s="208">
        <f>ROUND(N(data!BE70), 0)</f>
        <v>0</v>
      </c>
      <c r="Q56" s="208">
        <f>ROUND(N(data!BE71), 0)</f>
        <v>0</v>
      </c>
      <c r="R56" s="208">
        <f>ROUND(N(data!BE72), 0)</f>
        <v>1790514</v>
      </c>
      <c r="S56" s="208">
        <f>ROUND(N(data!BE73), 0)</f>
        <v>0</v>
      </c>
      <c r="T56" s="208">
        <f>ROUND(N(data!BE74), 0)</f>
        <v>6</v>
      </c>
      <c r="U56" s="208">
        <f>ROUND(N(data!BE75), 0)</f>
        <v>0</v>
      </c>
      <c r="V56" s="208">
        <f>ROUND(N(data!BE76), 0)</f>
        <v>0</v>
      </c>
      <c r="W56" s="208">
        <f>ROUND(N(data!BE77), 0)</f>
        <v>741384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71379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426711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9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058</v>
      </c>
      <c r="B57" s="210" t="str">
        <f>RIGHT(data!$C$96,4)</f>
        <v>2023</v>
      </c>
      <c r="C57" s="12" t="str">
        <f>data!BF$55</f>
        <v>8460</v>
      </c>
      <c r="D57" s="12" t="s">
        <v>1154</v>
      </c>
      <c r="E57" s="208">
        <f>ROUND(N(data!BF59), 0)</f>
        <v>0</v>
      </c>
      <c r="F57" s="319">
        <f>ROUND(N(data!BF60), 2)</f>
        <v>65.89</v>
      </c>
      <c r="G57" s="208">
        <f>ROUND(N(data!BF61), 0)</f>
        <v>2489766</v>
      </c>
      <c r="H57" s="208">
        <f>ROUND(N(data!BF62), 0)</f>
        <v>565445</v>
      </c>
      <c r="I57" s="208">
        <f>ROUND(N(data!BF63), 0)</f>
        <v>0</v>
      </c>
      <c r="J57" s="208">
        <f>ROUND(N(data!BF64), 0)</f>
        <v>304208</v>
      </c>
      <c r="K57" s="208">
        <f>ROUND(N(data!BF65), 0)</f>
        <v>118346</v>
      </c>
      <c r="L57" s="208">
        <f>ROUND(N(data!BF66), 0)</f>
        <v>100485</v>
      </c>
      <c r="M57" s="208">
        <f>ROUND(N(data!BF67), 0)</f>
        <v>29398</v>
      </c>
      <c r="N57" s="208">
        <f>ROUND(N(data!BF68), 0)</f>
        <v>2870</v>
      </c>
      <c r="O57" s="208">
        <f>ROUND(N(data!BF69), 0)</f>
        <v>1051288</v>
      </c>
      <c r="P57" s="208">
        <f>ROUND(N(data!BF70), 0)</f>
        <v>0</v>
      </c>
      <c r="Q57" s="208">
        <f>ROUND(N(data!BF71), 0)</f>
        <v>0</v>
      </c>
      <c r="R57" s="208">
        <f>ROUND(N(data!BF72), 0)</f>
        <v>102</v>
      </c>
      <c r="S57" s="208">
        <f>ROUND(N(data!BF73), 0)</f>
        <v>0</v>
      </c>
      <c r="T57" s="208">
        <f>ROUND(N(data!BF74), 0)</f>
        <v>2175</v>
      </c>
      <c r="U57" s="208">
        <f>ROUND(N(data!BF75), 0)</f>
        <v>0</v>
      </c>
      <c r="V57" s="208">
        <f>ROUND(N(data!BF76), 0)</f>
        <v>0</v>
      </c>
      <c r="W57" s="208">
        <f>ROUND(N(data!BF77), 0)</f>
        <v>5687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1043324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1419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9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058</v>
      </c>
      <c r="B58" s="210" t="str">
        <f>RIGHT(data!$C$96,4)</f>
        <v>2023</v>
      </c>
      <c r="C58" s="12" t="str">
        <f>data!BG$55</f>
        <v>8470</v>
      </c>
      <c r="D58" s="12" t="s">
        <v>1154</v>
      </c>
      <c r="E58" s="208">
        <f>ROUND(N(data!BG59), 0)</f>
        <v>0</v>
      </c>
      <c r="F58" s="319">
        <f>ROUND(N(data!BG60), 2)</f>
        <v>3.29</v>
      </c>
      <c r="G58" s="208">
        <f>ROUND(N(data!BG61), 0)</f>
        <v>131510</v>
      </c>
      <c r="H58" s="208">
        <f>ROUND(N(data!BG62), 0)</f>
        <v>29867</v>
      </c>
      <c r="I58" s="208">
        <f>ROUND(N(data!BG63), 0)</f>
        <v>0</v>
      </c>
      <c r="J58" s="208">
        <f>ROUND(N(data!BG64), 0)</f>
        <v>244</v>
      </c>
      <c r="K58" s="208">
        <f>ROUND(N(data!BG65), 0)</f>
        <v>0</v>
      </c>
      <c r="L58" s="208">
        <f>ROUND(N(data!BG66), 0)</f>
        <v>0</v>
      </c>
      <c r="M58" s="208">
        <f>ROUND(N(data!BG67), 0)</f>
        <v>4061</v>
      </c>
      <c r="N58" s="208">
        <f>ROUND(N(data!BG68), 0)</f>
        <v>70</v>
      </c>
      <c r="O58" s="208">
        <f>ROUND(N(data!BG69), 0)</f>
        <v>190797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1124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189673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196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9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058</v>
      </c>
      <c r="B59" s="210" t="str">
        <f>RIGHT(data!$C$96,4)</f>
        <v>2023</v>
      </c>
      <c r="C59" s="12" t="str">
        <f>data!BH$55</f>
        <v>8480</v>
      </c>
      <c r="D59" s="12" t="s">
        <v>1154</v>
      </c>
      <c r="E59" s="208">
        <f>ROUND(N(data!BH59), 0)</f>
        <v>0</v>
      </c>
      <c r="F59" s="319">
        <f>ROUND(N(data!BH60), 2)</f>
        <v>23.03</v>
      </c>
      <c r="G59" s="208">
        <f>ROUND(N(data!BH61), 0)</f>
        <v>1922926</v>
      </c>
      <c r="H59" s="208">
        <f>ROUND(N(data!BH62), 0)</f>
        <v>436711</v>
      </c>
      <c r="I59" s="208">
        <f>ROUND(N(data!BH63), 0)</f>
        <v>0</v>
      </c>
      <c r="J59" s="208">
        <f>ROUND(N(data!BH64), 0)</f>
        <v>320</v>
      </c>
      <c r="K59" s="208">
        <f>ROUND(N(data!BH65), 0)</f>
        <v>0</v>
      </c>
      <c r="L59" s="208">
        <f>ROUND(N(data!BH66), 0)</f>
        <v>305510</v>
      </c>
      <c r="M59" s="208">
        <f>ROUND(N(data!BH67), 0)</f>
        <v>131181</v>
      </c>
      <c r="N59" s="208">
        <f>ROUND(N(data!BH68), 0)</f>
        <v>35073</v>
      </c>
      <c r="O59" s="208">
        <f>ROUND(N(data!BH69), 0)</f>
        <v>12023136</v>
      </c>
      <c r="P59" s="208">
        <f>ROUND(N(data!BH70), 0)</f>
        <v>0</v>
      </c>
      <c r="Q59" s="208">
        <f>ROUND(N(data!BH71), 0)</f>
        <v>0</v>
      </c>
      <c r="R59" s="208">
        <f>ROUND(N(data!BH72), 0)</f>
        <v>11473483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196049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353604</v>
      </c>
      <c r="AD59" s="208">
        <f>ROUND(N(data!BH84), 0)</f>
        <v>10</v>
      </c>
      <c r="AE59" s="208">
        <f>ROUND(N(data!BH89), 0)</f>
        <v>0</v>
      </c>
      <c r="AF59" s="208">
        <f>ROUND(N(data!BH87), 0)</f>
        <v>0</v>
      </c>
      <c r="AG59" s="208">
        <f>ROUND(N(data!BH90), 0)</f>
        <v>6332</v>
      </c>
      <c r="AH59" s="208">
        <f>ROUND(N(data!BH91), 0)</f>
        <v>0</v>
      </c>
      <c r="AI59" s="208">
        <f>ROUND(N(data!BH92), 0)</f>
        <v>195</v>
      </c>
      <c r="AJ59" s="208">
        <f>ROUND(N(data!BH93), 0)</f>
        <v>0</v>
      </c>
      <c r="AK59" s="319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058</v>
      </c>
      <c r="B60" s="210" t="str">
        <f>RIGHT(data!$C$96,4)</f>
        <v>2023</v>
      </c>
      <c r="C60" s="12" t="str">
        <f>data!BI$55</f>
        <v>8490</v>
      </c>
      <c r="D60" s="12" t="s">
        <v>1154</v>
      </c>
      <c r="E60" s="208">
        <f>ROUND(N(data!BI59), 0)</f>
        <v>0</v>
      </c>
      <c r="F60" s="319">
        <f>ROUND(N(data!BI60), 2)</f>
        <v>0.36</v>
      </c>
      <c r="G60" s="208">
        <f>ROUND(N(data!BI61), 0)</f>
        <v>11690</v>
      </c>
      <c r="H60" s="208">
        <f>ROUND(N(data!BI62), 0)</f>
        <v>2655</v>
      </c>
      <c r="I60" s="208">
        <f>ROUND(N(data!BI63), 0)</f>
        <v>0</v>
      </c>
      <c r="J60" s="208">
        <f>ROUND(N(data!BI64), 0)</f>
        <v>5510</v>
      </c>
      <c r="K60" s="208">
        <f>ROUND(N(data!BI65), 0)</f>
        <v>1373</v>
      </c>
      <c r="L60" s="208">
        <f>ROUND(N(data!BI66), 0)</f>
        <v>2424331</v>
      </c>
      <c r="M60" s="208">
        <f>ROUND(N(data!BI67), 0)</f>
        <v>19702</v>
      </c>
      <c r="N60" s="208">
        <f>ROUND(N(data!BI68), 0)</f>
        <v>191</v>
      </c>
      <c r="O60" s="208">
        <f>ROUND(N(data!BI69), 0)</f>
        <v>117792</v>
      </c>
      <c r="P60" s="208">
        <f>ROUND(N(data!BI70), 0)</f>
        <v>0</v>
      </c>
      <c r="Q60" s="208">
        <f>ROUND(N(data!BI71), 0)</f>
        <v>0</v>
      </c>
      <c r="R60" s="208">
        <f>ROUND(N(data!BI72), 0)</f>
        <v>3446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557</v>
      </c>
      <c r="X60" s="208">
        <f>ROUND(N(data!BI78), 0)</f>
        <v>0</v>
      </c>
      <c r="Y60" s="208">
        <f>ROUND(N(data!BI79), 0)</f>
        <v>103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113686</v>
      </c>
      <c r="AD60" s="208">
        <f>ROUND(N(data!BI84), 0)</f>
        <v>2342</v>
      </c>
      <c r="AE60" s="208">
        <f>ROUND(N(data!BI89), 0)</f>
        <v>0</v>
      </c>
      <c r="AF60" s="208">
        <f>ROUND(N(data!BI87), 0)</f>
        <v>0</v>
      </c>
      <c r="AG60" s="208">
        <f>ROUND(N(data!BI90), 0)</f>
        <v>951</v>
      </c>
      <c r="AH60" s="208">
        <f>ROUND(N(data!BI91), 0)</f>
        <v>0</v>
      </c>
      <c r="AI60" s="208">
        <f>ROUND(N(data!BI92), 0)</f>
        <v>286</v>
      </c>
      <c r="AJ60" s="208">
        <f>ROUND(N(data!BI93), 0)</f>
        <v>0</v>
      </c>
      <c r="AK60" s="319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058</v>
      </c>
      <c r="B61" s="210" t="str">
        <f>RIGHT(data!$C$96,4)</f>
        <v>2023</v>
      </c>
      <c r="C61" s="12" t="str">
        <f>data!BJ$55</f>
        <v>8510</v>
      </c>
      <c r="D61" s="12" t="s">
        <v>1154</v>
      </c>
      <c r="E61" s="208">
        <f>ROUND(N(data!BJ59), 0)</f>
        <v>0</v>
      </c>
      <c r="F61" s="319">
        <f>ROUND(N(data!BJ60), 2)</f>
        <v>9.68</v>
      </c>
      <c r="G61" s="208">
        <f>ROUND(N(data!BJ61), 0)</f>
        <v>716720</v>
      </c>
      <c r="H61" s="208">
        <f>ROUND(N(data!BJ62), 0)</f>
        <v>162773</v>
      </c>
      <c r="I61" s="208">
        <f>ROUND(N(data!BJ63), 0)</f>
        <v>0</v>
      </c>
      <c r="J61" s="208">
        <f>ROUND(N(data!BJ64), 0)</f>
        <v>1040</v>
      </c>
      <c r="K61" s="208">
        <f>ROUND(N(data!BJ65), 0)</f>
        <v>0</v>
      </c>
      <c r="L61" s="208">
        <f>ROUND(N(data!BJ66), 0)</f>
        <v>9331</v>
      </c>
      <c r="M61" s="208">
        <f>ROUND(N(data!BJ67), 0)</f>
        <v>68553</v>
      </c>
      <c r="N61" s="208">
        <f>ROUND(N(data!BJ68), 0)</f>
        <v>2146</v>
      </c>
      <c r="O61" s="208">
        <f>ROUND(N(data!BJ69), 0)</f>
        <v>437293</v>
      </c>
      <c r="P61" s="208">
        <f>ROUND(N(data!BJ70), 0)</f>
        <v>0</v>
      </c>
      <c r="Q61" s="208">
        <f>ROUND(N(data!BJ71), 0)</f>
        <v>0</v>
      </c>
      <c r="R61" s="208">
        <f>ROUND(N(data!BJ72), 0)</f>
        <v>80199</v>
      </c>
      <c r="S61" s="208">
        <f>ROUND(N(data!BJ73), 0)</f>
        <v>0</v>
      </c>
      <c r="T61" s="208">
        <f>ROUND(N(data!BJ74), 0)</f>
        <v>0</v>
      </c>
      <c r="U61" s="208">
        <f>ROUND(N(data!BJ75), 0)</f>
        <v>336031</v>
      </c>
      <c r="V61" s="208">
        <f>ROUND(N(data!BJ76), 0)</f>
        <v>0</v>
      </c>
      <c r="W61" s="208">
        <f>ROUND(N(data!BJ77), 0)</f>
        <v>721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-2368</v>
      </c>
      <c r="AB61" s="208">
        <f>ROUND(N(data!BJ82), 0)</f>
        <v>0</v>
      </c>
      <c r="AC61" s="208">
        <f>ROUND(N(data!BJ83), 0)</f>
        <v>22710</v>
      </c>
      <c r="AD61" s="208">
        <f>ROUND(N(data!BJ84), 0)</f>
        <v>88185</v>
      </c>
      <c r="AE61" s="208">
        <f>ROUND(N(data!BJ89), 0)</f>
        <v>0</v>
      </c>
      <c r="AF61" s="208">
        <f>ROUND(N(data!BJ87), 0)</f>
        <v>0</v>
      </c>
      <c r="AG61" s="208">
        <f>ROUND(N(data!BJ90), 0)</f>
        <v>3309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9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058</v>
      </c>
      <c r="B62" s="210" t="str">
        <f>RIGHT(data!$C$96,4)</f>
        <v>2023</v>
      </c>
      <c r="C62" s="12" t="str">
        <f>data!BK$55</f>
        <v>8530</v>
      </c>
      <c r="D62" s="12" t="s">
        <v>1154</v>
      </c>
      <c r="E62" s="208">
        <f>ROUND(N(data!BK59), 0)</f>
        <v>0</v>
      </c>
      <c r="F62" s="319">
        <f>ROUND(N(data!BK60), 2)</f>
        <v>63.8</v>
      </c>
      <c r="G62" s="208">
        <f>ROUND(N(data!BK61), 0)</f>
        <v>3251878</v>
      </c>
      <c r="H62" s="208">
        <f>ROUND(N(data!BK62), 0)</f>
        <v>738527</v>
      </c>
      <c r="I62" s="208">
        <f>ROUND(N(data!BK63), 0)</f>
        <v>0</v>
      </c>
      <c r="J62" s="208">
        <f>ROUND(N(data!BK64), 0)</f>
        <v>10362</v>
      </c>
      <c r="K62" s="208">
        <f>ROUND(N(data!BK65), 0)</f>
        <v>0</v>
      </c>
      <c r="L62" s="208">
        <f>ROUND(N(data!BK66), 0)</f>
        <v>1892008</v>
      </c>
      <c r="M62" s="208">
        <f>ROUND(N(data!BK67), 0)</f>
        <v>175453</v>
      </c>
      <c r="N62" s="208">
        <f>ROUND(N(data!BK68), 0)</f>
        <v>4547</v>
      </c>
      <c r="O62" s="208">
        <f>ROUND(N(data!BK69), 0)</f>
        <v>355420</v>
      </c>
      <c r="P62" s="208">
        <f>ROUND(N(data!BK70), 0)</f>
        <v>0</v>
      </c>
      <c r="Q62" s="208">
        <f>ROUND(N(data!BK71), 0)</f>
        <v>0</v>
      </c>
      <c r="R62" s="208">
        <f>ROUND(N(data!BK72), 0)</f>
        <v>351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355069</v>
      </c>
      <c r="AD62" s="208">
        <f>ROUND(N(data!BK84), 0)</f>
        <v>55068</v>
      </c>
      <c r="AE62" s="208">
        <f>ROUND(N(data!BK89), 0)</f>
        <v>0</v>
      </c>
      <c r="AF62" s="208">
        <f>ROUND(N(data!BK87), 0)</f>
        <v>0</v>
      </c>
      <c r="AG62" s="208">
        <f>ROUND(N(data!BK90), 0)</f>
        <v>8469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9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058</v>
      </c>
      <c r="B63" s="210" t="str">
        <f>RIGHT(data!$C$96,4)</f>
        <v>2023</v>
      </c>
      <c r="C63" s="12" t="str">
        <f>data!BL$55</f>
        <v>8560</v>
      </c>
      <c r="D63" s="12" t="s">
        <v>1154</v>
      </c>
      <c r="E63" s="208">
        <f>ROUND(N(data!BL59), 0)</f>
        <v>0</v>
      </c>
      <c r="F63" s="319">
        <f>ROUND(N(data!BL60), 2)</f>
        <v>53.56</v>
      </c>
      <c r="G63" s="208">
        <f>ROUND(N(data!BL61), 0)</f>
        <v>2642976</v>
      </c>
      <c r="H63" s="208">
        <f>ROUND(N(data!BL62), 0)</f>
        <v>600240</v>
      </c>
      <c r="I63" s="208">
        <f>ROUND(N(data!BL63), 0)</f>
        <v>0</v>
      </c>
      <c r="J63" s="208">
        <f>ROUND(N(data!BL64), 0)</f>
        <v>53494</v>
      </c>
      <c r="K63" s="208">
        <f>ROUND(N(data!BL65), 0)</f>
        <v>3</v>
      </c>
      <c r="L63" s="208">
        <f>ROUND(N(data!BL66), 0)</f>
        <v>1254387</v>
      </c>
      <c r="M63" s="208">
        <f>ROUND(N(data!BL67), 0)</f>
        <v>81646</v>
      </c>
      <c r="N63" s="208">
        <f>ROUND(N(data!BL68), 0)</f>
        <v>28704</v>
      </c>
      <c r="O63" s="208">
        <f>ROUND(N(data!BL69), 0)</f>
        <v>35574</v>
      </c>
      <c r="P63" s="208">
        <f>ROUND(N(data!BL70), 0)</f>
        <v>0</v>
      </c>
      <c r="Q63" s="208">
        <f>ROUND(N(data!BL71), 0)</f>
        <v>0</v>
      </c>
      <c r="R63" s="208">
        <f>ROUND(N(data!BL72), 0)</f>
        <v>35112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462</v>
      </c>
      <c r="AD63" s="208">
        <f>ROUND(N(data!BL84), 0)</f>
        <v>55</v>
      </c>
      <c r="AE63" s="208">
        <f>ROUND(N(data!BL89), 0)</f>
        <v>0</v>
      </c>
      <c r="AF63" s="208">
        <f>ROUND(N(data!BL87), 0)</f>
        <v>0</v>
      </c>
      <c r="AG63" s="208">
        <f>ROUND(N(data!BL90), 0)</f>
        <v>3941</v>
      </c>
      <c r="AH63" s="208">
        <f>ROUND(N(data!BL91), 0)</f>
        <v>0</v>
      </c>
      <c r="AI63" s="208">
        <f>ROUND(N(data!BL92), 0)</f>
        <v>260</v>
      </c>
      <c r="AJ63" s="208">
        <f>ROUND(N(data!BL93), 0)</f>
        <v>0</v>
      </c>
      <c r="AK63" s="319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058</v>
      </c>
      <c r="B64" s="210" t="str">
        <f>RIGHT(data!$C$96,4)</f>
        <v>2023</v>
      </c>
      <c r="C64" s="12" t="str">
        <f>data!BM$55</f>
        <v>8590</v>
      </c>
      <c r="D64" s="12" t="s">
        <v>1154</v>
      </c>
      <c r="E64" s="208">
        <f>ROUND(N(data!BM59), 0)</f>
        <v>0</v>
      </c>
      <c r="F64" s="319">
        <f>ROUND(N(data!BM60), 2)</f>
        <v>8.89</v>
      </c>
      <c r="G64" s="208">
        <f>ROUND(N(data!BM61), 0)</f>
        <v>949329</v>
      </c>
      <c r="H64" s="208">
        <f>ROUND(N(data!BM62), 0)</f>
        <v>215600</v>
      </c>
      <c r="I64" s="208">
        <f>ROUND(N(data!BM63), 0)</f>
        <v>457910</v>
      </c>
      <c r="J64" s="208">
        <f>ROUND(N(data!BM64), 0)</f>
        <v>112</v>
      </c>
      <c r="K64" s="208">
        <f>ROUND(N(data!BM65), 0)</f>
        <v>0</v>
      </c>
      <c r="L64" s="208">
        <f>ROUND(N(data!BM66), 0)</f>
        <v>76063</v>
      </c>
      <c r="M64" s="208">
        <f>ROUND(N(data!BM67), 0)</f>
        <v>46593</v>
      </c>
      <c r="N64" s="208">
        <f>ROUND(N(data!BM68), 0)</f>
        <v>855</v>
      </c>
      <c r="O64" s="208">
        <f>ROUND(N(data!BM69), 0)</f>
        <v>2865674</v>
      </c>
      <c r="P64" s="208">
        <f>ROUND(N(data!BM70), 0)</f>
        <v>0</v>
      </c>
      <c r="Q64" s="208">
        <f>ROUND(N(data!BM71), 0)</f>
        <v>0</v>
      </c>
      <c r="R64" s="208">
        <f>ROUND(N(data!BM72), 0)</f>
        <v>2854799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10875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2249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9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058</v>
      </c>
      <c r="B65" s="210" t="str">
        <f>RIGHT(data!$C$96,4)</f>
        <v>2023</v>
      </c>
      <c r="C65" s="12" t="str">
        <f>data!BN$55</f>
        <v>8610</v>
      </c>
      <c r="D65" s="12" t="s">
        <v>1154</v>
      </c>
      <c r="E65" s="208">
        <f>ROUND(N(data!BN59), 0)</f>
        <v>0</v>
      </c>
      <c r="F65" s="319">
        <f>ROUND(N(data!BN60), 2)</f>
        <v>8.74</v>
      </c>
      <c r="G65" s="208">
        <f>ROUND(N(data!BN61), 0)</f>
        <v>3562639</v>
      </c>
      <c r="H65" s="208">
        <f>ROUND(N(data!BN62), 0)</f>
        <v>809103</v>
      </c>
      <c r="I65" s="208">
        <f>ROUND(N(data!BN63), 0)</f>
        <v>757906</v>
      </c>
      <c r="J65" s="208">
        <f>ROUND(N(data!BN64), 0)</f>
        <v>24031</v>
      </c>
      <c r="K65" s="208">
        <f>ROUND(N(data!BN65), 0)</f>
        <v>617</v>
      </c>
      <c r="L65" s="208">
        <f>ROUND(N(data!BN66), 0)</f>
        <v>468688</v>
      </c>
      <c r="M65" s="208">
        <f>ROUND(N(data!BN67), 0)</f>
        <v>36524</v>
      </c>
      <c r="N65" s="208">
        <f>ROUND(N(data!BN68), 0)</f>
        <v>3793</v>
      </c>
      <c r="O65" s="208">
        <f>ROUND(N(data!BN69), 0)</f>
        <v>32656476</v>
      </c>
      <c r="P65" s="208">
        <f>ROUND(N(data!BN70), 0)</f>
        <v>0</v>
      </c>
      <c r="Q65" s="208">
        <f>ROUND(N(data!BN71), 0)</f>
        <v>0</v>
      </c>
      <c r="R65" s="208">
        <f>ROUND(N(data!BN72), 0)</f>
        <v>18877</v>
      </c>
      <c r="S65" s="208">
        <f>ROUND(N(data!BN73), 0)</f>
        <v>11729</v>
      </c>
      <c r="T65" s="208">
        <f>ROUND(N(data!BN74), 0)</f>
        <v>0</v>
      </c>
      <c r="U65" s="208">
        <f>ROUND(N(data!BN75), 0)</f>
        <v>18844112</v>
      </c>
      <c r="V65" s="208">
        <f>ROUND(N(data!BN76), 0)</f>
        <v>0</v>
      </c>
      <c r="W65" s="208">
        <f>ROUND(N(data!BN77), 0)</f>
        <v>126</v>
      </c>
      <c r="X65" s="208">
        <f>ROUND(N(data!BN78), 0)</f>
        <v>0</v>
      </c>
      <c r="Y65" s="208">
        <f>ROUND(N(data!BN79), 0)</f>
        <v>58</v>
      </c>
      <c r="Z65" s="208">
        <f>ROUND(N(data!BN80), 0)</f>
        <v>0</v>
      </c>
      <c r="AA65" s="208">
        <f>ROUND(N(data!BN81), 0)</f>
        <v>9956427</v>
      </c>
      <c r="AB65" s="208">
        <f>ROUND(N(data!BN82), 0)</f>
        <v>0</v>
      </c>
      <c r="AC65" s="208">
        <f>ROUND(N(data!BN83), 0)</f>
        <v>3825147</v>
      </c>
      <c r="AD65" s="208">
        <f>ROUND(N(data!BN84), 0)</f>
        <v>2516995</v>
      </c>
      <c r="AE65" s="208">
        <f>ROUND(N(data!BN89), 0)</f>
        <v>0</v>
      </c>
      <c r="AF65" s="208">
        <f>ROUND(N(data!BN87), 0)</f>
        <v>0</v>
      </c>
      <c r="AG65" s="208">
        <f>ROUND(N(data!BN90), 0)</f>
        <v>1763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9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058</v>
      </c>
      <c r="B66" s="210" t="str">
        <f>RIGHT(data!$C$96,4)</f>
        <v>2023</v>
      </c>
      <c r="C66" s="12" t="str">
        <f>data!BO$55</f>
        <v>8620</v>
      </c>
      <c r="D66" s="12" t="s">
        <v>1154</v>
      </c>
      <c r="E66" s="208">
        <f>ROUND(N(data!BO59), 0)</f>
        <v>0</v>
      </c>
      <c r="F66" s="319">
        <f>ROUND(N(data!BO60), 2)</f>
        <v>3.69</v>
      </c>
      <c r="G66" s="208">
        <f>ROUND(N(data!BO61), 0)</f>
        <v>338191</v>
      </c>
      <c r="H66" s="208">
        <f>ROUND(N(data!BO62), 0)</f>
        <v>76806</v>
      </c>
      <c r="I66" s="208">
        <f>ROUND(N(data!BO63), 0)</f>
        <v>0</v>
      </c>
      <c r="J66" s="208">
        <f>ROUND(N(data!BO64), 0)</f>
        <v>102385</v>
      </c>
      <c r="K66" s="208">
        <f>ROUND(N(data!BO65), 0)</f>
        <v>4722</v>
      </c>
      <c r="L66" s="208">
        <f>ROUND(N(data!BO66), 0)</f>
        <v>73735</v>
      </c>
      <c r="M66" s="208">
        <f>ROUND(N(data!BO67), 0)</f>
        <v>52083</v>
      </c>
      <c r="N66" s="208">
        <f>ROUND(N(data!BO68), 0)</f>
        <v>52102</v>
      </c>
      <c r="O66" s="208">
        <f>ROUND(N(data!BO69), 0)</f>
        <v>167924</v>
      </c>
      <c r="P66" s="208">
        <f>ROUND(N(data!BO70), 0)</f>
        <v>0</v>
      </c>
      <c r="Q66" s="208">
        <f>ROUND(N(data!BO71), 0)</f>
        <v>0</v>
      </c>
      <c r="R66" s="208">
        <f>ROUND(N(data!BO72), 0)</f>
        <v>34044</v>
      </c>
      <c r="S66" s="208">
        <f>ROUND(N(data!BO73), 0)</f>
        <v>0</v>
      </c>
      <c r="T66" s="208">
        <f>ROUND(N(data!BO74), 0)</f>
        <v>0</v>
      </c>
      <c r="U66" s="208">
        <f>ROUND(N(data!BO75), 0)</f>
        <v>1440</v>
      </c>
      <c r="V66" s="208">
        <f>ROUND(N(data!BO76), 0)</f>
        <v>74653</v>
      </c>
      <c r="W66" s="208">
        <f>ROUND(N(data!BO77), 0)</f>
        <v>44476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13311</v>
      </c>
      <c r="AD66" s="208">
        <f>ROUND(N(data!BO84), 0)</f>
        <v>6205</v>
      </c>
      <c r="AE66" s="208">
        <f>ROUND(N(data!BO89), 0)</f>
        <v>0</v>
      </c>
      <c r="AF66" s="208">
        <f>ROUND(N(data!BO87), 0)</f>
        <v>0</v>
      </c>
      <c r="AG66" s="208">
        <f>ROUND(N(data!BO90), 0)</f>
        <v>2514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9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058</v>
      </c>
      <c r="B67" s="210" t="str">
        <f>RIGHT(data!$C$96,4)</f>
        <v>2023</v>
      </c>
      <c r="C67" s="12" t="str">
        <f>data!BP$55</f>
        <v>8630</v>
      </c>
      <c r="D67" s="12" t="s">
        <v>1154</v>
      </c>
      <c r="E67" s="208">
        <f>ROUND(N(data!BP59), 0)</f>
        <v>0</v>
      </c>
      <c r="F67" s="319">
        <f>ROUND(N(data!BP60), 2)</f>
        <v>1.78</v>
      </c>
      <c r="G67" s="208">
        <f>ROUND(N(data!BP61), 0)</f>
        <v>174459</v>
      </c>
      <c r="H67" s="208">
        <f>ROUND(N(data!BP62), 0)</f>
        <v>39621</v>
      </c>
      <c r="I67" s="208">
        <f>ROUND(N(data!BP63), 0)</f>
        <v>0</v>
      </c>
      <c r="J67" s="208">
        <f>ROUND(N(data!BP64), 0)</f>
        <v>882</v>
      </c>
      <c r="K67" s="208">
        <f>ROUND(N(data!BP65), 0)</f>
        <v>5843</v>
      </c>
      <c r="L67" s="208">
        <f>ROUND(N(data!BP66), 0)</f>
        <v>26876</v>
      </c>
      <c r="M67" s="208">
        <f>ROUND(N(data!BP67), 0)</f>
        <v>76695</v>
      </c>
      <c r="N67" s="208">
        <f>ROUND(N(data!BP68), 0)</f>
        <v>971</v>
      </c>
      <c r="O67" s="208">
        <f>ROUND(N(data!BP69), 0)</f>
        <v>94228</v>
      </c>
      <c r="P67" s="208">
        <f>ROUND(N(data!BP70), 0)</f>
        <v>0</v>
      </c>
      <c r="Q67" s="208">
        <f>ROUND(N(data!BP71), 0)</f>
        <v>0</v>
      </c>
      <c r="R67" s="208">
        <f>ROUND(N(data!BP72), 0)</f>
        <v>24657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91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69480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3702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9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058</v>
      </c>
      <c r="B68" s="210" t="str">
        <f>RIGHT(data!$C$96,4)</f>
        <v>2023</v>
      </c>
      <c r="C68" s="12" t="str">
        <f>data!BQ$55</f>
        <v>8640</v>
      </c>
      <c r="D68" s="12" t="s">
        <v>1154</v>
      </c>
      <c r="E68" s="208">
        <f>ROUND(N(data!BQ59), 0)</f>
        <v>0</v>
      </c>
      <c r="F68" s="319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9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058</v>
      </c>
      <c r="B69" s="210" t="str">
        <f>RIGHT(data!$C$96,4)</f>
        <v>2023</v>
      </c>
      <c r="C69" s="12" t="str">
        <f>data!BR$55</f>
        <v>8650</v>
      </c>
      <c r="D69" s="12" t="s">
        <v>1154</v>
      </c>
      <c r="E69" s="208">
        <f>ROUND(N(data!BR59), 0)</f>
        <v>0</v>
      </c>
      <c r="F69" s="319">
        <f>ROUND(N(data!BR60), 2)</f>
        <v>23.2</v>
      </c>
      <c r="G69" s="208">
        <f>ROUND(N(data!BR61), 0)</f>
        <v>2338940</v>
      </c>
      <c r="H69" s="208">
        <f>ROUND(N(data!BR62), 0)</f>
        <v>531191</v>
      </c>
      <c r="I69" s="208">
        <f>ROUND(N(data!BR63), 0)</f>
        <v>0</v>
      </c>
      <c r="J69" s="208">
        <f>ROUND(N(data!BR64), 0)</f>
        <v>1687</v>
      </c>
      <c r="K69" s="208">
        <f>ROUND(N(data!BR65), 0)</f>
        <v>121</v>
      </c>
      <c r="L69" s="208">
        <f>ROUND(N(data!BR66), 0)</f>
        <v>48414</v>
      </c>
      <c r="M69" s="208">
        <f>ROUND(N(data!BR67), 0)</f>
        <v>73546</v>
      </c>
      <c r="N69" s="208">
        <f>ROUND(N(data!BR68), 0)</f>
        <v>241376</v>
      </c>
      <c r="O69" s="208">
        <f>ROUND(N(data!BR69), 0)</f>
        <v>971309</v>
      </c>
      <c r="P69" s="208">
        <f>ROUND(N(data!BR70), 0)</f>
        <v>0</v>
      </c>
      <c r="Q69" s="208">
        <f>ROUND(N(data!BR71), 0)</f>
        <v>0</v>
      </c>
      <c r="R69" s="208">
        <f>ROUND(N(data!BR72), 0)</f>
        <v>724916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234627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11766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3550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9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058</v>
      </c>
      <c r="B70" s="210" t="str">
        <f>RIGHT(data!$C$96,4)</f>
        <v>2023</v>
      </c>
      <c r="C70" s="12" t="str">
        <f>data!BS$55</f>
        <v>8660</v>
      </c>
      <c r="D70" s="12" t="s">
        <v>1154</v>
      </c>
      <c r="E70" s="208">
        <f>ROUND(N(data!BS59), 0)</f>
        <v>0</v>
      </c>
      <c r="F70" s="319">
        <f>ROUND(N(data!BS60), 2)</f>
        <v>1</v>
      </c>
      <c r="G70" s="208">
        <f>ROUND(N(data!BS61), 0)</f>
        <v>73768</v>
      </c>
      <c r="H70" s="208">
        <f>ROUND(N(data!BS62), 0)</f>
        <v>16753</v>
      </c>
      <c r="I70" s="208">
        <f>ROUND(N(data!BS63), 0)</f>
        <v>0</v>
      </c>
      <c r="J70" s="208">
        <f>ROUND(N(data!BS64), 0)</f>
        <v>373</v>
      </c>
      <c r="K70" s="208">
        <f>ROUND(N(data!BS65), 0)</f>
        <v>0</v>
      </c>
      <c r="L70" s="208">
        <f>ROUND(N(data!BS66), 0)</f>
        <v>443</v>
      </c>
      <c r="M70" s="208">
        <f>ROUND(N(data!BS67), 0)</f>
        <v>10483</v>
      </c>
      <c r="N70" s="208">
        <f>ROUND(N(data!BS68), 0)</f>
        <v>104</v>
      </c>
      <c r="O70" s="208">
        <f>ROUND(N(data!BS69), 0)</f>
        <v>13925</v>
      </c>
      <c r="P70" s="208">
        <f>ROUND(N(data!BS70), 0)</f>
        <v>0</v>
      </c>
      <c r="Q70" s="208">
        <f>ROUND(N(data!BS71), 0)</f>
        <v>0</v>
      </c>
      <c r="R70" s="208">
        <f>ROUND(N(data!BS72), 0)</f>
        <v>5192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8733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506</v>
      </c>
      <c r="AH70" s="208">
        <f>ROUND(N(data!BS91), 0)</f>
        <v>0</v>
      </c>
      <c r="AI70" s="208">
        <f>ROUND(N(data!BS92), 0)</f>
        <v>65</v>
      </c>
      <c r="AJ70" s="208">
        <f>ROUND(N(data!BS93), 0)</f>
        <v>0</v>
      </c>
      <c r="AK70" s="319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058</v>
      </c>
      <c r="B71" s="210" t="str">
        <f>RIGHT(data!$C$96,4)</f>
        <v>2023</v>
      </c>
      <c r="C71" s="12" t="str">
        <f>data!BT$55</f>
        <v>8670</v>
      </c>
      <c r="D71" s="12" t="s">
        <v>1154</v>
      </c>
      <c r="E71" s="208">
        <f>ROUND(N(data!BT59), 0)</f>
        <v>0</v>
      </c>
      <c r="F71" s="319">
        <f>ROUND(N(data!BT60), 2)</f>
        <v>2.1800000000000002</v>
      </c>
      <c r="G71" s="208">
        <f>ROUND(N(data!BT61), 0)</f>
        <v>153778</v>
      </c>
      <c r="H71" s="208">
        <f>ROUND(N(data!BT62), 0)</f>
        <v>34924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6194</v>
      </c>
      <c r="N71" s="208">
        <f>ROUND(N(data!BT68), 0)</f>
        <v>29</v>
      </c>
      <c r="O71" s="208">
        <f>ROUND(N(data!BT69), 0)</f>
        <v>712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712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299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9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058</v>
      </c>
      <c r="B72" s="210" t="str">
        <f>RIGHT(data!$C$96,4)</f>
        <v>2023</v>
      </c>
      <c r="C72" s="12" t="str">
        <f>data!BU$55</f>
        <v>8680</v>
      </c>
      <c r="D72" s="12" t="s">
        <v>1154</v>
      </c>
      <c r="E72" s="208">
        <f>ROUND(N(data!BU59), 0)</f>
        <v>0</v>
      </c>
      <c r="F72" s="319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9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058</v>
      </c>
      <c r="B73" s="210" t="str">
        <f>RIGHT(data!$C$96,4)</f>
        <v>2023</v>
      </c>
      <c r="C73" s="12" t="str">
        <f>data!BV$55</f>
        <v>8690</v>
      </c>
      <c r="D73" s="12" t="s">
        <v>1154</v>
      </c>
      <c r="E73" s="208">
        <f>ROUND(N(data!BV59), 0)</f>
        <v>0</v>
      </c>
      <c r="F73" s="319">
        <f>ROUND(N(data!BV60), 2)</f>
        <v>59.54</v>
      </c>
      <c r="G73" s="208">
        <f>ROUND(N(data!BV61), 0)</f>
        <v>3243873</v>
      </c>
      <c r="H73" s="208">
        <f>ROUND(N(data!BV62), 0)</f>
        <v>736709</v>
      </c>
      <c r="I73" s="208">
        <f>ROUND(N(data!BV63), 0)</f>
        <v>0</v>
      </c>
      <c r="J73" s="208">
        <f>ROUND(N(data!BV64), 0)</f>
        <v>5204</v>
      </c>
      <c r="K73" s="208">
        <f>ROUND(N(data!BV65), 0)</f>
        <v>0</v>
      </c>
      <c r="L73" s="208">
        <f>ROUND(N(data!BV66), 0)</f>
        <v>1063763</v>
      </c>
      <c r="M73" s="208">
        <f>ROUND(N(data!BV67), 0)</f>
        <v>76695</v>
      </c>
      <c r="N73" s="208">
        <f>ROUND(N(data!BV68), 0)</f>
        <v>68521</v>
      </c>
      <c r="O73" s="208">
        <f>ROUND(N(data!BV69), 0)</f>
        <v>27340</v>
      </c>
      <c r="P73" s="208">
        <f>ROUND(N(data!BV70), 0)</f>
        <v>0</v>
      </c>
      <c r="Q73" s="208">
        <f>ROUND(N(data!BV71), 0)</f>
        <v>0</v>
      </c>
      <c r="R73" s="208">
        <f>ROUND(N(data!BV72), 0)</f>
        <v>6945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20395</v>
      </c>
      <c r="AD73" s="208">
        <f>ROUND(N(data!BV84), 0)</f>
        <v>16020</v>
      </c>
      <c r="AE73" s="208">
        <f>ROUND(N(data!BV89), 0)</f>
        <v>0</v>
      </c>
      <c r="AF73" s="208">
        <f>ROUND(N(data!BV87), 0)</f>
        <v>0</v>
      </c>
      <c r="AG73" s="208">
        <f>ROUND(N(data!BV90), 0)</f>
        <v>3702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9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058</v>
      </c>
      <c r="B74" s="210" t="str">
        <f>RIGHT(data!$C$96,4)</f>
        <v>2023</v>
      </c>
      <c r="C74" s="12" t="str">
        <f>data!BW$55</f>
        <v>8700</v>
      </c>
      <c r="D74" s="12" t="s">
        <v>1154</v>
      </c>
      <c r="E74" s="208">
        <f>ROUND(N(data!BW59), 0)</f>
        <v>0</v>
      </c>
      <c r="F74" s="319">
        <f>ROUND(N(data!BW60), 2)</f>
        <v>3.46</v>
      </c>
      <c r="G74" s="208">
        <f>ROUND(N(data!BW61), 0)</f>
        <v>249937</v>
      </c>
      <c r="H74" s="208">
        <f>ROUND(N(data!BW62), 0)</f>
        <v>56763</v>
      </c>
      <c r="I74" s="208">
        <f>ROUND(N(data!BW63), 0)</f>
        <v>42000</v>
      </c>
      <c r="J74" s="208">
        <f>ROUND(N(data!BW64), 0)</f>
        <v>616</v>
      </c>
      <c r="K74" s="208">
        <f>ROUND(N(data!BW65), 0)</f>
        <v>0</v>
      </c>
      <c r="L74" s="208">
        <f>ROUND(N(data!BW66), 0)</f>
        <v>65961</v>
      </c>
      <c r="M74" s="208">
        <f>ROUND(N(data!BW67), 0)</f>
        <v>35986</v>
      </c>
      <c r="N74" s="208">
        <f>ROUND(N(data!BW68), 0)</f>
        <v>2038</v>
      </c>
      <c r="O74" s="208">
        <f>ROUND(N(data!BW69), 0)</f>
        <v>317337</v>
      </c>
      <c r="P74" s="208">
        <f>ROUND(N(data!BW70), 0)</f>
        <v>0</v>
      </c>
      <c r="Q74" s="208">
        <f>ROUND(N(data!BW71), 0)</f>
        <v>0</v>
      </c>
      <c r="R74" s="208">
        <f>ROUND(N(data!BW72), 0)</f>
        <v>155091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18303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143943</v>
      </c>
      <c r="AD74" s="208">
        <f>ROUND(N(data!BW84), 0)</f>
        <v>138214</v>
      </c>
      <c r="AE74" s="208">
        <f>ROUND(N(data!BW89), 0)</f>
        <v>0</v>
      </c>
      <c r="AF74" s="208">
        <f>ROUND(N(data!BW87), 0)</f>
        <v>0</v>
      </c>
      <c r="AG74" s="208">
        <f>ROUND(N(data!BW90), 0)</f>
        <v>1737</v>
      </c>
      <c r="AH74" s="208">
        <f>ROUND(N(data!BW91), 0)</f>
        <v>0</v>
      </c>
      <c r="AI74" s="208">
        <f>ROUND(N(data!BW92), 0)</f>
        <v>52</v>
      </c>
      <c r="AJ74" s="208">
        <f>ROUND(N(data!BW93), 0)</f>
        <v>0</v>
      </c>
      <c r="AK74" s="319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058</v>
      </c>
      <c r="B75" s="210" t="str">
        <f>RIGHT(data!$C$96,4)</f>
        <v>2023</v>
      </c>
      <c r="C75" s="12" t="str">
        <f>data!BX$55</f>
        <v>8710</v>
      </c>
      <c r="D75" s="12" t="s">
        <v>1154</v>
      </c>
      <c r="E75" s="208">
        <f>ROUND(N(data!BX59), 0)</f>
        <v>0</v>
      </c>
      <c r="F75" s="319">
        <f>ROUND(N(data!BX60), 2)</f>
        <v>53.61</v>
      </c>
      <c r="G75" s="208">
        <f>ROUND(N(data!BX61), 0)</f>
        <v>5577829</v>
      </c>
      <c r="H75" s="208">
        <f>ROUND(N(data!BX62), 0)</f>
        <v>1266768</v>
      </c>
      <c r="I75" s="208">
        <f>ROUND(N(data!BX63), 0)</f>
        <v>0</v>
      </c>
      <c r="J75" s="208">
        <f>ROUND(N(data!BX64), 0)</f>
        <v>8253</v>
      </c>
      <c r="K75" s="208">
        <f>ROUND(N(data!BX65), 0)</f>
        <v>2562</v>
      </c>
      <c r="L75" s="208">
        <f>ROUND(N(data!BX66), 0)</f>
        <v>1001925</v>
      </c>
      <c r="M75" s="208">
        <f>ROUND(N(data!BX67), 0)</f>
        <v>88131</v>
      </c>
      <c r="N75" s="208">
        <f>ROUND(N(data!BX68), 0)</f>
        <v>37899</v>
      </c>
      <c r="O75" s="208">
        <f>ROUND(N(data!BX69), 0)</f>
        <v>384767</v>
      </c>
      <c r="P75" s="208">
        <f>ROUND(N(data!BX70), 0)</f>
        <v>0</v>
      </c>
      <c r="Q75" s="208">
        <f>ROUND(N(data!BX71), 0)</f>
        <v>0</v>
      </c>
      <c r="R75" s="208">
        <f>ROUND(N(data!BX72), 0)</f>
        <v>62566</v>
      </c>
      <c r="S75" s="208">
        <f>ROUND(N(data!BX73), 0)</f>
        <v>0</v>
      </c>
      <c r="T75" s="208">
        <f>ROUND(N(data!BX74), 0)</f>
        <v>0</v>
      </c>
      <c r="U75" s="208">
        <f>ROUND(N(data!BX75), 0)</f>
        <v>2198</v>
      </c>
      <c r="V75" s="208">
        <f>ROUND(N(data!BX76), 0)</f>
        <v>0</v>
      </c>
      <c r="W75" s="208">
        <f>ROUND(N(data!BX77), 0)</f>
        <v>836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2198</v>
      </c>
      <c r="AB75" s="208">
        <f>ROUND(N(data!BX82), 0)</f>
        <v>0</v>
      </c>
      <c r="AC75" s="208">
        <f>ROUND(N(data!BX83), 0)</f>
        <v>316969</v>
      </c>
      <c r="AD75" s="208">
        <f>ROUND(N(data!BX84), 0)</f>
        <v>9000</v>
      </c>
      <c r="AE75" s="208">
        <f>ROUND(N(data!BX89), 0)</f>
        <v>0</v>
      </c>
      <c r="AF75" s="208">
        <f>ROUND(N(data!BX87), 0)</f>
        <v>0</v>
      </c>
      <c r="AG75" s="208">
        <f>ROUND(N(data!BX90), 0)</f>
        <v>4254</v>
      </c>
      <c r="AH75" s="208">
        <f>ROUND(N(data!BX91), 0)</f>
        <v>0</v>
      </c>
      <c r="AI75" s="208">
        <f>ROUND(N(data!BX92), 0)</f>
        <v>338</v>
      </c>
      <c r="AJ75" s="208">
        <f>ROUND(N(data!BX93), 0)</f>
        <v>0</v>
      </c>
      <c r="AK75" s="319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058</v>
      </c>
      <c r="B76" s="210" t="str">
        <f>RIGHT(data!$C$96,4)</f>
        <v>2023</v>
      </c>
      <c r="C76" s="12" t="str">
        <f>data!BY$55</f>
        <v>8720</v>
      </c>
      <c r="D76" s="12" t="s">
        <v>1154</v>
      </c>
      <c r="E76" s="208">
        <f>ROUND(N(data!BY59), 0)</f>
        <v>0</v>
      </c>
      <c r="F76" s="319">
        <f>ROUND(N(data!BY60), 2)</f>
        <v>11.77</v>
      </c>
      <c r="G76" s="208">
        <f>ROUND(N(data!BY61), 0)</f>
        <v>1095644</v>
      </c>
      <c r="H76" s="208">
        <f>ROUND(N(data!BY62), 0)</f>
        <v>248829</v>
      </c>
      <c r="I76" s="208">
        <f>ROUND(N(data!BY63), 0)</f>
        <v>0</v>
      </c>
      <c r="J76" s="208">
        <f>ROUND(N(data!BY64), 0)</f>
        <v>1604</v>
      </c>
      <c r="K76" s="208">
        <f>ROUND(N(data!BY65), 0)</f>
        <v>0</v>
      </c>
      <c r="L76" s="208">
        <f>ROUND(N(data!BY66), 0)</f>
        <v>0</v>
      </c>
      <c r="M76" s="208">
        <f>ROUND(N(data!BY67), 0)</f>
        <v>6215</v>
      </c>
      <c r="N76" s="208">
        <f>ROUND(N(data!BY68), 0)</f>
        <v>421</v>
      </c>
      <c r="O76" s="208">
        <f>ROUND(N(data!BY69), 0)</f>
        <v>179954</v>
      </c>
      <c r="P76" s="208">
        <f>ROUND(N(data!BY70), 0)</f>
        <v>0</v>
      </c>
      <c r="Q76" s="208">
        <f>ROUND(N(data!BY71), 0)</f>
        <v>0</v>
      </c>
      <c r="R76" s="208">
        <f>ROUND(N(data!BY72), 0)</f>
        <v>177969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1426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559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300</v>
      </c>
      <c r="AH76" s="208">
        <f>ROUND(N(data!BY91), 0)</f>
        <v>0</v>
      </c>
      <c r="AI76" s="208">
        <f>ROUND(N(data!BY92), 0)</f>
        <v>195</v>
      </c>
      <c r="AJ76" s="208">
        <f>ROUND(N(data!BY93), 0)</f>
        <v>0</v>
      </c>
      <c r="AK76" s="319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058</v>
      </c>
      <c r="B77" s="210" t="str">
        <f>RIGHT(data!$C$96,4)</f>
        <v>2023</v>
      </c>
      <c r="C77" s="12" t="str">
        <f>data!BZ$55</f>
        <v>8730</v>
      </c>
      <c r="D77" s="12" t="s">
        <v>1154</v>
      </c>
      <c r="E77" s="208">
        <f>ROUND(N(data!BZ59), 0)</f>
        <v>0</v>
      </c>
      <c r="F77" s="319">
        <f>ROUND(N(data!BZ60), 2)</f>
        <v>15.95</v>
      </c>
      <c r="G77" s="208">
        <f>ROUND(N(data!BZ61), 0)</f>
        <v>1058237</v>
      </c>
      <c r="H77" s="208">
        <f>ROUND(N(data!BZ62), 0)</f>
        <v>240334</v>
      </c>
      <c r="I77" s="208">
        <f>ROUND(N(data!BZ63), 0)</f>
        <v>96251</v>
      </c>
      <c r="J77" s="208">
        <f>ROUND(N(data!BZ64), 0)</f>
        <v>639112</v>
      </c>
      <c r="K77" s="208">
        <f>ROUND(N(data!BZ65), 0)</f>
        <v>0</v>
      </c>
      <c r="L77" s="208">
        <f>ROUND(N(data!BZ66), 0)</f>
        <v>682</v>
      </c>
      <c r="M77" s="208">
        <f>ROUND(N(data!BZ67), 0)</f>
        <v>8763</v>
      </c>
      <c r="N77" s="208">
        <f>ROUND(N(data!BZ68), 0)</f>
        <v>367</v>
      </c>
      <c r="O77" s="208">
        <f>ROUND(N(data!BZ69), 0)</f>
        <v>1615198</v>
      </c>
      <c r="P77" s="208">
        <f>ROUND(N(data!BZ70), 0)</f>
        <v>0</v>
      </c>
      <c r="Q77" s="208">
        <f>ROUND(N(data!BZ71), 0)</f>
        <v>397019</v>
      </c>
      <c r="R77" s="208">
        <f>ROUND(N(data!BZ72), 0)</f>
        <v>1216358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1821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423</v>
      </c>
      <c r="AH77" s="208">
        <f>ROUND(N(data!BZ91), 0)</f>
        <v>0</v>
      </c>
      <c r="AI77" s="208">
        <f>ROUND(N(data!BZ92), 0)</f>
        <v>2262</v>
      </c>
      <c r="AJ77" s="208">
        <f>ROUND(N(data!BZ93), 0)</f>
        <v>0</v>
      </c>
      <c r="AK77" s="319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058</v>
      </c>
      <c r="B78" s="210" t="str">
        <f>RIGHT(data!$C$96,4)</f>
        <v>2023</v>
      </c>
      <c r="C78" s="12" t="str">
        <f>data!CA$55</f>
        <v>8740</v>
      </c>
      <c r="D78" s="12" t="s">
        <v>1154</v>
      </c>
      <c r="E78" s="208">
        <f>ROUND(N(data!CA59), 0)</f>
        <v>0</v>
      </c>
      <c r="F78" s="319">
        <f>ROUND(N(data!CA60), 2)</f>
        <v>1.96</v>
      </c>
      <c r="G78" s="208">
        <f>ROUND(N(data!CA61), 0)</f>
        <v>247416</v>
      </c>
      <c r="H78" s="208">
        <f>ROUND(N(data!CA62), 0)</f>
        <v>56190</v>
      </c>
      <c r="I78" s="208">
        <f>ROUND(N(data!CA63), 0)</f>
        <v>0</v>
      </c>
      <c r="J78" s="208">
        <f>ROUND(N(data!CA64), 0)</f>
        <v>11226</v>
      </c>
      <c r="K78" s="208">
        <f>ROUND(N(data!CA65), 0)</f>
        <v>60</v>
      </c>
      <c r="L78" s="208">
        <f>ROUND(N(data!CA66), 0)</f>
        <v>1140</v>
      </c>
      <c r="M78" s="208">
        <f>ROUND(N(data!CA67), 0)</f>
        <v>32795</v>
      </c>
      <c r="N78" s="208">
        <f>ROUND(N(data!CA68), 0)</f>
        <v>0</v>
      </c>
      <c r="O78" s="208">
        <f>ROUND(N(data!CA69), 0)</f>
        <v>18418</v>
      </c>
      <c r="P78" s="208">
        <f>ROUND(N(data!CA70), 0)</f>
        <v>0</v>
      </c>
      <c r="Q78" s="208">
        <f>ROUND(N(data!CA71), 0)</f>
        <v>0</v>
      </c>
      <c r="R78" s="208">
        <f>ROUND(N(data!CA72), 0)</f>
        <v>5792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12626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1583</v>
      </c>
      <c r="AH78" s="208">
        <f>ROUND(N(data!CA91), 0)</f>
        <v>0</v>
      </c>
      <c r="AI78" s="208">
        <f>ROUND(N(data!CA92), 0)</f>
        <v>130</v>
      </c>
      <c r="AJ78" s="208">
        <f>ROUND(N(data!CA93), 0)</f>
        <v>0</v>
      </c>
      <c r="AK78" s="319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058</v>
      </c>
      <c r="B79" s="210" t="str">
        <f>RIGHT(data!$C$96,4)</f>
        <v>2023</v>
      </c>
      <c r="C79" s="12" t="str">
        <f>data!CB$55</f>
        <v>8770</v>
      </c>
      <c r="D79" s="12" t="s">
        <v>1154</v>
      </c>
      <c r="E79" s="208">
        <f>ROUND(N(data!CB59), 0)</f>
        <v>0</v>
      </c>
      <c r="F79" s="319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9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058</v>
      </c>
      <c r="B80" s="210" t="str">
        <f>RIGHT(data!$C$96,4)</f>
        <v>2023</v>
      </c>
      <c r="C80" s="12" t="str">
        <f>data!CC$55</f>
        <v>8790</v>
      </c>
      <c r="D80" s="12" t="s">
        <v>1154</v>
      </c>
      <c r="E80" s="208">
        <f>ROUND(N(data!CC59), 0)</f>
        <v>0</v>
      </c>
      <c r="F80" s="319">
        <f>ROUND(N(data!CC60), 2)</f>
        <v>97.89</v>
      </c>
      <c r="G80" s="208">
        <f>ROUND(N(data!CC61), 0)</f>
        <v>7985695</v>
      </c>
      <c r="H80" s="208">
        <f>ROUND(N(data!CC62), 0)</f>
        <v>1813613</v>
      </c>
      <c r="I80" s="208">
        <f>ROUND(N(data!CC63), 0)</f>
        <v>40653</v>
      </c>
      <c r="J80" s="208">
        <f>ROUND(N(data!CC64), 0)</f>
        <v>254020</v>
      </c>
      <c r="K80" s="208">
        <f>ROUND(N(data!CC65), 0)</f>
        <v>169366</v>
      </c>
      <c r="L80" s="208">
        <f>ROUND(N(data!CC66), 0)</f>
        <v>1189327</v>
      </c>
      <c r="M80" s="208">
        <f>ROUND(N(data!CC67), 0)</f>
        <v>380035</v>
      </c>
      <c r="N80" s="208">
        <f>ROUND(N(data!CC68), 0)</f>
        <v>105769</v>
      </c>
      <c r="O80" s="208">
        <f>ROUND(N(data!CC69), 0)</f>
        <v>3610721</v>
      </c>
      <c r="P80" s="208">
        <f>ROUND(N(data!CC70), 0)</f>
        <v>0</v>
      </c>
      <c r="Q80" s="208">
        <f>ROUND(N(data!CC71), 0)</f>
        <v>0</v>
      </c>
      <c r="R80" s="208">
        <f>ROUND(N(data!CC72), 0)</f>
        <v>495019</v>
      </c>
      <c r="S80" s="208">
        <f>ROUND(N(data!CC73), 0)</f>
        <v>0</v>
      </c>
      <c r="T80" s="208">
        <f>ROUND(N(data!CC74), 0)</f>
        <v>64</v>
      </c>
      <c r="U80" s="208">
        <f>ROUND(N(data!CC75), 0)</f>
        <v>323845</v>
      </c>
      <c r="V80" s="208">
        <f>ROUND(N(data!CC76), 0)</f>
        <v>0</v>
      </c>
      <c r="W80" s="208">
        <f>ROUND(N(data!CC77), 0)</f>
        <v>93914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69326</v>
      </c>
      <c r="AB80" s="208">
        <f>ROUND(N(data!CC82), 0)</f>
        <v>0</v>
      </c>
      <c r="AC80" s="208">
        <f>ROUND(N(data!CC83), 0)</f>
        <v>2628553</v>
      </c>
      <c r="AD80" s="208">
        <f>ROUND(N(data!CC84), 0)</f>
        <v>4929715</v>
      </c>
      <c r="AE80" s="208">
        <f>ROUND(N(data!CC89), 0)</f>
        <v>0</v>
      </c>
      <c r="AF80" s="208">
        <f>ROUND(N(data!CC87), 0)</f>
        <v>0</v>
      </c>
      <c r="AG80" s="208">
        <f>ROUND(N(data!CC90), 0)</f>
        <v>18344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9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