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2675176A-409F-46BF-B55B-1D1CEC26ACD6}" xr6:coauthVersionLast="47" xr6:coauthVersionMax="47" xr10:uidLastSave="{00000000-0000-0000-0000-000000000000}"/>
  <workbookProtection workbookAlgorithmName="SHA-512" workbookHashValue="/XuaT4cuStVvgskq7jW/M6g1+rT+L2/yo8hNYL8LI4daBSlrV6qGwterIJPxDColQMfNn0/xi5TvCPNnDoHKUQ==" workbookSaltValue="6qvIXgFnmujgaVAelPKZZg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2">'Responses-1'!$A$1:$H$94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8" i="24" l="1"/>
  <c r="AG88" i="24"/>
  <c r="AG87" i="24"/>
  <c r="S88" i="24"/>
  <c r="Y88" i="24"/>
  <c r="Y87" i="24"/>
  <c r="P88" i="24"/>
  <c r="D9" i="3" l="1"/>
  <c r="D8" i="3"/>
  <c r="D7" i="3"/>
  <c r="CD83" i="24"/>
  <c r="Y61" i="24"/>
  <c r="BN66" i="24"/>
  <c r="CE66" i="24" s="1"/>
  <c r="I368" i="34" s="1"/>
  <c r="BH66" i="24"/>
  <c r="L59" i="31"/>
  <c r="AG66" i="24"/>
  <c r="AB64" i="24"/>
  <c r="G110" i="34" s="1"/>
  <c r="AG64" i="24"/>
  <c r="J32" i="31" s="1"/>
  <c r="AJ63" i="24"/>
  <c r="H141" i="34" s="1"/>
  <c r="AB63" i="24"/>
  <c r="BN63" i="24"/>
  <c r="C301" i="34" s="1"/>
  <c r="AG63" i="24"/>
  <c r="I32" i="31" s="1"/>
  <c r="BX61" i="24"/>
  <c r="BN61" i="24"/>
  <c r="BH61" i="24"/>
  <c r="D267" i="34" s="1"/>
  <c r="AG61" i="24"/>
  <c r="E139" i="34" s="1"/>
  <c r="AV61" i="24"/>
  <c r="F203" i="34" s="1"/>
  <c r="BX47" i="24"/>
  <c r="BN47" i="24"/>
  <c r="BH47" i="24"/>
  <c r="AG47" i="24"/>
  <c r="C376" i="24"/>
  <c r="BX2" i="30" s="1"/>
  <c r="C371" i="24"/>
  <c r="BS2" i="30" s="1"/>
  <c r="C359" i="24"/>
  <c r="BM2" i="30" s="1"/>
  <c r="C335" i="24"/>
  <c r="C81" i="8" s="1"/>
  <c r="C316" i="24"/>
  <c r="C60" i="8" s="1"/>
  <c r="C271" i="24"/>
  <c r="I2" i="30" s="1"/>
  <c r="C244" i="24"/>
  <c r="CA2" i="28" s="1"/>
  <c r="C240" i="24"/>
  <c r="D245" i="24" s="1"/>
  <c r="D13" i="7" s="1"/>
  <c r="C239" i="24"/>
  <c r="C181" i="24"/>
  <c r="D189" i="24" s="1"/>
  <c r="C14" i="5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K65" i="31"/>
  <c r="J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K59" i="31"/>
  <c r="J59" i="31"/>
  <c r="I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W2" i="30"/>
  <c r="BV2" i="30"/>
  <c r="BU2" i="30"/>
  <c r="BT2" i="30"/>
  <c r="BR2" i="30"/>
  <c r="BP2" i="30"/>
  <c r="BO2" i="30"/>
  <c r="BN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BZ2" i="28"/>
  <c r="BY2" i="28"/>
  <c r="BX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D714" i="25"/>
  <c r="C714" i="25"/>
  <c r="C713" i="25"/>
  <c r="C712" i="25"/>
  <c r="C711" i="25"/>
  <c r="C710" i="25"/>
  <c r="C709" i="25"/>
  <c r="C708" i="25"/>
  <c r="C707" i="25"/>
  <c r="D706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D686" i="25"/>
  <c r="C686" i="25"/>
  <c r="C685" i="25"/>
  <c r="C684" i="25"/>
  <c r="C683" i="25"/>
  <c r="C682" i="25"/>
  <c r="C681" i="25"/>
  <c r="C680" i="25"/>
  <c r="C679" i="25"/>
  <c r="D678" i="25"/>
  <c r="C678" i="25"/>
  <c r="C677" i="25"/>
  <c r="C676" i="25"/>
  <c r="C675" i="25"/>
  <c r="C674" i="25"/>
  <c r="C673" i="25"/>
  <c r="C672" i="25"/>
  <c r="C671" i="25"/>
  <c r="D670" i="25"/>
  <c r="C670" i="25"/>
  <c r="C669" i="25"/>
  <c r="D648" i="25"/>
  <c r="C648" i="25"/>
  <c r="D647" i="25"/>
  <c r="C647" i="25"/>
  <c r="D646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D630" i="25"/>
  <c r="C630" i="25"/>
  <c r="C629" i="25"/>
  <c r="D628" i="25"/>
  <c r="C628" i="25"/>
  <c r="D627" i="25"/>
  <c r="C627" i="25"/>
  <c r="C626" i="25"/>
  <c r="C625" i="25"/>
  <c r="C624" i="25"/>
  <c r="C623" i="25"/>
  <c r="D622" i="25"/>
  <c r="C622" i="25"/>
  <c r="C621" i="25"/>
  <c r="C620" i="25"/>
  <c r="C619" i="25"/>
  <c r="D618" i="25"/>
  <c r="C618" i="25"/>
  <c r="C617" i="25"/>
  <c r="C649" i="25" s="1"/>
  <c r="M717" i="25" s="1"/>
  <c r="D616" i="25"/>
  <c r="D688" i="25" s="1"/>
  <c r="C616" i="25"/>
  <c r="C615" i="25"/>
  <c r="C716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G141" i="34"/>
  <c r="F141" i="34"/>
  <c r="E141" i="34"/>
  <c r="D141" i="34"/>
  <c r="C141" i="34"/>
  <c r="I139" i="34"/>
  <c r="H139" i="34"/>
  <c r="G139" i="34"/>
  <c r="F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0" i="8"/>
  <c r="C129" i="8"/>
  <c r="C128" i="8"/>
  <c r="C127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0" i="8"/>
  <c r="C9" i="8"/>
  <c r="C8" i="8"/>
  <c r="C7" i="8"/>
  <c r="C6" i="8"/>
  <c r="C3" i="8"/>
  <c r="A3" i="8"/>
  <c r="D26" i="7"/>
  <c r="D24" i="7"/>
  <c r="D19" i="7"/>
  <c r="D18" i="7"/>
  <c r="D16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F58" i="15" s="1"/>
  <c r="H57" i="15"/>
  <c r="I57" i="15" s="1"/>
  <c r="E57" i="15"/>
  <c r="D57" i="15"/>
  <c r="B57" i="15"/>
  <c r="F57" i="15" s="1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F53" i="15"/>
  <c r="E53" i="15"/>
  <c r="D53" i="15"/>
  <c r="B53" i="15"/>
  <c r="H53" i="15" s="1"/>
  <c r="I53" i="15" s="1"/>
  <c r="E52" i="15"/>
  <c r="D52" i="15"/>
  <c r="B52" i="15"/>
  <c r="F52" i="15" s="1"/>
  <c r="E51" i="15"/>
  <c r="D51" i="15"/>
  <c r="B51" i="15"/>
  <c r="H51" i="15" s="1"/>
  <c r="I51" i="15" s="1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E47" i="15"/>
  <c r="D47" i="15"/>
  <c r="B47" i="15"/>
  <c r="E46" i="15"/>
  <c r="D46" i="15"/>
  <c r="B46" i="15"/>
  <c r="E45" i="15"/>
  <c r="D45" i="15"/>
  <c r="B45" i="15"/>
  <c r="F45" i="15" s="1"/>
  <c r="E44" i="15"/>
  <c r="D44" i="15"/>
  <c r="B44" i="15"/>
  <c r="H44" i="15" s="1"/>
  <c r="I44" i="15" s="1"/>
  <c r="F43" i="15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F27" i="15" s="1"/>
  <c r="E26" i="15"/>
  <c r="D26" i="15"/>
  <c r="B26" i="15"/>
  <c r="F26" i="15" s="1"/>
  <c r="E25" i="15"/>
  <c r="D25" i="15"/>
  <c r="B25" i="15"/>
  <c r="F25" i="15" s="1"/>
  <c r="H24" i="15"/>
  <c r="I24" i="15" s="1"/>
  <c r="E24" i="15"/>
  <c r="D24" i="15"/>
  <c r="B24" i="15"/>
  <c r="F24" i="15" s="1"/>
  <c r="E23" i="15"/>
  <c r="D23" i="15"/>
  <c r="B23" i="15"/>
  <c r="F23" i="15" s="1"/>
  <c r="H22" i="15"/>
  <c r="I22" i="15" s="1"/>
  <c r="E22" i="15"/>
  <c r="D22" i="15"/>
  <c r="B22" i="15"/>
  <c r="F22" i="15" s="1"/>
  <c r="E21" i="15"/>
  <c r="D21" i="15"/>
  <c r="B21" i="15"/>
  <c r="F21" i="15" s="1"/>
  <c r="H20" i="15"/>
  <c r="I20" i="15" s="1"/>
  <c r="E20" i="15"/>
  <c r="D20" i="15"/>
  <c r="B20" i="15"/>
  <c r="F20" i="15" s="1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E16" i="15"/>
  <c r="D16" i="15"/>
  <c r="B16" i="15"/>
  <c r="F16" i="15" s="1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66" i="24"/>
  <c r="C120" i="8" s="1"/>
  <c r="D360" i="24"/>
  <c r="D340" i="24"/>
  <c r="C86" i="8" s="1"/>
  <c r="D339" i="24"/>
  <c r="C85" i="8" s="1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4" s="1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5" i="24"/>
  <c r="I367" i="34" s="1"/>
  <c r="CE60" i="24"/>
  <c r="B53" i="24"/>
  <c r="CE51" i="24"/>
  <c r="B49" i="24"/>
  <c r="H26" i="15" l="1"/>
  <c r="I26" i="15" s="1"/>
  <c r="F35" i="15"/>
  <c r="F50" i="15"/>
  <c r="F46" i="15"/>
  <c r="H58" i="15"/>
  <c r="I58" i="15" s="1"/>
  <c r="F48" i="15"/>
  <c r="F17" i="15"/>
  <c r="H52" i="15"/>
  <c r="I52" i="15" s="1"/>
  <c r="H16" i="15"/>
  <c r="I16" i="15" s="1"/>
  <c r="H29" i="15"/>
  <c r="I29" i="15" s="1"/>
  <c r="F42" i="15"/>
  <c r="F44" i="15"/>
  <c r="H19" i="15"/>
  <c r="I19" i="15" s="1"/>
  <c r="H21" i="15"/>
  <c r="I21" i="15" s="1"/>
  <c r="H23" i="15"/>
  <c r="I23" i="15" s="1"/>
  <c r="H25" i="15"/>
  <c r="I25" i="15" s="1"/>
  <c r="H27" i="15"/>
  <c r="I27" i="15" s="1"/>
  <c r="F30" i="15"/>
  <c r="F51" i="15"/>
  <c r="F34" i="15"/>
  <c r="F28" i="15"/>
  <c r="CE89" i="24"/>
  <c r="I378" i="34" s="1"/>
  <c r="D416" i="24"/>
  <c r="E414" i="24" s="1"/>
  <c r="CE69" i="24"/>
  <c r="I371" i="34" s="1"/>
  <c r="L65" i="31"/>
  <c r="C304" i="34"/>
  <c r="J27" i="31"/>
  <c r="CE64" i="24"/>
  <c r="I366" i="34" s="1"/>
  <c r="I35" i="31"/>
  <c r="I65" i="31"/>
  <c r="CE63" i="24"/>
  <c r="I365" i="34" s="1"/>
  <c r="G59" i="31"/>
  <c r="CE61" i="24"/>
  <c r="AB48" i="24" s="1"/>
  <c r="AB62" i="24" s="1"/>
  <c r="CE47" i="24"/>
  <c r="D381" i="24"/>
  <c r="BQ2" i="30" s="1"/>
  <c r="C131" i="8"/>
  <c r="C126" i="8"/>
  <c r="D341" i="24"/>
  <c r="C87" i="8" s="1"/>
  <c r="D324" i="24"/>
  <c r="C68" i="8" s="1"/>
  <c r="AK2" i="30"/>
  <c r="C11" i="8"/>
  <c r="D12" i="7"/>
  <c r="BW2" i="28"/>
  <c r="D258" i="24"/>
  <c r="O17" i="31"/>
  <c r="D83" i="34"/>
  <c r="O57" i="31"/>
  <c r="I243" i="34"/>
  <c r="E371" i="34"/>
  <c r="C615" i="24"/>
  <c r="AE21" i="31"/>
  <c r="H90" i="34"/>
  <c r="AE37" i="31"/>
  <c r="C186" i="34"/>
  <c r="I383" i="34"/>
  <c r="J612" i="2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G28" i="4"/>
  <c r="E28" i="4"/>
  <c r="AE13" i="31"/>
  <c r="G58" i="34"/>
  <c r="BK2" i="30"/>
  <c r="I362" i="34"/>
  <c r="H612" i="2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I384" i="34"/>
  <c r="L612" i="24"/>
  <c r="O33" i="31"/>
  <c r="F147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8" i="31"/>
  <c r="I26" i="34"/>
  <c r="AE16" i="31"/>
  <c r="C90" i="34"/>
  <c r="AE24" i="31"/>
  <c r="D122" i="34"/>
  <c r="AE32" i="31"/>
  <c r="E154" i="34"/>
  <c r="AE40" i="31"/>
  <c r="F186" i="34"/>
  <c r="O9" i="31"/>
  <c r="C51" i="34"/>
  <c r="O49" i="31"/>
  <c r="H211" i="34"/>
  <c r="O65" i="31"/>
  <c r="C307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9" i="31"/>
  <c r="C58" i="34"/>
  <c r="AE17" i="31"/>
  <c r="D90" i="34"/>
  <c r="AE25" i="31"/>
  <c r="E122" i="34"/>
  <c r="AE33" i="31"/>
  <c r="F154" i="34"/>
  <c r="AE41" i="31"/>
  <c r="G186" i="34"/>
  <c r="I380" i="34"/>
  <c r="CF90" i="24"/>
  <c r="Z52" i="24" s="1"/>
  <c r="Z67" i="24" s="1"/>
  <c r="D612" i="24"/>
  <c r="O25" i="31"/>
  <c r="E115" i="34"/>
  <c r="AE45" i="31"/>
  <c r="D218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I381" i="34"/>
  <c r="G612" i="24"/>
  <c r="O41" i="31"/>
  <c r="G179" i="34"/>
  <c r="O73" i="31"/>
  <c r="D339" i="34"/>
  <c r="AE29" i="31"/>
  <c r="I122" i="34"/>
  <c r="F7" i="6"/>
  <c r="E220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CF91" i="24"/>
  <c r="AE5" i="31"/>
  <c r="F26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F27" i="6"/>
  <c r="E233" i="24"/>
  <c r="F32" i="6" s="1"/>
  <c r="D308" i="24"/>
  <c r="C113" i="8"/>
  <c r="G10" i="4"/>
  <c r="D367" i="24"/>
  <c r="DF2" i="30"/>
  <c r="C170" i="8"/>
  <c r="CF2" i="28"/>
  <c r="D5" i="7"/>
  <c r="F420" i="24"/>
  <c r="I612" i="2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G19" i="4"/>
  <c r="E19" i="4"/>
  <c r="H64" i="15"/>
  <c r="I64" i="15" s="1"/>
  <c r="F64" i="15"/>
  <c r="F33" i="15"/>
  <c r="F38" i="15"/>
  <c r="F41" i="15"/>
  <c r="F49" i="15"/>
  <c r="F55" i="15"/>
  <c r="F63" i="15"/>
  <c r="F65" i="15"/>
  <c r="F37" i="15"/>
  <c r="F47" i="15"/>
  <c r="F54" i="15"/>
  <c r="D617" i="25"/>
  <c r="E624" i="25" s="1"/>
  <c r="D621" i="25"/>
  <c r="D673" i="25"/>
  <c r="D681" i="25"/>
  <c r="D695" i="25"/>
  <c r="D696" i="25"/>
  <c r="D625" i="25"/>
  <c r="D631" i="25"/>
  <c r="D632" i="25"/>
  <c r="D633" i="25"/>
  <c r="D634" i="25"/>
  <c r="D635" i="25"/>
  <c r="D636" i="25"/>
  <c r="D637" i="25"/>
  <c r="D638" i="25"/>
  <c r="D639" i="25"/>
  <c r="D640" i="25"/>
  <c r="D641" i="25"/>
  <c r="D642" i="25"/>
  <c r="D643" i="25"/>
  <c r="D644" i="25"/>
  <c r="D645" i="25"/>
  <c r="D676" i="25"/>
  <c r="D684" i="25"/>
  <c r="D694" i="25"/>
  <c r="D671" i="25"/>
  <c r="D679" i="25"/>
  <c r="D687" i="25"/>
  <c r="D692" i="25"/>
  <c r="D700" i="25"/>
  <c r="D708" i="25"/>
  <c r="D717" i="25"/>
  <c r="D674" i="25"/>
  <c r="D682" i="25"/>
  <c r="D704" i="25"/>
  <c r="D712" i="25"/>
  <c r="D619" i="25"/>
  <c r="D623" i="25"/>
  <c r="D629" i="25"/>
  <c r="D669" i="25"/>
  <c r="D677" i="25"/>
  <c r="D685" i="25"/>
  <c r="D690" i="25"/>
  <c r="D703" i="25"/>
  <c r="D711" i="25"/>
  <c r="D626" i="25"/>
  <c r="D672" i="25"/>
  <c r="D680" i="25"/>
  <c r="D713" i="25"/>
  <c r="D705" i="25"/>
  <c r="D697" i="25"/>
  <c r="D689" i="25"/>
  <c r="D710" i="25"/>
  <c r="D702" i="25"/>
  <c r="D707" i="25"/>
  <c r="D699" i="25"/>
  <c r="D691" i="25"/>
  <c r="D709" i="25"/>
  <c r="D701" i="25"/>
  <c r="D693" i="25"/>
  <c r="D620" i="25"/>
  <c r="D624" i="25"/>
  <c r="D675" i="25"/>
  <c r="D683" i="25"/>
  <c r="D698" i="25"/>
  <c r="K612" i="24" l="1"/>
  <c r="D26" i="33"/>
  <c r="C167" i="8"/>
  <c r="F612" i="24"/>
  <c r="C52" i="24"/>
  <c r="AX52" i="24"/>
  <c r="AX67" i="24" s="1"/>
  <c r="M49" i="31" s="1"/>
  <c r="AF52" i="24"/>
  <c r="AF67" i="24" s="1"/>
  <c r="M31" i="31" s="1"/>
  <c r="AS52" i="24"/>
  <c r="AS67" i="24" s="1"/>
  <c r="M44" i="31" s="1"/>
  <c r="BH52" i="24"/>
  <c r="BH67" i="24" s="1"/>
  <c r="M59" i="31" s="1"/>
  <c r="BU52" i="24"/>
  <c r="BU67" i="24" s="1"/>
  <c r="C337" i="34" s="1"/>
  <c r="BO52" i="24"/>
  <c r="BO67" i="24" s="1"/>
  <c r="D305" i="34" s="1"/>
  <c r="M25" i="31"/>
  <c r="E113" i="34"/>
  <c r="AV52" i="24"/>
  <c r="AV67" i="24" s="1"/>
  <c r="BI52" i="24"/>
  <c r="BI67" i="24" s="1"/>
  <c r="BX52" i="24"/>
  <c r="BX67" i="24" s="1"/>
  <c r="L52" i="24"/>
  <c r="L67" i="24" s="1"/>
  <c r="Q52" i="24"/>
  <c r="Q67" i="24" s="1"/>
  <c r="S52" i="24"/>
  <c r="S67" i="24" s="1"/>
  <c r="BN52" i="24"/>
  <c r="BN67" i="24" s="1"/>
  <c r="CB52" i="24"/>
  <c r="CB67" i="24" s="1"/>
  <c r="AN52" i="24"/>
  <c r="AN67" i="24" s="1"/>
  <c r="BA52" i="24"/>
  <c r="BA67" i="24" s="1"/>
  <c r="BP52" i="24"/>
  <c r="BP67" i="24" s="1"/>
  <c r="D52" i="24"/>
  <c r="D67" i="24" s="1"/>
  <c r="BW52" i="24"/>
  <c r="BW67" i="24" s="1"/>
  <c r="K52" i="24"/>
  <c r="K67" i="24" s="1"/>
  <c r="BF52" i="24"/>
  <c r="BF67" i="24" s="1"/>
  <c r="X52" i="24"/>
  <c r="X67" i="24" s="1"/>
  <c r="AK52" i="24"/>
  <c r="AK67" i="24" s="1"/>
  <c r="AZ52" i="24"/>
  <c r="AZ67" i="24" s="1"/>
  <c r="BM52" i="24"/>
  <c r="BM67" i="24" s="1"/>
  <c r="BG52" i="24"/>
  <c r="BG67" i="24" s="1"/>
  <c r="CC52" i="24"/>
  <c r="CC67" i="24" s="1"/>
  <c r="AP52" i="24"/>
  <c r="AP67" i="24" s="1"/>
  <c r="P52" i="24"/>
  <c r="P67" i="24" s="1"/>
  <c r="AC52" i="24"/>
  <c r="AC67" i="24" s="1"/>
  <c r="AR52" i="24"/>
  <c r="AR67" i="24" s="1"/>
  <c r="BE52" i="24"/>
  <c r="BE67" i="24" s="1"/>
  <c r="AY52" i="24"/>
  <c r="AY67" i="24" s="1"/>
  <c r="AG52" i="24"/>
  <c r="AG67" i="24" s="1"/>
  <c r="AH52" i="24"/>
  <c r="AH67" i="24" s="1"/>
  <c r="BT52" i="24"/>
  <c r="BT67" i="24" s="1"/>
  <c r="H52" i="24"/>
  <c r="H67" i="24" s="1"/>
  <c r="U52" i="24"/>
  <c r="U67" i="24" s="1"/>
  <c r="AJ52" i="24"/>
  <c r="AJ67" i="24" s="1"/>
  <c r="AW52" i="24"/>
  <c r="AW67" i="24" s="1"/>
  <c r="AQ52" i="24"/>
  <c r="AQ67" i="24" s="1"/>
  <c r="I52" i="24"/>
  <c r="I67" i="24" s="1"/>
  <c r="BC52" i="24"/>
  <c r="BC67" i="24" s="1"/>
  <c r="BS52" i="24"/>
  <c r="BS67" i="24" s="1"/>
  <c r="BK52" i="24"/>
  <c r="BK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AT52" i="24"/>
  <c r="AT67" i="24" s="1"/>
  <c r="AD52" i="24"/>
  <c r="AD67" i="24" s="1"/>
  <c r="CA52" i="24"/>
  <c r="CA67" i="24" s="1"/>
  <c r="BJ52" i="24"/>
  <c r="BJ67" i="24" s="1"/>
  <c r="BZ52" i="24"/>
  <c r="BZ67" i="24" s="1"/>
  <c r="BR52" i="24"/>
  <c r="BR67" i="24" s="1"/>
  <c r="BB52" i="24"/>
  <c r="BB67" i="24" s="1"/>
  <c r="AL52" i="24"/>
  <c r="AL67" i="24" s="1"/>
  <c r="V52" i="24"/>
  <c r="V67" i="24" s="1"/>
  <c r="N52" i="24"/>
  <c r="N67" i="24" s="1"/>
  <c r="F52" i="24"/>
  <c r="F67" i="24" s="1"/>
  <c r="BL52" i="24"/>
  <c r="BL67" i="24" s="1"/>
  <c r="BY52" i="24"/>
  <c r="BY67" i="24" s="1"/>
  <c r="M52" i="24"/>
  <c r="M67" i="24" s="1"/>
  <c r="AB52" i="24"/>
  <c r="AB67" i="24" s="1"/>
  <c r="AO52" i="24"/>
  <c r="AO67" i="24" s="1"/>
  <c r="AI52" i="24"/>
  <c r="AI67" i="24" s="1"/>
  <c r="CD52" i="24"/>
  <c r="R52" i="24"/>
  <c r="R67" i="24" s="1"/>
  <c r="BD52" i="24"/>
  <c r="BD67" i="24" s="1"/>
  <c r="BQ52" i="24"/>
  <c r="BQ67" i="24" s="1"/>
  <c r="E52" i="24"/>
  <c r="E67" i="24" s="1"/>
  <c r="T52" i="24"/>
  <c r="T67" i="24" s="1"/>
  <c r="Y52" i="24"/>
  <c r="Y67" i="24" s="1"/>
  <c r="AA52" i="24"/>
  <c r="AA67" i="24" s="1"/>
  <c r="BV52" i="24"/>
  <c r="BV67" i="24" s="1"/>
  <c r="J52" i="24"/>
  <c r="J67" i="24" s="1"/>
  <c r="AG48" i="24"/>
  <c r="AG62" i="24" s="1"/>
  <c r="H32" i="31" s="1"/>
  <c r="BH48" i="24"/>
  <c r="BH62" i="24" s="1"/>
  <c r="D268" i="34" s="1"/>
  <c r="U48" i="24"/>
  <c r="U62" i="24" s="1"/>
  <c r="AD48" i="24"/>
  <c r="AD62" i="24" s="1"/>
  <c r="I108" i="34" s="1"/>
  <c r="AI48" i="24"/>
  <c r="AI62" i="24" s="1"/>
  <c r="H34" i="31" s="1"/>
  <c r="I48" i="24"/>
  <c r="I62" i="24" s="1"/>
  <c r="H8" i="31" s="1"/>
  <c r="BW48" i="24"/>
  <c r="BW62" i="24" s="1"/>
  <c r="AH48" i="24"/>
  <c r="AH62" i="24" s="1"/>
  <c r="H33" i="31" s="1"/>
  <c r="BI48" i="24"/>
  <c r="BI62" i="24" s="1"/>
  <c r="H60" i="31" s="1"/>
  <c r="O48" i="24"/>
  <c r="O62" i="24" s="1"/>
  <c r="H44" i="34" s="1"/>
  <c r="BP48" i="24"/>
  <c r="BP62" i="24" s="1"/>
  <c r="Q48" i="24"/>
  <c r="Q62" i="24" s="1"/>
  <c r="C76" i="34" s="1"/>
  <c r="M48" i="24"/>
  <c r="M62" i="24" s="1"/>
  <c r="F44" i="34" s="1"/>
  <c r="L48" i="24"/>
  <c r="L62" i="24" s="1"/>
  <c r="H11" i="31" s="1"/>
  <c r="AX48" i="24"/>
  <c r="AX62" i="24" s="1"/>
  <c r="H204" i="34" s="1"/>
  <c r="CB48" i="24"/>
  <c r="CB62" i="24" s="1"/>
  <c r="H79" i="31" s="1"/>
  <c r="BO48" i="24"/>
  <c r="BO62" i="24" s="1"/>
  <c r="BE48" i="24"/>
  <c r="BE62" i="24" s="1"/>
  <c r="H56" i="31" s="1"/>
  <c r="H48" i="24"/>
  <c r="H62" i="24" s="1"/>
  <c r="V48" i="24"/>
  <c r="V62" i="24" s="1"/>
  <c r="BL48" i="24"/>
  <c r="BL62" i="24" s="1"/>
  <c r="H63" i="31" s="1"/>
  <c r="BD48" i="24"/>
  <c r="BD62" i="24" s="1"/>
  <c r="H55" i="31" s="1"/>
  <c r="CC48" i="24"/>
  <c r="CC62" i="24" s="1"/>
  <c r="H80" i="31" s="1"/>
  <c r="AV48" i="24"/>
  <c r="AV62" i="24" s="1"/>
  <c r="H47" i="31" s="1"/>
  <c r="AT48" i="24"/>
  <c r="AT62" i="24" s="1"/>
  <c r="BZ48" i="24"/>
  <c r="BZ62" i="24" s="1"/>
  <c r="H332" i="34" s="1"/>
  <c r="BM48" i="24"/>
  <c r="BM62" i="24" s="1"/>
  <c r="H64" i="31" s="1"/>
  <c r="BR48" i="24"/>
  <c r="BR62" i="24" s="1"/>
  <c r="H69" i="31" s="1"/>
  <c r="AA48" i="24"/>
  <c r="AA62" i="24" s="1"/>
  <c r="AP48" i="24"/>
  <c r="AP62" i="24" s="1"/>
  <c r="H41" i="31" s="1"/>
  <c r="BF48" i="24"/>
  <c r="BF62" i="24" s="1"/>
  <c r="I236" i="34" s="1"/>
  <c r="AS48" i="24"/>
  <c r="AS62" i="24" s="1"/>
  <c r="H44" i="31" s="1"/>
  <c r="BC48" i="24"/>
  <c r="BC62" i="24" s="1"/>
  <c r="F236" i="34" s="1"/>
  <c r="AU48" i="24"/>
  <c r="AU62" i="24" s="1"/>
  <c r="C48" i="24"/>
  <c r="C62" i="24" s="1"/>
  <c r="C12" i="34" s="1"/>
  <c r="BQ48" i="24"/>
  <c r="BQ62" i="24" s="1"/>
  <c r="H68" i="31" s="1"/>
  <c r="AW48" i="24"/>
  <c r="AW62" i="24" s="1"/>
  <c r="G204" i="34" s="1"/>
  <c r="AK48" i="24"/>
  <c r="AK62" i="24" s="1"/>
  <c r="H36" i="31" s="1"/>
  <c r="AR48" i="24"/>
  <c r="AR62" i="24" s="1"/>
  <c r="H43" i="31" s="1"/>
  <c r="Z48" i="24"/>
  <c r="Z62" i="24" s="1"/>
  <c r="Z85" i="24" s="1"/>
  <c r="E117" i="34" s="1"/>
  <c r="X48" i="24"/>
  <c r="X62" i="24" s="1"/>
  <c r="C108" i="34" s="1"/>
  <c r="F140" i="34"/>
  <c r="BX48" i="24"/>
  <c r="BX62" i="24" s="1"/>
  <c r="F332" i="34" s="1"/>
  <c r="BS48" i="24"/>
  <c r="BS62" i="24" s="1"/>
  <c r="H70" i="31" s="1"/>
  <c r="CD48" i="24"/>
  <c r="AC48" i="24"/>
  <c r="AC62" i="24" s="1"/>
  <c r="H108" i="34" s="1"/>
  <c r="BV48" i="24"/>
  <c r="BV62" i="24" s="1"/>
  <c r="H73" i="31" s="1"/>
  <c r="W48" i="24"/>
  <c r="W62" i="24" s="1"/>
  <c r="I76" i="34" s="1"/>
  <c r="AL48" i="24"/>
  <c r="AL62" i="24" s="1"/>
  <c r="C172" i="34" s="1"/>
  <c r="D48" i="24"/>
  <c r="D62" i="24" s="1"/>
  <c r="D12" i="34" s="1"/>
  <c r="AM48" i="24"/>
  <c r="AM62" i="24" s="1"/>
  <c r="BU48" i="24"/>
  <c r="BU62" i="24" s="1"/>
  <c r="C332" i="34" s="1"/>
  <c r="AY48" i="24"/>
  <c r="AY62" i="24" s="1"/>
  <c r="H50" i="31" s="1"/>
  <c r="P48" i="24"/>
  <c r="P62" i="24" s="1"/>
  <c r="H15" i="31" s="1"/>
  <c r="AQ48" i="24"/>
  <c r="AQ62" i="24" s="1"/>
  <c r="H42" i="31" s="1"/>
  <c r="R48" i="24"/>
  <c r="R62" i="24" s="1"/>
  <c r="AZ48" i="24"/>
  <c r="AZ62" i="24" s="1"/>
  <c r="H51" i="31" s="1"/>
  <c r="AO48" i="24"/>
  <c r="AO62" i="24" s="1"/>
  <c r="F172" i="34" s="1"/>
  <c r="CA48" i="24"/>
  <c r="CA62" i="24" s="1"/>
  <c r="H78" i="31" s="1"/>
  <c r="E48" i="24"/>
  <c r="E62" i="24" s="1"/>
  <c r="H4" i="31" s="1"/>
  <c r="BK48" i="24"/>
  <c r="BK62" i="24" s="1"/>
  <c r="H62" i="31" s="1"/>
  <c r="AN48" i="24"/>
  <c r="AN62" i="24" s="1"/>
  <c r="H39" i="31" s="1"/>
  <c r="F48" i="24"/>
  <c r="F62" i="24" s="1"/>
  <c r="F12" i="34" s="1"/>
  <c r="BJ48" i="24"/>
  <c r="BJ62" i="24" s="1"/>
  <c r="J48" i="24"/>
  <c r="J62" i="24" s="1"/>
  <c r="C44" i="34" s="1"/>
  <c r="BY48" i="24"/>
  <c r="BY62" i="24" s="1"/>
  <c r="G332" i="34" s="1"/>
  <c r="BT48" i="24"/>
  <c r="BT62" i="24" s="1"/>
  <c r="I300" i="34" s="1"/>
  <c r="Y48" i="24"/>
  <c r="Y62" i="24" s="1"/>
  <c r="H24" i="31" s="1"/>
  <c r="BB48" i="24"/>
  <c r="BB62" i="24" s="1"/>
  <c r="BN48" i="24"/>
  <c r="BN62" i="24" s="1"/>
  <c r="H65" i="31" s="1"/>
  <c r="BA48" i="24"/>
  <c r="BA62" i="24" s="1"/>
  <c r="H52" i="31" s="1"/>
  <c r="S48" i="24"/>
  <c r="S62" i="24" s="1"/>
  <c r="AJ48" i="24"/>
  <c r="AJ62" i="24" s="1"/>
  <c r="H35" i="31" s="1"/>
  <c r="BG48" i="24"/>
  <c r="BG62" i="24" s="1"/>
  <c r="C268" i="34" s="1"/>
  <c r="G48" i="24"/>
  <c r="G62" i="24" s="1"/>
  <c r="AB85" i="24"/>
  <c r="C40" i="15" s="1"/>
  <c r="G40" i="15" s="1"/>
  <c r="H27" i="31"/>
  <c r="AE48" i="24"/>
  <c r="AE62" i="24" s="1"/>
  <c r="N48" i="24"/>
  <c r="N62" i="24" s="1"/>
  <c r="T48" i="24"/>
  <c r="T62" i="24" s="1"/>
  <c r="G108" i="34"/>
  <c r="I363" i="34"/>
  <c r="K48" i="24"/>
  <c r="K62" i="24" s="1"/>
  <c r="AF48" i="24"/>
  <c r="AF62" i="24" s="1"/>
  <c r="G140" i="34"/>
  <c r="H67" i="31"/>
  <c r="I268" i="34"/>
  <c r="E300" i="34"/>
  <c r="D383" i="24"/>
  <c r="C137" i="8" s="1"/>
  <c r="D12" i="33"/>
  <c r="D350" i="24"/>
  <c r="E717" i="25"/>
  <c r="E613" i="25"/>
  <c r="E710" i="25" s="1"/>
  <c r="E373" i="34"/>
  <c r="C94" i="15"/>
  <c r="G94" i="15" s="1"/>
  <c r="C50" i="8"/>
  <c r="F309" i="24"/>
  <c r="D352" i="24"/>
  <c r="C103" i="8" s="1"/>
  <c r="C121" i="8"/>
  <c r="D716" i="25"/>
  <c r="F16" i="6"/>
  <c r="F234" i="24"/>
  <c r="AG85" i="24" l="1"/>
  <c r="E149" i="34" s="1"/>
  <c r="AA85" i="24"/>
  <c r="C39" i="15" s="1"/>
  <c r="BT85" i="24"/>
  <c r="I309" i="34" s="1"/>
  <c r="BL85" i="24"/>
  <c r="H277" i="34" s="1"/>
  <c r="CE52" i="24"/>
  <c r="D145" i="34"/>
  <c r="S85" i="24"/>
  <c r="C684" i="24" s="1"/>
  <c r="H209" i="34"/>
  <c r="D273" i="34"/>
  <c r="H85" i="24"/>
  <c r="H21" i="34" s="1"/>
  <c r="C209" i="34"/>
  <c r="V85" i="24"/>
  <c r="H85" i="34" s="1"/>
  <c r="BO85" i="24"/>
  <c r="C79" i="15" s="1"/>
  <c r="G79" i="15" s="1"/>
  <c r="BW85" i="24"/>
  <c r="E341" i="34" s="1"/>
  <c r="M72" i="31"/>
  <c r="BB85" i="24"/>
  <c r="E245" i="34" s="1"/>
  <c r="BP85" i="24"/>
  <c r="E309" i="34" s="1"/>
  <c r="U85" i="24"/>
  <c r="C33" i="15" s="1"/>
  <c r="M66" i="31"/>
  <c r="C67" i="24"/>
  <c r="C49" i="34"/>
  <c r="M9" i="31"/>
  <c r="D337" i="34"/>
  <c r="M73" i="31"/>
  <c r="M61" i="31"/>
  <c r="F273" i="34"/>
  <c r="M38" i="31"/>
  <c r="D177" i="34"/>
  <c r="M35" i="31"/>
  <c r="H145" i="34"/>
  <c r="I177" i="34"/>
  <c r="M43" i="31"/>
  <c r="M64" i="31"/>
  <c r="I273" i="34"/>
  <c r="M3" i="31"/>
  <c r="D17" i="34"/>
  <c r="M16" i="31"/>
  <c r="C81" i="34"/>
  <c r="M78" i="31"/>
  <c r="I337" i="34"/>
  <c r="M46" i="31"/>
  <c r="E209" i="34"/>
  <c r="M20" i="31"/>
  <c r="G81" i="34"/>
  <c r="M51" i="31"/>
  <c r="C241" i="34"/>
  <c r="M67" i="31"/>
  <c r="E305" i="34"/>
  <c r="E49" i="34"/>
  <c r="M11" i="31"/>
  <c r="D113" i="34"/>
  <c r="M24" i="31"/>
  <c r="M40" i="31"/>
  <c r="F177" i="34"/>
  <c r="G49" i="34"/>
  <c r="M13" i="31"/>
  <c r="M29" i="31"/>
  <c r="I113" i="34"/>
  <c r="G273" i="34"/>
  <c r="M62" i="31"/>
  <c r="M7" i="31"/>
  <c r="H17" i="34"/>
  <c r="M15" i="31"/>
  <c r="I49" i="34"/>
  <c r="I145" i="34"/>
  <c r="M36" i="31"/>
  <c r="D241" i="34"/>
  <c r="M52" i="31"/>
  <c r="M75" i="31"/>
  <c r="F337" i="34"/>
  <c r="M34" i="31"/>
  <c r="G145" i="34"/>
  <c r="M28" i="31"/>
  <c r="H113" i="34"/>
  <c r="M19" i="31"/>
  <c r="F81" i="34"/>
  <c r="M27" i="31"/>
  <c r="G113" i="34"/>
  <c r="M21" i="31"/>
  <c r="H81" i="34"/>
  <c r="M45" i="31"/>
  <c r="D209" i="34"/>
  <c r="H305" i="34"/>
  <c r="M70" i="31"/>
  <c r="M71" i="31"/>
  <c r="I305" i="34"/>
  <c r="C113" i="34"/>
  <c r="M23" i="31"/>
  <c r="M39" i="31"/>
  <c r="E177" i="34"/>
  <c r="M60" i="31"/>
  <c r="E273" i="34"/>
  <c r="M6" i="31"/>
  <c r="G17" i="34"/>
  <c r="M33" i="31"/>
  <c r="F145" i="34"/>
  <c r="M47" i="31"/>
  <c r="F209" i="34"/>
  <c r="M5" i="31"/>
  <c r="F17" i="34"/>
  <c r="M4" i="31"/>
  <c r="E17" i="34"/>
  <c r="M54" i="31"/>
  <c r="F241" i="34"/>
  <c r="AH85" i="24"/>
  <c r="F149" i="34" s="1"/>
  <c r="AU85" i="24"/>
  <c r="C712" i="24" s="1"/>
  <c r="F305" i="34"/>
  <c r="M68" i="31"/>
  <c r="M76" i="31"/>
  <c r="G337" i="34"/>
  <c r="M53" i="31"/>
  <c r="E241" i="34"/>
  <c r="H49" i="34"/>
  <c r="M14" i="31"/>
  <c r="M8" i="31"/>
  <c r="I17" i="34"/>
  <c r="E145" i="34"/>
  <c r="M32" i="31"/>
  <c r="M41" i="31"/>
  <c r="G177" i="34"/>
  <c r="M57" i="31"/>
  <c r="I241" i="34"/>
  <c r="M79" i="31"/>
  <c r="C369" i="34"/>
  <c r="M26" i="31"/>
  <c r="F113" i="34"/>
  <c r="M12" i="31"/>
  <c r="F49" i="34"/>
  <c r="M37" i="31"/>
  <c r="C177" i="34"/>
  <c r="M55" i="31"/>
  <c r="G241" i="34"/>
  <c r="M63" i="31"/>
  <c r="H273" i="34"/>
  <c r="M69" i="31"/>
  <c r="G305" i="34"/>
  <c r="M22" i="31"/>
  <c r="I81" i="34"/>
  <c r="M42" i="31"/>
  <c r="H177" i="34"/>
  <c r="M50" i="31"/>
  <c r="I209" i="34"/>
  <c r="M80" i="31"/>
  <c r="D369" i="34"/>
  <c r="M10" i="31"/>
  <c r="D49" i="34"/>
  <c r="M65" i="31"/>
  <c r="C305" i="34"/>
  <c r="M17" i="31"/>
  <c r="D81" i="34"/>
  <c r="H337" i="34"/>
  <c r="M77" i="31"/>
  <c r="C145" i="34"/>
  <c r="M30" i="31"/>
  <c r="M48" i="31"/>
  <c r="G209" i="34"/>
  <c r="M56" i="31"/>
  <c r="H241" i="34"/>
  <c r="M58" i="31"/>
  <c r="C273" i="34"/>
  <c r="M74" i="31"/>
  <c r="E337" i="34"/>
  <c r="M18" i="31"/>
  <c r="E81" i="34"/>
  <c r="H12" i="31"/>
  <c r="H71" i="31"/>
  <c r="H268" i="34"/>
  <c r="CB85" i="24"/>
  <c r="C373" i="34" s="1"/>
  <c r="C364" i="34"/>
  <c r="AD85" i="24"/>
  <c r="C42" i="15" s="1"/>
  <c r="G42" i="15" s="1"/>
  <c r="I85" i="24"/>
  <c r="C21" i="15" s="1"/>
  <c r="G21" i="15" s="1"/>
  <c r="BQ85" i="24"/>
  <c r="C81" i="15" s="1"/>
  <c r="G81" i="15" s="1"/>
  <c r="H2" i="31"/>
  <c r="H20" i="31"/>
  <c r="AI85" i="24"/>
  <c r="G149" i="34" s="1"/>
  <c r="G76" i="34"/>
  <c r="M85" i="24"/>
  <c r="F53" i="34" s="1"/>
  <c r="I12" i="34"/>
  <c r="F300" i="34"/>
  <c r="BH85" i="24"/>
  <c r="C72" i="15" s="1"/>
  <c r="G72" i="15" s="1"/>
  <c r="BU85" i="24"/>
  <c r="C641" i="24" s="1"/>
  <c r="H74" i="31"/>
  <c r="H29" i="31"/>
  <c r="E268" i="34"/>
  <c r="AR85" i="24"/>
  <c r="I181" i="34" s="1"/>
  <c r="C236" i="34"/>
  <c r="BF85" i="24"/>
  <c r="C629" i="24" s="1"/>
  <c r="BZ85" i="24"/>
  <c r="C90" i="15" s="1"/>
  <c r="G90" i="15" s="1"/>
  <c r="E236" i="34"/>
  <c r="I172" i="34"/>
  <c r="H57" i="31"/>
  <c r="BE85" i="24"/>
  <c r="C614" i="24" s="1"/>
  <c r="D615" i="24" s="1"/>
  <c r="H54" i="31"/>
  <c r="H59" i="31"/>
  <c r="I140" i="34"/>
  <c r="H77" i="31"/>
  <c r="H236" i="34"/>
  <c r="BR85" i="24"/>
  <c r="G309" i="34" s="1"/>
  <c r="AP85" i="24"/>
  <c r="C707" i="24" s="1"/>
  <c r="F85" i="24"/>
  <c r="F21" i="34" s="1"/>
  <c r="E332" i="34"/>
  <c r="E140" i="34"/>
  <c r="H300" i="34"/>
  <c r="Q85" i="24"/>
  <c r="C85" i="34" s="1"/>
  <c r="I44" i="34"/>
  <c r="E12" i="34"/>
  <c r="BS85" i="24"/>
  <c r="C83" i="15" s="1"/>
  <c r="G83" i="15" s="1"/>
  <c r="BC85" i="24"/>
  <c r="F245" i="34" s="1"/>
  <c r="AX85" i="24"/>
  <c r="C616" i="24" s="1"/>
  <c r="C85" i="24"/>
  <c r="C668" i="24" s="1"/>
  <c r="C693" i="24"/>
  <c r="AK85" i="24"/>
  <c r="I149" i="34" s="1"/>
  <c r="H72" i="31"/>
  <c r="H49" i="31"/>
  <c r="G236" i="34"/>
  <c r="BI85" i="24"/>
  <c r="C73" i="15" s="1"/>
  <c r="G73" i="15" s="1"/>
  <c r="D108" i="34"/>
  <c r="W85" i="24"/>
  <c r="I85" i="34" s="1"/>
  <c r="H16" i="31"/>
  <c r="BD85" i="24"/>
  <c r="G245" i="34" s="1"/>
  <c r="H172" i="34"/>
  <c r="AQ85" i="24"/>
  <c r="H14" i="31"/>
  <c r="O85" i="24"/>
  <c r="G117" i="34"/>
  <c r="D332" i="34"/>
  <c r="AO85" i="24"/>
  <c r="C706" i="24" s="1"/>
  <c r="H5" i="31"/>
  <c r="BM85" i="24"/>
  <c r="C638" i="24" s="1"/>
  <c r="BN85" i="24"/>
  <c r="C309" i="34" s="1"/>
  <c r="H53" i="31"/>
  <c r="AZ85" i="24"/>
  <c r="C628" i="24" s="1"/>
  <c r="H46" i="31"/>
  <c r="BV85" i="24"/>
  <c r="D341" i="34" s="1"/>
  <c r="E204" i="34"/>
  <c r="AW85" i="24"/>
  <c r="C631" i="24" s="1"/>
  <c r="H48" i="31"/>
  <c r="AC85" i="24"/>
  <c r="C694" i="24" s="1"/>
  <c r="H23" i="31"/>
  <c r="X85" i="24"/>
  <c r="P85" i="24"/>
  <c r="I53" i="34" s="1"/>
  <c r="F204" i="34"/>
  <c r="AV85" i="24"/>
  <c r="Y85" i="24"/>
  <c r="C690" i="24" s="1"/>
  <c r="C204" i="34"/>
  <c r="E172" i="34"/>
  <c r="G300" i="34"/>
  <c r="E44" i="34"/>
  <c r="H18" i="31"/>
  <c r="G172" i="34"/>
  <c r="D364" i="34"/>
  <c r="CC85" i="24"/>
  <c r="H25" i="31"/>
  <c r="E108" i="34"/>
  <c r="D300" i="34"/>
  <c r="D204" i="34"/>
  <c r="AT85" i="24"/>
  <c r="H45" i="31"/>
  <c r="BX85" i="24"/>
  <c r="F341" i="34" s="1"/>
  <c r="BY85" i="24"/>
  <c r="G341" i="34" s="1"/>
  <c r="H66" i="31"/>
  <c r="H28" i="31"/>
  <c r="H76" i="31"/>
  <c r="AN85" i="24"/>
  <c r="E181" i="34" s="1"/>
  <c r="L85" i="24"/>
  <c r="F108" i="34"/>
  <c r="H26" i="31"/>
  <c r="H76" i="34"/>
  <c r="H21" i="31"/>
  <c r="AS85" i="24"/>
  <c r="C57" i="15" s="1"/>
  <c r="G57" i="15" s="1"/>
  <c r="H22" i="31"/>
  <c r="H7" i="31"/>
  <c r="H12" i="34"/>
  <c r="CE62" i="24"/>
  <c r="I364" i="34" s="1"/>
  <c r="H75" i="31"/>
  <c r="CA85" i="24"/>
  <c r="C91" i="15" s="1"/>
  <c r="G91" i="15" s="1"/>
  <c r="H140" i="34"/>
  <c r="AJ85" i="24"/>
  <c r="C692" i="24"/>
  <c r="CE48" i="24"/>
  <c r="I204" i="34"/>
  <c r="J85" i="24"/>
  <c r="H9" i="31"/>
  <c r="H37" i="31"/>
  <c r="AL85" i="24"/>
  <c r="D172" i="34"/>
  <c r="H38" i="31"/>
  <c r="AM85" i="24"/>
  <c r="BG85" i="24"/>
  <c r="C277" i="34" s="1"/>
  <c r="E76" i="34"/>
  <c r="F268" i="34"/>
  <c r="H61" i="31"/>
  <c r="BJ85" i="24"/>
  <c r="H17" i="31"/>
  <c r="D76" i="34"/>
  <c r="R85" i="24"/>
  <c r="H3" i="31"/>
  <c r="D85" i="24"/>
  <c r="E85" i="24"/>
  <c r="G268" i="34"/>
  <c r="C300" i="34"/>
  <c r="H58" i="31"/>
  <c r="G85" i="24"/>
  <c r="H6" i="31"/>
  <c r="G12" i="34"/>
  <c r="BK85" i="24"/>
  <c r="G277" i="34" s="1"/>
  <c r="C691" i="24"/>
  <c r="H40" i="31"/>
  <c r="AY85" i="24"/>
  <c r="I213" i="34" s="1"/>
  <c r="I332" i="34"/>
  <c r="D236" i="34"/>
  <c r="BA85" i="24"/>
  <c r="D245" i="34" s="1"/>
  <c r="F76" i="34"/>
  <c r="H19" i="31"/>
  <c r="T85" i="24"/>
  <c r="G44" i="34"/>
  <c r="N85" i="24"/>
  <c r="H13" i="31"/>
  <c r="C140" i="34"/>
  <c r="AE85" i="24"/>
  <c r="H30" i="31"/>
  <c r="D140" i="34"/>
  <c r="H31" i="31"/>
  <c r="AF85" i="24"/>
  <c r="D44" i="34"/>
  <c r="K85" i="24"/>
  <c r="H10" i="31"/>
  <c r="C38" i="15"/>
  <c r="G38" i="15" s="1"/>
  <c r="C45" i="15"/>
  <c r="C637" i="24"/>
  <c r="F117" i="34"/>
  <c r="C76" i="15"/>
  <c r="G76" i="15" s="1"/>
  <c r="C84" i="15"/>
  <c r="G84" i="15" s="1"/>
  <c r="C640" i="24"/>
  <c r="D384" i="24"/>
  <c r="C138" i="8" s="1"/>
  <c r="E380" i="24"/>
  <c r="E673" i="25"/>
  <c r="E631" i="25"/>
  <c r="E639" i="25"/>
  <c r="E684" i="25"/>
  <c r="E679" i="25"/>
  <c r="E682" i="25"/>
  <c r="E626" i="25"/>
  <c r="E696" i="25"/>
  <c r="E675" i="25"/>
  <c r="E681" i="25"/>
  <c r="E632" i="25"/>
  <c r="E640" i="25"/>
  <c r="E693" i="25"/>
  <c r="E687" i="25"/>
  <c r="E629" i="25"/>
  <c r="E672" i="25"/>
  <c r="E704" i="25"/>
  <c r="E683" i="25"/>
  <c r="E695" i="25"/>
  <c r="E633" i="25"/>
  <c r="E641" i="25"/>
  <c r="E627" i="25"/>
  <c r="E691" i="25"/>
  <c r="E669" i="25"/>
  <c r="E680" i="25"/>
  <c r="E712" i="25"/>
  <c r="E697" i="25"/>
  <c r="E701" i="25"/>
  <c r="E634" i="25"/>
  <c r="E642" i="25"/>
  <c r="E630" i="25"/>
  <c r="E692" i="25"/>
  <c r="E677" i="25"/>
  <c r="E688" i="25"/>
  <c r="E699" i="25"/>
  <c r="E628" i="25"/>
  <c r="E705" i="25"/>
  <c r="E635" i="25"/>
  <c r="E643" i="25"/>
  <c r="E646" i="25"/>
  <c r="E700" i="25"/>
  <c r="E685" i="25"/>
  <c r="E690" i="25"/>
  <c r="E707" i="25"/>
  <c r="G39" i="15"/>
  <c r="H39" i="15" s="1"/>
  <c r="I39" i="15" s="1"/>
  <c r="E670" i="25"/>
  <c r="E709" i="25"/>
  <c r="E636" i="25"/>
  <c r="E644" i="25"/>
  <c r="E647" i="25"/>
  <c r="E708" i="25"/>
  <c r="E689" i="25"/>
  <c r="E698" i="25"/>
  <c r="E694" i="25"/>
  <c r="E678" i="25"/>
  <c r="E713" i="25"/>
  <c r="E637" i="25"/>
  <c r="E645" i="25"/>
  <c r="E648" i="25"/>
  <c r="E703" i="25"/>
  <c r="E706" i="25"/>
  <c r="E702" i="25"/>
  <c r="E686" i="25"/>
  <c r="E625" i="25"/>
  <c r="E638" i="25"/>
  <c r="E676" i="25"/>
  <c r="E671" i="25"/>
  <c r="E674" i="25"/>
  <c r="E711" i="25"/>
  <c r="E714" i="25"/>
  <c r="C698" i="24" l="1"/>
  <c r="C20" i="15"/>
  <c r="G20" i="15" s="1"/>
  <c r="C673" i="24"/>
  <c r="E85" i="34"/>
  <c r="C31" i="15"/>
  <c r="G31" i="15" s="1"/>
  <c r="C623" i="24"/>
  <c r="C687" i="24"/>
  <c r="G33" i="15"/>
  <c r="H33" i="15" s="1"/>
  <c r="I33" i="15" s="1"/>
  <c r="C643" i="24"/>
  <c r="C87" i="15"/>
  <c r="G87" i="15" s="1"/>
  <c r="I117" i="34"/>
  <c r="C34" i="15"/>
  <c r="G34" i="15" s="1"/>
  <c r="C66" i="15"/>
  <c r="G66" i="15" s="1"/>
  <c r="C632" i="24"/>
  <c r="D309" i="34"/>
  <c r="C627" i="24"/>
  <c r="C25" i="15"/>
  <c r="G25" i="15" s="1"/>
  <c r="G85" i="34"/>
  <c r="C686" i="24"/>
  <c r="C17" i="34"/>
  <c r="M2" i="31"/>
  <c r="CE67" i="24"/>
  <c r="I369" i="34" s="1"/>
  <c r="C59" i="15"/>
  <c r="G59" i="15" s="1"/>
  <c r="E213" i="34"/>
  <c r="C21" i="34"/>
  <c r="C80" i="15"/>
  <c r="G80" i="15" s="1"/>
  <c r="C621" i="24"/>
  <c r="C46" i="15"/>
  <c r="G46" i="15" s="1"/>
  <c r="C699" i="24"/>
  <c r="C92" i="15"/>
  <c r="G92" i="15" s="1"/>
  <c r="C622" i="24"/>
  <c r="C15" i="15"/>
  <c r="G15" i="15" s="1"/>
  <c r="C695" i="24"/>
  <c r="F309" i="34"/>
  <c r="C89" i="15"/>
  <c r="G89" i="15" s="1"/>
  <c r="C674" i="24"/>
  <c r="I21" i="34"/>
  <c r="C70" i="15"/>
  <c r="G70" i="15" s="1"/>
  <c r="C700" i="24"/>
  <c r="C47" i="15"/>
  <c r="H47" i="15" s="1"/>
  <c r="I47" i="15" s="1"/>
  <c r="C18" i="15"/>
  <c r="G18" i="15" s="1"/>
  <c r="C678" i="24"/>
  <c r="D117" i="34"/>
  <c r="C636" i="24"/>
  <c r="C69" i="15"/>
  <c r="D277" i="34"/>
  <c r="C37" i="15"/>
  <c r="C639" i="24"/>
  <c r="H309" i="34"/>
  <c r="I245" i="34"/>
  <c r="C671" i="24"/>
  <c r="H117" i="34"/>
  <c r="C41" i="15"/>
  <c r="G41" i="15" s="1"/>
  <c r="C68" i="15"/>
  <c r="G68" i="15" s="1"/>
  <c r="C82" i="15"/>
  <c r="G82" i="15" s="1"/>
  <c r="C626" i="24"/>
  <c r="C702" i="24"/>
  <c r="C64" i="15"/>
  <c r="G64" i="15" s="1"/>
  <c r="E277" i="34"/>
  <c r="C634" i="24"/>
  <c r="C646" i="24"/>
  <c r="C245" i="34"/>
  <c r="C29" i="15"/>
  <c r="G29" i="15" s="1"/>
  <c r="C619" i="24"/>
  <c r="H245" i="34"/>
  <c r="C54" i="15"/>
  <c r="G54" i="15" s="1"/>
  <c r="G181" i="34"/>
  <c r="C682" i="24"/>
  <c r="C49" i="15"/>
  <c r="G49" i="15" s="1"/>
  <c r="C85" i="15"/>
  <c r="G85" i="15" s="1"/>
  <c r="C341" i="34"/>
  <c r="F181" i="34"/>
  <c r="C642" i="24"/>
  <c r="C88" i="15"/>
  <c r="G88" i="15" s="1"/>
  <c r="C644" i="24"/>
  <c r="C624" i="24"/>
  <c r="C67" i="15"/>
  <c r="G67" i="15" s="1"/>
  <c r="C688" i="24"/>
  <c r="H341" i="34"/>
  <c r="C86" i="15"/>
  <c r="G86" i="15" s="1"/>
  <c r="C633" i="24"/>
  <c r="C56" i="15"/>
  <c r="G56" i="15" s="1"/>
  <c r="C709" i="24"/>
  <c r="C710" i="24"/>
  <c r="C53" i="15"/>
  <c r="G53" i="15" s="1"/>
  <c r="C78" i="15"/>
  <c r="G78" i="15" s="1"/>
  <c r="C62" i="15"/>
  <c r="H213" i="34"/>
  <c r="C213" i="34"/>
  <c r="G213" i="34"/>
  <c r="C61" i="15"/>
  <c r="C28" i="15"/>
  <c r="G28" i="15" s="1"/>
  <c r="C27" i="15"/>
  <c r="G27" i="15" s="1"/>
  <c r="H53" i="34"/>
  <c r="C680" i="24"/>
  <c r="G45" i="15"/>
  <c r="H45" i="15" s="1"/>
  <c r="I45" i="15" s="1"/>
  <c r="C645" i="24"/>
  <c r="C681" i="24"/>
  <c r="C71" i="15"/>
  <c r="G71" i="15" s="1"/>
  <c r="I277" i="34"/>
  <c r="C35" i="15"/>
  <c r="G35" i="15" s="1"/>
  <c r="C618" i="24"/>
  <c r="C77" i="15"/>
  <c r="G77" i="15" s="1"/>
  <c r="C708" i="24"/>
  <c r="C55" i="15"/>
  <c r="G55" i="15" s="1"/>
  <c r="H181" i="34"/>
  <c r="C647" i="24"/>
  <c r="I341" i="34"/>
  <c r="C689" i="24"/>
  <c r="C117" i="34"/>
  <c r="C36" i="15"/>
  <c r="C65" i="15"/>
  <c r="C620" i="24"/>
  <c r="D373" i="34"/>
  <c r="C93" i="15"/>
  <c r="G93" i="15" s="1"/>
  <c r="CE85" i="24"/>
  <c r="I373" i="34" s="1"/>
  <c r="C24" i="15"/>
  <c r="G24" i="15" s="1"/>
  <c r="C677" i="24"/>
  <c r="E53" i="34"/>
  <c r="D213" i="34"/>
  <c r="C711" i="24"/>
  <c r="C58" i="15"/>
  <c r="G58" i="15" s="1"/>
  <c r="C705" i="24"/>
  <c r="C52" i="15"/>
  <c r="G52" i="15" s="1"/>
  <c r="C713" i="24"/>
  <c r="F213" i="34"/>
  <c r="C60" i="15"/>
  <c r="C617" i="24"/>
  <c r="F277" i="34"/>
  <c r="C74" i="15"/>
  <c r="G74" i="15" s="1"/>
  <c r="C703" i="24"/>
  <c r="C181" i="34"/>
  <c r="C50" i="15"/>
  <c r="G50" i="15" s="1"/>
  <c r="C63" i="15"/>
  <c r="C670" i="24"/>
  <c r="E21" i="34"/>
  <c r="C17" i="15"/>
  <c r="G17" i="15" s="1"/>
  <c r="H17" i="15" s="1"/>
  <c r="I17" i="15" s="1"/>
  <c r="H149" i="34"/>
  <c r="C48" i="15"/>
  <c r="C701" i="24"/>
  <c r="C75" i="15"/>
  <c r="G75" i="15" s="1"/>
  <c r="C635" i="24"/>
  <c r="C16" i="15"/>
  <c r="G16" i="15" s="1"/>
  <c r="D21" i="34"/>
  <c r="C669" i="24"/>
  <c r="C625" i="24"/>
  <c r="C22" i="15"/>
  <c r="G22" i="15" s="1"/>
  <c r="C675" i="24"/>
  <c r="C53" i="34"/>
  <c r="D85" i="34"/>
  <c r="C30" i="15"/>
  <c r="C683" i="24"/>
  <c r="C51" i="15"/>
  <c r="G51" i="15" s="1"/>
  <c r="C704" i="24"/>
  <c r="D181" i="34"/>
  <c r="C672" i="24"/>
  <c r="G21" i="34"/>
  <c r="C19" i="15"/>
  <c r="G19" i="15" s="1"/>
  <c r="C630" i="24"/>
  <c r="C32" i="15"/>
  <c r="G32" i="15" s="1"/>
  <c r="C685" i="24"/>
  <c r="F85" i="34"/>
  <c r="C696" i="24"/>
  <c r="C149" i="34"/>
  <c r="C43" i="15"/>
  <c r="G53" i="34"/>
  <c r="C679" i="24"/>
  <c r="C26" i="15"/>
  <c r="G26" i="15" s="1"/>
  <c r="C44" i="15"/>
  <c r="G44" i="15" s="1"/>
  <c r="D149" i="34"/>
  <c r="C697" i="24"/>
  <c r="D53" i="34"/>
  <c r="C23" i="15"/>
  <c r="G23" i="15" s="1"/>
  <c r="C676" i="24"/>
  <c r="D417" i="24"/>
  <c r="D421" i="24" s="1"/>
  <c r="E716" i="25"/>
  <c r="F625" i="25"/>
  <c r="D706" i="24"/>
  <c r="D711" i="24"/>
  <c r="D703" i="24"/>
  <c r="D695" i="24"/>
  <c r="D708" i="24"/>
  <c r="D700" i="24"/>
  <c r="D692" i="24"/>
  <c r="D684" i="24"/>
  <c r="D713" i="24"/>
  <c r="D705" i="24"/>
  <c r="D716" i="24"/>
  <c r="D707" i="24"/>
  <c r="D699" i="24"/>
  <c r="D712" i="24"/>
  <c r="D704" i="24"/>
  <c r="D693" i="24"/>
  <c r="D688" i="24"/>
  <c r="D683" i="24"/>
  <c r="D678" i="24"/>
  <c r="D670" i="24"/>
  <c r="D647" i="24"/>
  <c r="D646" i="24"/>
  <c r="D645" i="24"/>
  <c r="D629" i="24"/>
  <c r="D626" i="24"/>
  <c r="D621" i="24"/>
  <c r="D617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87" i="24"/>
  <c r="D682" i="24"/>
  <c r="D672" i="24"/>
  <c r="D620" i="24"/>
  <c r="D616" i="24"/>
  <c r="D710" i="24"/>
  <c r="D691" i="24"/>
  <c r="D686" i="24"/>
  <c r="D681" i="24"/>
  <c r="D677" i="24"/>
  <c r="D669" i="24"/>
  <c r="D627" i="24"/>
  <c r="D701" i="24"/>
  <c r="D674" i="24"/>
  <c r="D623" i="24"/>
  <c r="D619" i="24"/>
  <c r="D697" i="24"/>
  <c r="D690" i="24"/>
  <c r="D685" i="24"/>
  <c r="D680" i="24"/>
  <c r="D671" i="24"/>
  <c r="D625" i="24"/>
  <c r="D709" i="24"/>
  <c r="D702" i="24"/>
  <c r="D698" i="24"/>
  <c r="D696" i="24"/>
  <c r="D694" i="24"/>
  <c r="D689" i="24"/>
  <c r="D676" i="24"/>
  <c r="D668" i="24"/>
  <c r="D628" i="24"/>
  <c r="D622" i="24"/>
  <c r="D618" i="24"/>
  <c r="D679" i="24"/>
  <c r="D673" i="24"/>
  <c r="H46" i="15" l="1"/>
  <c r="I46" i="15" s="1"/>
  <c r="G47" i="15"/>
  <c r="G69" i="15"/>
  <c r="H69" i="15" s="1"/>
  <c r="I69" i="15" s="1"/>
  <c r="G37" i="15"/>
  <c r="H37" i="15" s="1"/>
  <c r="I37" i="15" s="1"/>
  <c r="H41" i="15"/>
  <c r="I41" i="15" s="1"/>
  <c r="C716" i="24"/>
  <c r="G63" i="15"/>
  <c r="H63" i="15" s="1"/>
  <c r="I63" i="15" s="1"/>
  <c r="H28" i="15"/>
  <c r="I28" i="15" s="1"/>
  <c r="H35" i="15"/>
  <c r="I35" i="15" s="1"/>
  <c r="G65" i="15"/>
  <c r="H65" i="15"/>
  <c r="I65" i="15" s="1"/>
  <c r="C715" i="24"/>
  <c r="G36" i="15"/>
  <c r="H36" i="15" s="1"/>
  <c r="I36" i="15" s="1"/>
  <c r="G30" i="15"/>
  <c r="H30" i="15" s="1"/>
  <c r="I30" i="15" s="1"/>
  <c r="C648" i="24"/>
  <c r="M716" i="24" s="1"/>
  <c r="G48" i="15"/>
  <c r="H48" i="15" s="1"/>
  <c r="I48" i="15" s="1"/>
  <c r="G43" i="15"/>
  <c r="H43" i="15" s="1"/>
  <c r="I43" i="15" s="1"/>
  <c r="C168" i="8"/>
  <c r="F707" i="25"/>
  <c r="F699" i="25"/>
  <c r="F691" i="25"/>
  <c r="F712" i="25"/>
  <c r="F704" i="25"/>
  <c r="F709" i="25"/>
  <c r="F701" i="25"/>
  <c r="F693" i="25"/>
  <c r="F711" i="25"/>
  <c r="F703" i="25"/>
  <c r="F695" i="25"/>
  <c r="F689" i="25"/>
  <c r="F685" i="25"/>
  <c r="F677" i="25"/>
  <c r="F669" i="25"/>
  <c r="F629" i="25"/>
  <c r="F690" i="25"/>
  <c r="F682" i="25"/>
  <c r="F674" i="25"/>
  <c r="F717" i="25"/>
  <c r="F708" i="25"/>
  <c r="F700" i="25"/>
  <c r="F692" i="25"/>
  <c r="F687" i="25"/>
  <c r="F679" i="25"/>
  <c r="F671" i="25"/>
  <c r="F648" i="25"/>
  <c r="F647" i="25"/>
  <c r="F646" i="25"/>
  <c r="F630" i="25"/>
  <c r="F627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13" i="25"/>
  <c r="F705" i="25"/>
  <c r="F694" i="25"/>
  <c r="F681" i="25"/>
  <c r="F673" i="25"/>
  <c r="F696" i="25"/>
  <c r="F686" i="25"/>
  <c r="F678" i="25"/>
  <c r="F670" i="25"/>
  <c r="F628" i="25"/>
  <c r="F714" i="25"/>
  <c r="F706" i="25"/>
  <c r="F697" i="25"/>
  <c r="F683" i="25"/>
  <c r="F675" i="25"/>
  <c r="F710" i="25"/>
  <c r="F702" i="25"/>
  <c r="F698" i="25"/>
  <c r="F688" i="25"/>
  <c r="F680" i="25"/>
  <c r="F672" i="25"/>
  <c r="F626" i="25"/>
  <c r="D715" i="24"/>
  <c r="E623" i="24"/>
  <c r="C172" i="8"/>
  <c r="D424" i="24"/>
  <c r="C177" i="8" s="1"/>
  <c r="E612" i="24"/>
  <c r="E711" i="24" l="1"/>
  <c r="E708" i="24"/>
  <c r="E700" i="24"/>
  <c r="E713" i="24"/>
  <c r="E705" i="24"/>
  <c r="E697" i="24"/>
  <c r="E689" i="24"/>
  <c r="E681" i="24"/>
  <c r="E710" i="24"/>
  <c r="E702" i="24"/>
  <c r="E712" i="24"/>
  <c r="E704" i="24"/>
  <c r="E70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3" i="24" s="1"/>
  <c r="E692" i="24"/>
  <c r="E687" i="24"/>
  <c r="E682" i="24"/>
  <c r="E672" i="24"/>
  <c r="E703" i="24"/>
  <c r="E691" i="24"/>
  <c r="E686" i="24"/>
  <c r="E677" i="24"/>
  <c r="E669" i="24"/>
  <c r="E627" i="24"/>
  <c r="E707" i="24"/>
  <c r="E701" i="24"/>
  <c r="E674" i="24"/>
  <c r="E690" i="24"/>
  <c r="E685" i="24"/>
  <c r="E680" i="24"/>
  <c r="E671" i="24"/>
  <c r="E625" i="24"/>
  <c r="E716" i="24"/>
  <c r="E698" i="24"/>
  <c r="E696" i="24"/>
  <c r="E694" i="24"/>
  <c r="E676" i="24"/>
  <c r="E668" i="24"/>
  <c r="E628" i="24"/>
  <c r="E706" i="24"/>
  <c r="E699" i="24"/>
  <c r="E695" i="24"/>
  <c r="E684" i="24"/>
  <c r="E679" i="24"/>
  <c r="E673" i="24"/>
  <c r="E693" i="24"/>
  <c r="E688" i="24"/>
  <c r="E683" i="24"/>
  <c r="E678" i="24"/>
  <c r="E670" i="24"/>
  <c r="E647" i="24"/>
  <c r="E646" i="24"/>
  <c r="E645" i="24"/>
  <c r="E629" i="24"/>
  <c r="E626" i="24"/>
  <c r="F716" i="25"/>
  <c r="G626" i="25"/>
  <c r="F644" i="24" l="1"/>
  <c r="F694" i="24"/>
  <c r="F630" i="24"/>
  <c r="F631" i="24"/>
  <c r="F636" i="24"/>
  <c r="F637" i="24"/>
  <c r="F688" i="24"/>
  <c r="F704" i="24"/>
  <c r="F712" i="24"/>
  <c r="F671" i="24"/>
  <c r="F680" i="24"/>
  <c r="F638" i="24"/>
  <c r="F677" i="24"/>
  <c r="F691" i="24"/>
  <c r="F675" i="24"/>
  <c r="F706" i="24"/>
  <c r="F683" i="24"/>
  <c r="F711" i="24"/>
  <c r="F686" i="24"/>
  <c r="F635" i="24"/>
  <c r="F643" i="24"/>
  <c r="F670" i="24"/>
  <c r="F695" i="24"/>
  <c r="F625" i="24"/>
  <c r="G625" i="24" s="1"/>
  <c r="F669" i="24"/>
  <c r="F692" i="24"/>
  <c r="F678" i="24"/>
  <c r="F708" i="24"/>
  <c r="F626" i="24"/>
  <c r="F693" i="24"/>
  <c r="F628" i="24"/>
  <c r="F685" i="24"/>
  <c r="F700" i="24"/>
  <c r="F701" i="24"/>
  <c r="F702" i="24"/>
  <c r="F629" i="24"/>
  <c r="F703" i="24"/>
  <c r="F710" i="24"/>
  <c r="F673" i="24"/>
  <c r="F690" i="24"/>
  <c r="F709" i="24"/>
  <c r="F632" i="24"/>
  <c r="F640" i="24"/>
  <c r="F645" i="24"/>
  <c r="F679" i="24"/>
  <c r="F676" i="24"/>
  <c r="F674" i="24"/>
  <c r="F672" i="24"/>
  <c r="F699" i="24"/>
  <c r="F697" i="24"/>
  <c r="F639" i="24"/>
  <c r="F633" i="24"/>
  <c r="F684" i="24"/>
  <c r="F681" i="24"/>
  <c r="F682" i="24"/>
  <c r="F707" i="24"/>
  <c r="F705" i="24"/>
  <c r="F668" i="24"/>
  <c r="F641" i="24"/>
  <c r="F646" i="24"/>
  <c r="F696" i="24"/>
  <c r="F634" i="24"/>
  <c r="F642" i="24"/>
  <c r="F647" i="24"/>
  <c r="F689" i="24"/>
  <c r="F698" i="24"/>
  <c r="F627" i="24"/>
  <c r="F687" i="24"/>
  <c r="F716" i="24"/>
  <c r="G712" i="25"/>
  <c r="G704" i="25"/>
  <c r="G696" i="25"/>
  <c r="G688" i="25"/>
  <c r="G709" i="25"/>
  <c r="G701" i="25"/>
  <c r="G714" i="25"/>
  <c r="G706" i="25"/>
  <c r="G698" i="25"/>
  <c r="G690" i="25"/>
  <c r="G717" i="25"/>
  <c r="G708" i="25"/>
  <c r="G700" i="25"/>
  <c r="G692" i="25"/>
  <c r="G711" i="25"/>
  <c r="G703" i="25"/>
  <c r="G682" i="25"/>
  <c r="G674" i="25"/>
  <c r="G707" i="25"/>
  <c r="G699" i="25"/>
  <c r="G687" i="25"/>
  <c r="G679" i="25"/>
  <c r="G671" i="25"/>
  <c r="G648" i="25"/>
  <c r="G647" i="25"/>
  <c r="G646" i="25"/>
  <c r="G630" i="25"/>
  <c r="G627" i="25"/>
  <c r="G691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3" i="25"/>
  <c r="G705" i="25"/>
  <c r="G694" i="25"/>
  <c r="G693" i="25"/>
  <c r="G681" i="25"/>
  <c r="G673" i="25"/>
  <c r="G695" i="25"/>
  <c r="G686" i="25"/>
  <c r="G678" i="25"/>
  <c r="G670" i="25"/>
  <c r="G628" i="25"/>
  <c r="G697" i="25"/>
  <c r="G683" i="25"/>
  <c r="G675" i="25"/>
  <c r="G710" i="25"/>
  <c r="G702" i="25"/>
  <c r="G680" i="25"/>
  <c r="G672" i="25"/>
  <c r="G689" i="25"/>
  <c r="G685" i="25"/>
  <c r="G677" i="25"/>
  <c r="G669" i="25"/>
  <c r="G629" i="25"/>
  <c r="H629" i="25" s="1"/>
  <c r="E715" i="24"/>
  <c r="F715" i="24" l="1"/>
  <c r="G716" i="24"/>
  <c r="G626" i="24"/>
  <c r="G643" i="24"/>
  <c r="G631" i="24"/>
  <c r="G636" i="24"/>
  <c r="G692" i="24"/>
  <c r="G710" i="24"/>
  <c r="G690" i="24"/>
  <c r="G629" i="24"/>
  <c r="G633" i="24"/>
  <c r="G686" i="24"/>
  <c r="G637" i="24"/>
  <c r="G677" i="24"/>
  <c r="G673" i="24"/>
  <c r="G711" i="24"/>
  <c r="G702" i="24"/>
  <c r="G693" i="24"/>
  <c r="G684" i="24"/>
  <c r="G691" i="24"/>
  <c r="G694" i="24"/>
  <c r="G670" i="24"/>
  <c r="G689" i="24"/>
  <c r="G641" i="24"/>
  <c r="G644" i="24"/>
  <c r="G705" i="24"/>
  <c r="G700" i="24"/>
  <c r="G675" i="24"/>
  <c r="G683" i="24"/>
  <c r="G676" i="24"/>
  <c r="G645" i="24"/>
  <c r="G672" i="24"/>
  <c r="G688" i="24"/>
  <c r="G713" i="24"/>
  <c r="G679" i="24"/>
  <c r="G634" i="24"/>
  <c r="G627" i="24"/>
  <c r="G632" i="24"/>
  <c r="G668" i="24"/>
  <c r="G687" i="24"/>
  <c r="G630" i="24"/>
  <c r="G674" i="24"/>
  <c r="G671" i="24"/>
  <c r="G647" i="24"/>
  <c r="G635" i="24"/>
  <c r="G639" i="24"/>
  <c r="G697" i="24"/>
  <c r="G638" i="24"/>
  <c r="G708" i="24"/>
  <c r="G696" i="24"/>
  <c r="G642" i="24"/>
  <c r="G701" i="24"/>
  <c r="G709" i="24"/>
  <c r="G695" i="24"/>
  <c r="G685" i="24"/>
  <c r="G678" i="24"/>
  <c r="G699" i="24"/>
  <c r="G681" i="24"/>
  <c r="G646" i="24"/>
  <c r="G704" i="24"/>
  <c r="G669" i="24"/>
  <c r="G703" i="24"/>
  <c r="G680" i="24"/>
  <c r="G682" i="24"/>
  <c r="G712" i="24"/>
  <c r="G628" i="24"/>
  <c r="G640" i="24"/>
  <c r="G707" i="24"/>
  <c r="G698" i="24"/>
  <c r="G706" i="24"/>
  <c r="G716" i="25"/>
  <c r="H709" i="25"/>
  <c r="H701" i="25"/>
  <c r="H693" i="25"/>
  <c r="H714" i="25"/>
  <c r="H706" i="25"/>
  <c r="H711" i="25"/>
  <c r="H703" i="25"/>
  <c r="H695" i="25"/>
  <c r="H713" i="25"/>
  <c r="H705" i="25"/>
  <c r="H697" i="25"/>
  <c r="H689" i="25"/>
  <c r="H707" i="25"/>
  <c r="H699" i="25"/>
  <c r="H690" i="25"/>
  <c r="H687" i="25"/>
  <c r="H679" i="25"/>
  <c r="H671" i="25"/>
  <c r="H648" i="25"/>
  <c r="H647" i="25"/>
  <c r="H646" i="25"/>
  <c r="H630" i="25"/>
  <c r="I630" i="25" s="1"/>
  <c r="H717" i="25"/>
  <c r="H708" i="25"/>
  <c r="H700" i="25"/>
  <c r="H692" i="25"/>
  <c r="H691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2" i="25"/>
  <c r="H704" i="25"/>
  <c r="H694" i="25"/>
  <c r="H681" i="25"/>
  <c r="H673" i="25"/>
  <c r="H686" i="25"/>
  <c r="H678" i="25"/>
  <c r="H670" i="25"/>
  <c r="H696" i="25"/>
  <c r="H683" i="25"/>
  <c r="H675" i="25"/>
  <c r="H710" i="25"/>
  <c r="H702" i="25"/>
  <c r="H680" i="25"/>
  <c r="H672" i="25"/>
  <c r="H698" i="25"/>
  <c r="H688" i="25"/>
  <c r="H685" i="25"/>
  <c r="H677" i="25"/>
  <c r="H669" i="25"/>
  <c r="H682" i="25"/>
  <c r="H674" i="25"/>
  <c r="G715" i="24" l="1"/>
  <c r="H628" i="24"/>
  <c r="I714" i="25"/>
  <c r="I706" i="25"/>
  <c r="I698" i="25"/>
  <c r="I690" i="25"/>
  <c r="I711" i="25"/>
  <c r="I703" i="25"/>
  <c r="I717" i="25"/>
  <c r="I708" i="25"/>
  <c r="I700" i="25"/>
  <c r="I692" i="25"/>
  <c r="I710" i="25"/>
  <c r="I702" i="25"/>
  <c r="I694" i="25"/>
  <c r="I691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704" i="25"/>
  <c r="I681" i="25"/>
  <c r="I673" i="25"/>
  <c r="I713" i="25"/>
  <c r="I705" i="25"/>
  <c r="I693" i="25"/>
  <c r="I686" i="25"/>
  <c r="I678" i="25"/>
  <c r="I670" i="25"/>
  <c r="I696" i="25"/>
  <c r="I695" i="25"/>
  <c r="I683" i="25"/>
  <c r="I675" i="25"/>
  <c r="I709" i="25"/>
  <c r="I701" i="25"/>
  <c r="I697" i="25"/>
  <c r="I680" i="25"/>
  <c r="I672" i="25"/>
  <c r="I688" i="25"/>
  <c r="I685" i="25"/>
  <c r="I677" i="25"/>
  <c r="I669" i="25"/>
  <c r="I689" i="25"/>
  <c r="I682" i="25"/>
  <c r="I674" i="25"/>
  <c r="I707" i="25"/>
  <c r="I699" i="25"/>
  <c r="I687" i="25"/>
  <c r="I679" i="25"/>
  <c r="I671" i="25"/>
  <c r="I648" i="25"/>
  <c r="I647" i="25"/>
  <c r="I646" i="25"/>
  <c r="H716" i="25"/>
  <c r="H712" i="24" l="1"/>
  <c r="H693" i="24"/>
  <c r="H639" i="24"/>
  <c r="H709" i="24"/>
  <c r="H699" i="24"/>
  <c r="H711" i="24"/>
  <c r="H697" i="24"/>
  <c r="H702" i="24"/>
  <c r="H643" i="24"/>
  <c r="H644" i="24"/>
  <c r="H669" i="24"/>
  <c r="H681" i="24"/>
  <c r="H688" i="24"/>
  <c r="H634" i="24"/>
  <c r="H700" i="24"/>
  <c r="H674" i="24"/>
  <c r="H694" i="24"/>
  <c r="H645" i="24"/>
  <c r="H646" i="24"/>
  <c r="H705" i="24"/>
  <c r="H706" i="24"/>
  <c r="H629" i="24"/>
  <c r="I629" i="24" s="1"/>
  <c r="H641" i="24"/>
  <c r="H701" i="24"/>
  <c r="H676" i="24"/>
  <c r="H684" i="24"/>
  <c r="H689" i="24"/>
  <c r="H647" i="24"/>
  <c r="H687" i="24"/>
  <c r="H672" i="24"/>
  <c r="H679" i="24"/>
  <c r="H713" i="24"/>
  <c r="H673" i="24"/>
  <c r="H707" i="24"/>
  <c r="H686" i="24"/>
  <c r="H671" i="24"/>
  <c r="H685" i="24"/>
  <c r="H678" i="24"/>
  <c r="H633" i="24"/>
  <c r="H696" i="24"/>
  <c r="H691" i="24"/>
  <c r="H630" i="24"/>
  <c r="H716" i="24"/>
  <c r="H680" i="24"/>
  <c r="H708" i="24"/>
  <c r="H703" i="24"/>
  <c r="H683" i="24"/>
  <c r="H682" i="24"/>
  <c r="H642" i="24"/>
  <c r="H631" i="24"/>
  <c r="H637" i="24"/>
  <c r="H692" i="24"/>
  <c r="H638" i="24"/>
  <c r="H677" i="24"/>
  <c r="H710" i="24"/>
  <c r="H704" i="24"/>
  <c r="H698" i="24"/>
  <c r="H668" i="24"/>
  <c r="H690" i="24"/>
  <c r="H695" i="24"/>
  <c r="H670" i="24"/>
  <c r="H640" i="24"/>
  <c r="H635" i="24"/>
  <c r="H636" i="24"/>
  <c r="H675" i="24"/>
  <c r="H632" i="24"/>
  <c r="I716" i="25"/>
  <c r="J631" i="25"/>
  <c r="I699" i="24" l="1"/>
  <c r="I692" i="24"/>
  <c r="I643" i="24"/>
  <c r="I716" i="24"/>
  <c r="I676" i="24"/>
  <c r="I633" i="24"/>
  <c r="I668" i="24"/>
  <c r="I680" i="24"/>
  <c r="I691" i="24"/>
  <c r="I635" i="24"/>
  <c r="I685" i="24"/>
  <c r="I639" i="24"/>
  <c r="I672" i="24"/>
  <c r="I694" i="24"/>
  <c r="I713" i="24"/>
  <c r="I706" i="24"/>
  <c r="I695" i="24"/>
  <c r="I631" i="24"/>
  <c r="I712" i="24"/>
  <c r="I640" i="24"/>
  <c r="I688" i="24"/>
  <c r="I698" i="24"/>
  <c r="I636" i="24"/>
  <c r="I646" i="24"/>
  <c r="I709" i="24"/>
  <c r="I647" i="24"/>
  <c r="I708" i="24"/>
  <c r="I687" i="24"/>
  <c r="I690" i="24"/>
  <c r="I707" i="24"/>
  <c r="I632" i="24"/>
  <c r="I678" i="24"/>
  <c r="I677" i="24"/>
  <c r="I686" i="24"/>
  <c r="I681" i="24"/>
  <c r="I704" i="24"/>
  <c r="I675" i="24"/>
  <c r="I696" i="24"/>
  <c r="I637" i="24"/>
  <c r="I641" i="24"/>
  <c r="I683" i="24"/>
  <c r="I689" i="24"/>
  <c r="I638" i="24"/>
  <c r="I697" i="24"/>
  <c r="I702" i="24"/>
  <c r="I679" i="24"/>
  <c r="I710" i="24"/>
  <c r="I701" i="24"/>
  <c r="I693" i="24"/>
  <c r="I645" i="24"/>
  <c r="I642" i="24"/>
  <c r="I671" i="24"/>
  <c r="I673" i="24"/>
  <c r="I630" i="24"/>
  <c r="J630" i="24" s="1"/>
  <c r="I670" i="24"/>
  <c r="I705" i="24"/>
  <c r="I703" i="24"/>
  <c r="I634" i="24"/>
  <c r="I684" i="24"/>
  <c r="I711" i="24"/>
  <c r="I644" i="24"/>
  <c r="I700" i="24"/>
  <c r="I682" i="24"/>
  <c r="I669" i="24"/>
  <c r="I674" i="24"/>
  <c r="H715" i="24"/>
  <c r="J711" i="25"/>
  <c r="J703" i="25"/>
  <c r="J695" i="25"/>
  <c r="J717" i="25"/>
  <c r="J708" i="25"/>
  <c r="J700" i="25"/>
  <c r="J713" i="25"/>
  <c r="J705" i="25"/>
  <c r="J697" i="25"/>
  <c r="J689" i="25"/>
  <c r="J707" i="25"/>
  <c r="J699" i="25"/>
  <c r="J691" i="25"/>
  <c r="J712" i="25"/>
  <c r="J704" i="25"/>
  <c r="J692" i="25"/>
  <c r="J681" i="25"/>
  <c r="J673" i="25"/>
  <c r="J694" i="25"/>
  <c r="J693" i="25"/>
  <c r="J686" i="25"/>
  <c r="J678" i="25"/>
  <c r="J670" i="25"/>
  <c r="J696" i="25"/>
  <c r="J683" i="25"/>
  <c r="J675" i="25"/>
  <c r="J709" i="25"/>
  <c r="J701" i="25"/>
  <c r="J680" i="25"/>
  <c r="J672" i="25"/>
  <c r="J710" i="25"/>
  <c r="J702" i="25"/>
  <c r="J688" i="25"/>
  <c r="J685" i="25"/>
  <c r="J677" i="25"/>
  <c r="J669" i="25"/>
  <c r="J714" i="25"/>
  <c r="J706" i="25"/>
  <c r="J698" i="25"/>
  <c r="J682" i="25"/>
  <c r="J674" i="25"/>
  <c r="J687" i="25"/>
  <c r="J679" i="25"/>
  <c r="J671" i="25"/>
  <c r="J648" i="25"/>
  <c r="J647" i="25"/>
  <c r="J646" i="25"/>
  <c r="J690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712" i="24" l="1"/>
  <c r="J713" i="24"/>
  <c r="J684" i="24"/>
  <c r="J707" i="24"/>
  <c r="J675" i="24"/>
  <c r="J671" i="24"/>
  <c r="J633" i="24"/>
  <c r="J708" i="24"/>
  <c r="J686" i="24"/>
  <c r="J634" i="24"/>
  <c r="J639" i="24"/>
  <c r="J692" i="24"/>
  <c r="J710" i="24"/>
  <c r="J691" i="24"/>
  <c r="J640" i="24"/>
  <c r="J637" i="24"/>
  <c r="J673" i="24"/>
  <c r="J716" i="24"/>
  <c r="J635" i="24"/>
  <c r="J682" i="24"/>
  <c r="J645" i="24"/>
  <c r="J668" i="24"/>
  <c r="J693" i="24"/>
  <c r="J632" i="24"/>
  <c r="J679" i="24"/>
  <c r="J672" i="24"/>
  <c r="J642" i="24"/>
  <c r="J700" i="24"/>
  <c r="J676" i="24"/>
  <c r="J689" i="24"/>
  <c r="J701" i="24"/>
  <c r="J681" i="24"/>
  <c r="J674" i="24"/>
  <c r="J705" i="24"/>
  <c r="J711" i="24"/>
  <c r="J677" i="24"/>
  <c r="J697" i="24"/>
  <c r="J704" i="24"/>
  <c r="J638" i="24"/>
  <c r="J696" i="24"/>
  <c r="J709" i="24"/>
  <c r="J636" i="24"/>
  <c r="J631" i="24"/>
  <c r="J646" i="24"/>
  <c r="J698" i="24"/>
  <c r="J687" i="24"/>
  <c r="J683" i="24"/>
  <c r="J695" i="24"/>
  <c r="J706" i="24"/>
  <c r="J690" i="24"/>
  <c r="J699" i="24"/>
  <c r="J643" i="24"/>
  <c r="J688" i="24"/>
  <c r="J702" i="24"/>
  <c r="J644" i="24"/>
  <c r="J669" i="24"/>
  <c r="J680" i="24"/>
  <c r="J647" i="24"/>
  <c r="J670" i="24"/>
  <c r="J694" i="24"/>
  <c r="J685" i="24"/>
  <c r="J641" i="24"/>
  <c r="J703" i="24"/>
  <c r="J678" i="24"/>
  <c r="I715" i="24"/>
  <c r="L648" i="25"/>
  <c r="K645" i="25"/>
  <c r="L647" i="24" l="1"/>
  <c r="L711" i="24" s="1"/>
  <c r="K644" i="24"/>
  <c r="K684" i="24" s="1"/>
  <c r="M684" i="24" s="1"/>
  <c r="E87" i="34" s="1"/>
  <c r="L688" i="24"/>
  <c r="L704" i="24"/>
  <c r="L690" i="24"/>
  <c r="L680" i="24"/>
  <c r="L668" i="24"/>
  <c r="L672" i="24"/>
  <c r="L706" i="24"/>
  <c r="L709" i="24"/>
  <c r="L681" i="24"/>
  <c r="L670" i="24"/>
  <c r="L699" i="24"/>
  <c r="L682" i="24"/>
  <c r="L707" i="24"/>
  <c r="L685" i="24"/>
  <c r="L702" i="24"/>
  <c r="L673" i="24"/>
  <c r="L684" i="24"/>
  <c r="L676" i="24"/>
  <c r="L700" i="24"/>
  <c r="L695" i="24"/>
  <c r="L687" i="24"/>
  <c r="L678" i="24"/>
  <c r="L708" i="24"/>
  <c r="L671" i="24"/>
  <c r="L689" i="24"/>
  <c r="L691" i="24"/>
  <c r="L693" i="24"/>
  <c r="L712" i="24"/>
  <c r="L669" i="24"/>
  <c r="L686" i="24"/>
  <c r="L701" i="24"/>
  <c r="L710" i="24"/>
  <c r="L677" i="24"/>
  <c r="L694" i="24"/>
  <c r="L683" i="24"/>
  <c r="L697" i="24"/>
  <c r="L698" i="24"/>
  <c r="L696" i="24"/>
  <c r="L703" i="24"/>
  <c r="L675" i="24"/>
  <c r="L692" i="24"/>
  <c r="L679" i="24"/>
  <c r="L705" i="24"/>
  <c r="L713" i="24"/>
  <c r="L674" i="24"/>
  <c r="K690" i="24"/>
  <c r="M690" i="24" s="1"/>
  <c r="D119" i="34" s="1"/>
  <c r="K716" i="24"/>
  <c r="J715" i="24"/>
  <c r="K717" i="25"/>
  <c r="K708" i="25"/>
  <c r="K700" i="25"/>
  <c r="K692" i="25"/>
  <c r="K713" i="25"/>
  <c r="K705" i="25"/>
  <c r="K710" i="25"/>
  <c r="K702" i="25"/>
  <c r="K694" i="25"/>
  <c r="K712" i="25"/>
  <c r="K704" i="25"/>
  <c r="K696" i="25"/>
  <c r="K688" i="25"/>
  <c r="K693" i="25"/>
  <c r="K686" i="25"/>
  <c r="K678" i="25"/>
  <c r="K670" i="25"/>
  <c r="K683" i="25"/>
  <c r="K675" i="25"/>
  <c r="K709" i="25"/>
  <c r="K701" i="25"/>
  <c r="K695" i="25"/>
  <c r="K680" i="25"/>
  <c r="K672" i="25"/>
  <c r="K697" i="25"/>
  <c r="K685" i="25"/>
  <c r="K677" i="25"/>
  <c r="K669" i="25"/>
  <c r="K716" i="25" s="1"/>
  <c r="K714" i="25"/>
  <c r="K706" i="25"/>
  <c r="K698" i="25"/>
  <c r="K682" i="25"/>
  <c r="K674" i="25"/>
  <c r="K689" i="25"/>
  <c r="K687" i="25"/>
  <c r="K679" i="25"/>
  <c r="K671" i="25"/>
  <c r="K707" i="25"/>
  <c r="K699" i="25"/>
  <c r="K690" i="25"/>
  <c r="K684" i="25"/>
  <c r="K676" i="25"/>
  <c r="K711" i="25"/>
  <c r="K703" i="25"/>
  <c r="K691" i="25"/>
  <c r="K681" i="25"/>
  <c r="K673" i="25"/>
  <c r="L713" i="25"/>
  <c r="M713" i="25" s="1"/>
  <c r="L705" i="25"/>
  <c r="M705" i="25" s="1"/>
  <c r="L697" i="25"/>
  <c r="M697" i="25" s="1"/>
  <c r="L689" i="25"/>
  <c r="M689" i="25" s="1"/>
  <c r="L710" i="25"/>
  <c r="M710" i="25" s="1"/>
  <c r="L702" i="25"/>
  <c r="M702" i="25" s="1"/>
  <c r="L707" i="25"/>
  <c r="M707" i="25" s="1"/>
  <c r="L699" i="25"/>
  <c r="M699" i="25" s="1"/>
  <c r="L691" i="25"/>
  <c r="M691" i="25" s="1"/>
  <c r="L709" i="25"/>
  <c r="L701" i="25"/>
  <c r="M701" i="25" s="1"/>
  <c r="L693" i="25"/>
  <c r="M693" i="25" s="1"/>
  <c r="L717" i="25"/>
  <c r="L708" i="25"/>
  <c r="M708" i="25" s="1"/>
  <c r="L700" i="25"/>
  <c r="M700" i="25" s="1"/>
  <c r="L694" i="25"/>
  <c r="M694" i="25" s="1"/>
  <c r="L683" i="25"/>
  <c r="M683" i="25" s="1"/>
  <c r="L675" i="25"/>
  <c r="M675" i="25" s="1"/>
  <c r="L696" i="25"/>
  <c r="L695" i="25"/>
  <c r="M695" i="25" s="1"/>
  <c r="L680" i="25"/>
  <c r="M680" i="25" s="1"/>
  <c r="L672" i="25"/>
  <c r="M672" i="25" s="1"/>
  <c r="L685" i="25"/>
  <c r="M685" i="25" s="1"/>
  <c r="L677" i="25"/>
  <c r="M677" i="25" s="1"/>
  <c r="L669" i="25"/>
  <c r="L714" i="25"/>
  <c r="M714" i="25" s="1"/>
  <c r="L706" i="25"/>
  <c r="M706" i="25" s="1"/>
  <c r="L698" i="25"/>
  <c r="M698" i="25" s="1"/>
  <c r="L688" i="25"/>
  <c r="M688" i="25" s="1"/>
  <c r="L682" i="25"/>
  <c r="M682" i="25" s="1"/>
  <c r="L674" i="25"/>
  <c r="M674" i="25" s="1"/>
  <c r="L687" i="25"/>
  <c r="M687" i="25" s="1"/>
  <c r="L679" i="25"/>
  <c r="M679" i="25" s="1"/>
  <c r="L671" i="25"/>
  <c r="L690" i="25"/>
  <c r="L684" i="25"/>
  <c r="M684" i="25" s="1"/>
  <c r="L676" i="25"/>
  <c r="M676" i="25" s="1"/>
  <c r="L711" i="25"/>
  <c r="M711" i="25" s="1"/>
  <c r="L703" i="25"/>
  <c r="L681" i="25"/>
  <c r="M681" i="25" s="1"/>
  <c r="L673" i="25"/>
  <c r="M673" i="25" s="1"/>
  <c r="L712" i="25"/>
  <c r="M712" i="25" s="1"/>
  <c r="L704" i="25"/>
  <c r="M704" i="25" s="1"/>
  <c r="L692" i="25"/>
  <c r="M692" i="25" s="1"/>
  <c r="L686" i="25"/>
  <c r="M686" i="25" s="1"/>
  <c r="L678" i="25"/>
  <c r="M678" i="25" s="1"/>
  <c r="L670" i="25"/>
  <c r="M670" i="25" s="1"/>
  <c r="L715" i="24" l="1"/>
  <c r="L716" i="24"/>
  <c r="K687" i="24"/>
  <c r="M687" i="24" s="1"/>
  <c r="H87" i="34" s="1"/>
  <c r="K677" i="24"/>
  <c r="M677" i="24" s="1"/>
  <c r="K700" i="24"/>
  <c r="M700" i="24" s="1"/>
  <c r="G151" i="34" s="1"/>
  <c r="K706" i="24"/>
  <c r="M706" i="24" s="1"/>
  <c r="F183" i="34" s="1"/>
  <c r="K675" i="24"/>
  <c r="M675" i="24" s="1"/>
  <c r="C55" i="34" s="1"/>
  <c r="K705" i="24"/>
  <c r="M705" i="24" s="1"/>
  <c r="E183" i="34" s="1"/>
  <c r="K686" i="24"/>
  <c r="M686" i="24" s="1"/>
  <c r="G87" i="34" s="1"/>
  <c r="K689" i="24"/>
  <c r="M689" i="24" s="1"/>
  <c r="C119" i="34" s="1"/>
  <c r="K695" i="24"/>
  <c r="M695" i="24" s="1"/>
  <c r="I119" i="34" s="1"/>
  <c r="K712" i="24"/>
  <c r="M712" i="24" s="1"/>
  <c r="E215" i="34" s="1"/>
  <c r="K685" i="24"/>
  <c r="M685" i="24" s="1"/>
  <c r="F87" i="34" s="1"/>
  <c r="K701" i="24"/>
  <c r="M701" i="24" s="1"/>
  <c r="H151" i="34" s="1"/>
  <c r="K708" i="24"/>
  <c r="M708" i="24" s="1"/>
  <c r="H183" i="34" s="1"/>
  <c r="K692" i="24"/>
  <c r="M692" i="24" s="1"/>
  <c r="F55" i="34" s="1"/>
  <c r="K671" i="24"/>
  <c r="M671" i="24" s="1"/>
  <c r="F23" i="34" s="1"/>
  <c r="K704" i="24"/>
  <c r="M704" i="24" s="1"/>
  <c r="D183" i="34" s="1"/>
  <c r="K670" i="24"/>
  <c r="M670" i="24" s="1"/>
  <c r="E23" i="34" s="1"/>
  <c r="K703" i="24"/>
  <c r="M703" i="24" s="1"/>
  <c r="C183" i="34" s="1"/>
  <c r="K672" i="24"/>
  <c r="M672" i="24" s="1"/>
  <c r="G23" i="34" s="1"/>
  <c r="K676" i="24"/>
  <c r="M676" i="24" s="1"/>
  <c r="D55" i="34" s="1"/>
  <c r="K693" i="24"/>
  <c r="M693" i="24" s="1"/>
  <c r="K707" i="24"/>
  <c r="M707" i="24" s="1"/>
  <c r="G183" i="34" s="1"/>
  <c r="K680" i="24"/>
  <c r="M680" i="24" s="1"/>
  <c r="H55" i="34" s="1"/>
  <c r="K682" i="24"/>
  <c r="M682" i="24" s="1"/>
  <c r="C87" i="34" s="1"/>
  <c r="K711" i="24"/>
  <c r="M711" i="24" s="1"/>
  <c r="D215" i="34" s="1"/>
  <c r="K697" i="24"/>
  <c r="M697" i="24" s="1"/>
  <c r="D151" i="34" s="1"/>
  <c r="K678" i="24"/>
  <c r="M678" i="24" s="1"/>
  <c r="K669" i="24"/>
  <c r="M669" i="24" s="1"/>
  <c r="D23" i="34" s="1"/>
  <c r="K698" i="24"/>
  <c r="M698" i="24" s="1"/>
  <c r="E151" i="34" s="1"/>
  <c r="K702" i="24"/>
  <c r="M702" i="24" s="1"/>
  <c r="I151" i="34" s="1"/>
  <c r="K710" i="24"/>
  <c r="M710" i="24" s="1"/>
  <c r="C215" i="34" s="1"/>
  <c r="K688" i="24"/>
  <c r="M688" i="24" s="1"/>
  <c r="I87" i="34" s="1"/>
  <c r="K683" i="24"/>
  <c r="M683" i="24" s="1"/>
  <c r="D87" i="34" s="1"/>
  <c r="K709" i="24"/>
  <c r="M709" i="24" s="1"/>
  <c r="I183" i="34" s="1"/>
  <c r="K681" i="24"/>
  <c r="M681" i="24" s="1"/>
  <c r="I55" i="34" s="1"/>
  <c r="K694" i="24"/>
  <c r="M694" i="24" s="1"/>
  <c r="H119" i="34" s="1"/>
  <c r="K696" i="24"/>
  <c r="M696" i="24" s="1"/>
  <c r="C151" i="34" s="1"/>
  <c r="K699" i="24"/>
  <c r="M699" i="24" s="1"/>
  <c r="F151" i="34" s="1"/>
  <c r="K674" i="24"/>
  <c r="M674" i="24" s="1"/>
  <c r="I23" i="34" s="1"/>
  <c r="K679" i="24"/>
  <c r="M679" i="24" s="1"/>
  <c r="K691" i="24"/>
  <c r="M691" i="24" s="1"/>
  <c r="K673" i="24"/>
  <c r="M673" i="24" s="1"/>
  <c r="H23" i="34" s="1"/>
  <c r="K668" i="24"/>
  <c r="K713" i="24"/>
  <c r="M713" i="24" s="1"/>
  <c r="F215" i="34" s="1"/>
  <c r="L716" i="25"/>
  <c r="M669" i="25"/>
  <c r="M716" i="25" s="1"/>
  <c r="M703" i="25"/>
  <c r="M690" i="25"/>
  <c r="M696" i="25"/>
  <c r="M671" i="25"/>
  <c r="M709" i="25"/>
  <c r="F119" i="34" l="1"/>
  <c r="G55" i="34"/>
  <c r="G119" i="34"/>
  <c r="E55" i="34"/>
  <c r="E119" i="34"/>
  <c r="K715" i="24"/>
  <c r="M668" i="24"/>
  <c r="C23" i="34" l="1"/>
  <c r="M715" i="24"/>
</calcChain>
</file>

<file path=xl/sharedStrings.xml><?xml version="1.0" encoding="utf-8"?>
<sst xmlns="http://schemas.openxmlformats.org/spreadsheetml/2006/main" count="4838" uniqueCount="1371">
  <si>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</si>
  <si>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</si>
  <si>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</si>
  <si>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</si>
  <si>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</si>
  <si>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</si>
  <si>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</si>
  <si>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</si>
  <si>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</si>
  <si>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</si>
  <si>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</si>
  <si>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</si>
  <si>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</si>
  <si>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</si>
  <si>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</si>
  <si>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</si>
  <si>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</si>
  <si>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</si>
  <si>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</si>
  <si>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</si>
  <si>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</si>
  <si>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</si>
  <si>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</si>
  <si>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</si>
  <si>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</si>
  <si>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</si>
  <si>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</si>
  <si>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</si>
  <si>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</si>
  <si>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</si>
  <si>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</si>
  <si>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</si>
  <si>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</si>
  <si>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</si>
  <si>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</si>
  <si>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</si>
  <si>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</si>
  <si>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</si>
  <si>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</si>
  <si>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</si>
  <si>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</si>
  <si>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</si>
  <si>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</si>
  <si>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</si>
  <si>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</si>
  <si>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</si>
  <si>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</si>
  <si>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</si>
  <si>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</si>
  <si>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</si>
  <si>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</si>
  <si>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</si>
  <si>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</si>
  <si>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</si>
  <si>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</si>
  <si>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</si>
  <si>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</si>
  <si>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</si>
  <si>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</si>
  <si>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</si>
  <si>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</si>
  <si>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</si>
  <si>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</si>
  <si>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</si>
  <si>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</si>
  <si>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</si>
  <si>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</si>
  <si>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</si>
  <si>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</si>
  <si>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</si>
  <si>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</si>
  <si>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</si>
  <si>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</si>
  <si>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</si>
  <si>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</si>
  <si>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</si>
  <si>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</si>
  <si>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</si>
  <si>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</si>
  <si>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</si>
  <si>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</si>
  <si>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</si>
  <si>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</si>
  <si>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</si>
  <si>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</si>
  <si>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</si>
  <si>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</si>
  <si>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</si>
  <si>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</si>
  <si>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</si>
  <si>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</si>
  <si>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</si>
  <si>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</si>
  <si>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</si>
  <si>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</si>
  <si>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</si>
  <si>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</si>
  <si>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</si>
  <si>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</si>
  <si>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</si>
  <si>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</si>
  <si>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</si>
  <si>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</si>
  <si>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</si>
  <si>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</si>
  <si>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</si>
  <si>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</si>
  <si>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</si>
  <si>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</si>
  <si>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</si>
  <si>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</si>
  <si>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</si>
  <si>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</si>
  <si>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</si>
  <si>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</si>
  <si>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</si>
  <si>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</si>
  <si>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</si>
  <si>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</si>
  <si>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</si>
  <si>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</si>
  <si>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</si>
  <si>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</si>
  <si>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</si>
  <si>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</si>
  <si>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</si>
  <si>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</si>
  <si>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</si>
  <si>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</si>
  <si>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</si>
  <si>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</si>
  <si>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</si>
  <si>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</si>
  <si>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</si>
  <si>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</si>
  <si>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</si>
  <si>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</si>
  <si>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</si>
  <si>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</si>
  <si>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</si>
  <si>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</si>
  <si>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</si>
  <si>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</si>
  <si>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</si>
  <si>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</si>
  <si>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</si>
  <si>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</si>
  <si>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</si>
  <si>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</si>
  <si>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</si>
  <si>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</si>
  <si>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</si>
  <si>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</si>
  <si>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</si>
  <si>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</si>
  <si>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</si>
  <si>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</si>
  <si>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</si>
  <si>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</si>
  <si>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</si>
  <si>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</si>
  <si>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</si>
  <si>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</si>
  <si>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</si>
  <si>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</si>
  <si>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</si>
  <si>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</si>
  <si>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</si>
  <si>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</si>
  <si>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</si>
  <si>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</si>
  <si>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</si>
  <si>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</si>
  <si>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</si>
  <si>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</si>
  <si>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</si>
  <si>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</si>
  <si>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</si>
  <si>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</si>
  <si>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</si>
  <si>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</si>
  <si>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</si>
  <si>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</si>
  <si>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</si>
  <si>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</si>
  <si>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</si>
  <si>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</si>
  <si>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</si>
  <si>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</si>
  <si>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</si>
  <si>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</si>
  <si>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</si>
  <si>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</si>
  <si>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</si>
  <si>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</si>
  <si>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</si>
  <si>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</si>
  <si>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</si>
  <si>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</si>
  <si>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</si>
  <si>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</si>
  <si>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</si>
  <si>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</si>
  <si>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</si>
  <si>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</si>
  <si>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</si>
  <si>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</si>
  <si>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</si>
  <si>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</si>
  <si>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</si>
  <si>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</si>
  <si>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</si>
  <si>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</si>
  <si>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</si>
  <si>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</si>
  <si>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</si>
  <si>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</si>
  <si>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</si>
  <si>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</si>
  <si>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</si>
  <si>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</si>
  <si>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</si>
  <si>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</si>
  <si>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</si>
  <si>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</si>
  <si>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</si>
  <si>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</si>
  <si>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</si>
  <si>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</si>
  <si>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</si>
  <si>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</si>
  <si>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</si>
  <si>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</si>
  <si>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</si>
  <si>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</si>
  <si>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</si>
  <si>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</si>
  <si>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</si>
  <si>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</si>
  <si>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</si>
  <si>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</si>
  <si>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</si>
  <si>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</si>
  <si>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</si>
  <si>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</si>
  <si>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</si>
  <si>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</si>
  <si>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</si>
  <si>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</si>
  <si>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</si>
  <si>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</si>
  <si>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</si>
  <si>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</si>
  <si>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</si>
  <si>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</si>
  <si>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</si>
  <si>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</si>
  <si>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</si>
  <si>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</si>
  <si>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</si>
  <si>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</si>
  <si>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</si>
  <si>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</si>
  <si>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</si>
  <si>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</si>
  <si>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</si>
  <si>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</si>
  <si>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</si>
  <si>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</si>
  <si>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</si>
  <si>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</si>
  <si>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</si>
  <si>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</si>
  <si>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</si>
  <si>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</si>
  <si>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</si>
  <si>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</si>
  <si>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</si>
  <si>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</si>
  <si>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</si>
  <si>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</si>
  <si>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</si>
  <si>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</si>
  <si>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</si>
  <si>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</si>
  <si>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</si>
  <si>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</si>
  <si>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</si>
  <si>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</si>
  <si>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</si>
  <si>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</si>
  <si>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</si>
  <si>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</si>
  <si>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</si>
  <si>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</si>
  <si>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</si>
  <si>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</si>
  <si>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</si>
  <si>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</si>
  <si>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</si>
  <si>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173</t>
  </si>
  <si>
    <t>Hospital Name</t>
  </si>
  <si>
    <t>Arbor Health</t>
  </si>
  <si>
    <t>Mailing Address</t>
  </si>
  <si>
    <t>PO Box 1138</t>
  </si>
  <si>
    <t>City</t>
  </si>
  <si>
    <t>Morton</t>
  </si>
  <si>
    <t>State</t>
  </si>
  <si>
    <t>WA</t>
  </si>
  <si>
    <t>Zip</t>
  </si>
  <si>
    <t>County</t>
  </si>
  <si>
    <t>Lewis</t>
  </si>
  <si>
    <t>Chief Executive Officer</t>
  </si>
  <si>
    <t>Mike Lieb</t>
  </si>
  <si>
    <t>Chief Financial Officer</t>
  </si>
  <si>
    <t>Cheryl Cornwell</t>
  </si>
  <si>
    <t>Chair of Governing Board</t>
  </si>
  <si>
    <t>Tom Herrin</t>
  </si>
  <si>
    <t>Telephone Number</t>
  </si>
  <si>
    <t>360-496-5112</t>
  </si>
  <si>
    <t>Facsimile Number</t>
  </si>
  <si>
    <t>360-496-3511</t>
  </si>
  <si>
    <t>Name of Submitter</t>
  </si>
  <si>
    <t>Clint Scogin</t>
  </si>
  <si>
    <t>Email of Submitter</t>
  </si>
  <si>
    <t>cscogin@myarborhealth.org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</si>
  <si>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</si>
  <si>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</si>
  <si>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</si>
  <si>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</si>
  <si>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</si>
  <si>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</si>
  <si>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</si>
  <si>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</si>
  <si>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</si>
  <si>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</si>
  <si>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</si>
  <si>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</si>
  <si>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</si>
  <si>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</si>
  <si>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</si>
  <si>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</si>
  <si>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</si>
  <si>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</si>
  <si>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</si>
  <si>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</si>
  <si>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</si>
  <si>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</si>
  <si>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</si>
  <si>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</si>
  <si>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</si>
  <si>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</si>
  <si>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</si>
  <si>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</si>
  <si>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</si>
  <si>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</si>
  <si>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</si>
  <si>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</si>
  <si>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</si>
  <si>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</si>
  <si>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</si>
  <si>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</si>
  <si>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</si>
  <si>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</si>
  <si>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</si>
  <si>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</si>
  <si>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</si>
  <si>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</si>
  <si>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</si>
  <si>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</si>
  <si>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</si>
  <si>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</si>
  <si>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</si>
  <si>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</si>
  <si>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</si>
  <si>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</si>
  <si>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</si>
  <si>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</si>
  <si>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</si>
  <si>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</si>
  <si>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</si>
  <si>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</si>
  <si>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</si>
  <si>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</si>
  <si>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</si>
  <si>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</si>
  <si>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</si>
  <si>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</si>
  <si>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</si>
  <si>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</si>
  <si>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</si>
  <si>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</si>
  <si>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</si>
  <si>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</si>
  <si>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</si>
  <si>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</si>
  <si>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</si>
  <si>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</si>
  <si>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</si>
  <si>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</si>
  <si>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</si>
  <si>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</si>
  <si>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</si>
  <si>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</si>
  <si>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</si>
  <si>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</si>
  <si>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</si>
  <si>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</si>
  <si>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</si>
  <si>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</si>
  <si>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</si>
  <si>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</si>
  <si>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</si>
  <si>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</si>
  <si>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</si>
  <si>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</si>
  <si>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</si>
  <si>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</si>
  <si>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</si>
  <si>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</si>
  <si>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</si>
  <si>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</si>
  <si>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</si>
  <si>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</si>
  <si>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</si>
  <si>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</si>
  <si>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</si>
  <si>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</si>
  <si>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</si>
  <si>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</si>
  <si>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</si>
  <si>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</si>
  <si>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</si>
  <si>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</si>
  <si>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</si>
  <si>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 xml:space="preserve"> 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</si>
  <si>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</si>
  <si>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</si>
  <si>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</si>
  <si>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</si>
  <si>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</si>
  <si>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</si>
  <si>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</si>
  <si>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</si>
  <si>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</si>
  <si>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</si>
  <si>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</si>
  <si>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</si>
  <si>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</si>
  <si>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</si>
  <si>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</si>
  <si>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</si>
  <si>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</si>
  <si>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</si>
  <si>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</si>
  <si>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</si>
  <si>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</si>
  <si>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</si>
  <si>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</si>
  <si>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</si>
  <si>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</si>
  <si>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</si>
  <si>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</si>
  <si>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</si>
  <si>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</si>
  <si>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</si>
  <si>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</si>
  <si>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</si>
  <si>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</si>
  <si>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</si>
  <si>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</si>
  <si>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</si>
  <si>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</si>
  <si>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</si>
  <si>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</si>
  <si>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</si>
  <si>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</si>
  <si>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</si>
  <si>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</si>
  <si>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</si>
  <si>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</si>
  <si>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</si>
  <si>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</si>
  <si>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</si>
  <si>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</si>
  <si>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</si>
  <si>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</si>
  <si>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</si>
  <si>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</si>
  <si>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</si>
  <si>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</si>
  <si>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</si>
  <si>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</si>
  <si>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</si>
  <si>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</si>
  <si>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</si>
  <si>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</si>
  <si>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</si>
  <si>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</si>
  <si>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</si>
  <si>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</si>
  <si>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</si>
  <si>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</si>
  <si>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</si>
  <si>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</si>
  <si>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</si>
  <si>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</si>
  <si>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</si>
  <si>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</si>
  <si>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</si>
  <si>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</si>
  <si>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</si>
  <si>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</si>
  <si>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</si>
  <si>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</si>
  <si>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</si>
  <si>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</si>
  <si>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</si>
  <si>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</si>
  <si>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</si>
  <si>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</si>
  <si>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</si>
  <si>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</si>
  <si>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</si>
  <si>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</si>
  <si>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</si>
  <si>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</si>
  <si>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</si>
  <si>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</si>
  <si>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</si>
  <si>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</si>
  <si>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</si>
  <si>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</si>
  <si>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</si>
  <si>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</si>
  <si>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</si>
  <si>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</si>
  <si>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</si>
  <si>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</si>
  <si>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</si>
  <si>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</si>
  <si>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</si>
  <si>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</si>
  <si>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</si>
  <si>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</si>
  <si>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</si>
  <si>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</si>
  <si>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</si>
  <si>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</si>
  <si>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</si>
  <si>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</si>
  <si>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</si>
  <si>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</si>
  <si>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</si>
  <si>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</si>
  <si>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</si>
  <si>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</si>
  <si>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</si>
  <si>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</si>
  <si>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</si>
  <si>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</si>
  <si>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</si>
  <si>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</si>
  <si>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</si>
  <si>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</si>
  <si>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</si>
  <si>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</si>
  <si>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</si>
  <si>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</si>
  <si>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</si>
  <si>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</si>
  <si>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</si>
  <si>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</si>
  <si>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</si>
  <si>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</si>
  <si>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</si>
  <si>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</si>
  <si>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</si>
  <si>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</si>
  <si>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</si>
  <si>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</si>
  <si>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</si>
  <si>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</si>
  <si>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</si>
  <si>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</si>
  <si>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</si>
  <si>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</si>
  <si>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</si>
  <si>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</si>
  <si>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</si>
  <si>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</si>
  <si>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</si>
  <si>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</si>
  <si>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</si>
  <si>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</si>
  <si>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</si>
  <si>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</si>
  <si>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</si>
  <si>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</si>
  <si>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</si>
  <si>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</si>
  <si>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</si>
  <si>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</si>
  <si>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</si>
  <si>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</si>
  <si>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</si>
  <si>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</si>
  <si>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</si>
  <si>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</si>
  <si>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</si>
  <si>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</si>
  <si>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</si>
  <si>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</si>
  <si>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</si>
  <si>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</si>
  <si>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</si>
  <si>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</si>
  <si>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</si>
  <si>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</si>
  <si>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</si>
  <si>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</si>
  <si>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</si>
  <si>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</si>
  <si>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</si>
  <si>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</si>
  <si>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</si>
  <si>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</si>
  <si>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</si>
  <si>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</si>
  <si>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</si>
  <si>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</si>
  <si>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</si>
  <si>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</si>
  <si>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</si>
  <si>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</si>
  <si>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</si>
  <si>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</si>
  <si>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</si>
  <si>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</si>
  <si>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</si>
  <si>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</si>
  <si>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</si>
  <si>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</si>
  <si>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</si>
  <si>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</si>
  <si>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</si>
  <si>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</si>
  <si>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</si>
  <si>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</si>
  <si>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</si>
  <si>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</si>
  <si>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</si>
  <si>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</si>
  <si>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</si>
  <si>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</si>
  <si>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</si>
  <si>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</si>
  <si>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</si>
  <si>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</si>
  <si>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</si>
  <si>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</si>
  <si>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</si>
  <si>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</si>
  <si>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</si>
  <si>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</si>
  <si>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</si>
  <si>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</si>
  <si>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</si>
  <si>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</si>
  <si>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</si>
  <si>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</si>
  <si>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</si>
  <si>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</si>
  <si>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</si>
  <si>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</si>
  <si>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</si>
  <si>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</si>
  <si>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</si>
  <si>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</si>
  <si>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</si>
  <si>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</si>
  <si>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</si>
  <si>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</si>
  <si>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</si>
  <si>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</si>
  <si>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</si>
  <si>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</si>
  <si>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</si>
  <si>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</si>
  <si>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</si>
  <si>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</si>
  <si>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</si>
  <si>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</si>
  <si>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</si>
  <si>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</si>
  <si>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</si>
  <si>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</si>
  <si>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</si>
  <si>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</si>
  <si>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</si>
  <si>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</si>
  <si>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</si>
  <si>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</si>
  <si>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</si>
  <si>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</si>
  <si>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</si>
  <si>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</si>
  <si>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</si>
  <si>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</si>
  <si>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</si>
  <si>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</si>
  <si>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</si>
  <si>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</si>
  <si>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</si>
  <si>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</si>
  <si>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</si>
  <si>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</si>
  <si>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</si>
  <si>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</si>
  <si>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</si>
  <si>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</si>
  <si>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</si>
  <si>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</si>
  <si>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</si>
  <si>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</si>
  <si>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</si>
  <si>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</si>
  <si>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</si>
  <si>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</si>
  <si>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</si>
  <si>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</si>
  <si>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</si>
  <si>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</si>
  <si>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</si>
  <si>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</si>
  <si>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</si>
  <si>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</si>
  <si>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</si>
  <si>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</si>
  <si>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</si>
  <si>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</si>
  <si>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</si>
  <si>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</si>
  <si>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</si>
  <si>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</si>
  <si>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</si>
  <si>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</si>
  <si>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</si>
  <si>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</si>
  <si>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</si>
  <si>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</si>
  <si>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</si>
  <si>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</si>
  <si>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</si>
  <si>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</si>
  <si>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</si>
  <si>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</si>
  <si>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</si>
  <si>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</si>
  <si>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</si>
  <si>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</si>
  <si>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</si>
  <si>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</si>
  <si>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</si>
  <si>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</si>
  <si>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</si>
  <si>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</si>
  <si>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</si>
  <si>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</si>
  <si>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</si>
  <si>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</si>
  <si>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</si>
  <si>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</si>
  <si>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</si>
  <si>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</si>
  <si>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</si>
  <si>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</si>
  <si>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</si>
  <si>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</si>
  <si>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</si>
  <si>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</si>
  <si>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</si>
  <si>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</si>
  <si>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</si>
  <si>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</si>
  <si>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</si>
  <si>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</si>
  <si>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</si>
  <si>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</si>
  <si>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</si>
  <si>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</si>
  <si>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</si>
  <si>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</si>
  <si>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</si>
  <si>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</si>
  <si>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</si>
  <si>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</si>
  <si>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</si>
  <si>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</si>
  <si>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</si>
  <si>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</si>
  <si>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</si>
  <si>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</si>
  <si>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</si>
  <si>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</si>
  <si>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</si>
  <si>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</si>
  <si>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</si>
  <si>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</si>
  <si>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</si>
  <si>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</si>
  <si>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</si>
  <si>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</si>
  <si>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</si>
  <si>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</si>
  <si>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</si>
  <si>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</si>
  <si>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</si>
  <si>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</si>
  <si>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</si>
  <si>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</si>
  <si>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</si>
  <si>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</si>
  <si>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</si>
  <si>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</si>
  <si>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</si>
  <si>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</si>
  <si>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</si>
  <si>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</si>
  <si>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</si>
  <si>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</si>
  <si>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</si>
  <si>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</si>
  <si>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</si>
  <si>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</si>
  <si>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</si>
  <si>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</si>
  <si>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</si>
  <si>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</si>
  <si>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</si>
  <si>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</si>
  <si>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</si>
  <si>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</si>
  <si>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</si>
  <si>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</si>
  <si>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</si>
  <si>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</si>
  <si>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</si>
  <si>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</si>
  <si>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</si>
  <si>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</si>
  <si>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</si>
  <si>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</si>
  <si>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</si>
  <si>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</si>
  <si>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</si>
  <si>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</si>
  <si>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</si>
  <si>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</si>
  <si>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</si>
  <si>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</si>
  <si>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</si>
  <si>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</si>
  <si>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</si>
  <si>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</si>
  <si>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</si>
  <si>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</si>
  <si>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</si>
  <si>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</si>
  <si>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</si>
  <si>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</si>
  <si>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</si>
  <si>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</si>
  <si>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</si>
  <si>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</si>
  <si>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</si>
  <si>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</si>
  <si>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</si>
  <si>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</si>
  <si>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</si>
  <si>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</si>
  <si>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</si>
  <si>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</si>
  <si>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</si>
  <si>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</si>
  <si>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</si>
  <si>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</si>
  <si>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</si>
  <si>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</si>
  <si>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</si>
  <si>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</si>
  <si>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</si>
  <si>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</si>
  <si>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</si>
  <si>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</si>
  <si>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</si>
  <si>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</si>
  <si>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</si>
  <si>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</si>
  <si>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</si>
  <si>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</si>
  <si>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</si>
  <si>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</si>
  <si>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</si>
  <si>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</si>
  <si>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</si>
  <si>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</si>
  <si>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</si>
  <si>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</si>
  <si>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</si>
  <si>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</si>
  <si>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</si>
  <si>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</si>
  <si>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</si>
  <si>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</si>
  <si>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</si>
  <si>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</si>
  <si>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</si>
  <si>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</si>
  <si>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</si>
  <si>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</si>
  <si>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</si>
  <si>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</si>
  <si>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</si>
  <si>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</si>
  <si>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</si>
  <si>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</si>
  <si>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</si>
  <si>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</si>
  <si>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</si>
  <si>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</si>
  <si>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</si>
  <si>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</si>
  <si>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</si>
  <si>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</si>
  <si>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</si>
  <si>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</si>
  <si>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</si>
  <si>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</si>
  <si>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</si>
  <si>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</si>
  <si>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</si>
  <si>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</si>
  <si>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</si>
  <si>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</si>
  <si>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</si>
  <si>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</si>
  <si>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</si>
  <si>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</si>
  <si>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</si>
  <si>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</si>
  <si>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</si>
  <si>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</si>
  <si>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</si>
  <si>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</si>
  <si>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</si>
  <si>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</si>
  <si>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</si>
  <si>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</si>
  <si>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</si>
  <si>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</si>
  <si>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</si>
  <si>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</si>
  <si>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</si>
  <si>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</si>
  <si>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</si>
  <si>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</si>
  <si>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</si>
  <si>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</si>
  <si>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</si>
  <si>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</si>
  <si>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</si>
  <si>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</si>
  <si>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</si>
  <si>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</si>
  <si>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</si>
  <si>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</si>
  <si>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</si>
  <si>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</si>
  <si>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</si>
  <si>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</si>
  <si>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</si>
  <si>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</si>
  <si>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</si>
  <si>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</si>
  <si>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</si>
  <si>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</si>
  <si>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</si>
  <si>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</si>
  <si>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</si>
  <si>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</si>
  <si>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</si>
  <si>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</si>
  <si>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</si>
  <si>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</si>
  <si>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</si>
  <si>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</si>
  <si>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</si>
  <si>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</si>
  <si>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</si>
  <si>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</si>
  <si>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</si>
  <si>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</si>
  <si>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</si>
  <si>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</si>
  <si>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</si>
  <si>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</si>
  <si>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</si>
  <si>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</si>
  <si>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</si>
  <si>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</si>
  <si>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</si>
  <si>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</si>
  <si>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</si>
  <si>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</si>
  <si>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</si>
  <si>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</si>
  <si>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</si>
  <si>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</si>
  <si>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</si>
  <si>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</si>
  <si>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</si>
  <si>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</si>
  <si>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</si>
  <si>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</si>
  <si>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</si>
  <si>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</si>
  <si>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</si>
  <si>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</si>
  <si>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</si>
  <si>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</si>
  <si>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</si>
  <si>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</si>
  <si>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</si>
  <si>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</si>
  <si>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</si>
  <si>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</si>
  <si>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</si>
  <si>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</si>
  <si>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</si>
  <si>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</si>
  <si>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</si>
  <si>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</si>
  <si>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</si>
  <si>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</si>
  <si>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</si>
  <si>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</si>
  <si>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</si>
  <si>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</si>
  <si>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</si>
  <si>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</si>
  <si>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</si>
  <si>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</si>
  <si>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</si>
  <si>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</si>
  <si>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</si>
  <si>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</si>
  <si>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</si>
  <si>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</si>
  <si>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</si>
  <si>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</si>
  <si>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</si>
  <si>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</si>
  <si>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</si>
  <si>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</si>
  <si>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</si>
  <si>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</si>
  <si>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</si>
  <si>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</si>
  <si>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</si>
  <si>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</si>
  <si>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</si>
  <si>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</si>
  <si>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</si>
  <si>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</si>
  <si>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</si>
  <si>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</si>
  <si>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</si>
  <si>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</si>
  <si>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</si>
  <si>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</si>
  <si>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</si>
  <si>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</si>
  <si>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</si>
  <si>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</si>
  <si>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</si>
  <si>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</si>
  <si>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</si>
  <si>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</si>
  <si>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</si>
  <si>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</si>
  <si>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</si>
  <si>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</si>
  <si>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</si>
  <si>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</si>
  <si>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</si>
  <si>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</si>
  <si>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</si>
  <si>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</si>
  <si>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</si>
  <si>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</si>
  <si>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</si>
  <si>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</si>
  <si>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</si>
  <si>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</si>
  <si>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</si>
  <si>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</si>
  <si>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</si>
  <si>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</si>
  <si>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</si>
  <si>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</si>
  <si>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</si>
  <si>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</si>
  <si>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</si>
  <si>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</si>
  <si>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</si>
  <si>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</si>
  <si>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</si>
  <si>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</si>
  <si>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</si>
  <si>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</si>
  <si>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</si>
  <si>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</si>
  <si>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</si>
  <si>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</si>
  <si>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</si>
  <si>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</si>
  <si>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</si>
  <si>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</si>
  <si>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</si>
  <si>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</si>
  <si>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</si>
  <si>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</si>
  <si>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</si>
  <si>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</si>
  <si>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</si>
  <si>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</si>
  <si>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</si>
  <si>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</si>
  <si>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</si>
  <si>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</si>
  <si>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</si>
  <si>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</si>
  <si>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</si>
  <si>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</si>
  <si>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</si>
  <si>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</si>
  <si>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</si>
  <si>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</si>
  <si>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</si>
  <si>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</si>
  <si>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</si>
  <si>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</si>
  <si>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</si>
  <si>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</si>
  <si>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</si>
  <si>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</si>
  <si>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</si>
  <si>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</si>
  <si>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</si>
  <si>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</si>
  <si>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</si>
  <si>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</si>
  <si>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</si>
  <si>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</si>
  <si>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</si>
  <si>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</si>
  <si>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</si>
  <si>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</si>
  <si>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</si>
  <si>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</si>
  <si>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</si>
  <si>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</si>
  <si>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</si>
  <si>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</si>
  <si>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</si>
  <si>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</si>
  <si>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</si>
  <si>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</si>
  <si>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</si>
  <si>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</si>
  <si>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</si>
  <si>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</si>
  <si>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</si>
  <si>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</si>
  <si>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</si>
  <si>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</si>
  <si>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</si>
  <si>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</si>
  <si>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</si>
  <si>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</si>
  <si>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</si>
  <si>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</si>
  <si>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</si>
  <si>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</si>
  <si>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</si>
  <si>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</si>
  <si>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</si>
  <si>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</si>
  <si>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</si>
  <si>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</si>
  <si>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</si>
  <si>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</si>
  <si>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</si>
  <si>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</si>
  <si>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</si>
  <si>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</si>
  <si>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</si>
  <si>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</si>
  <si>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</si>
  <si>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</si>
  <si>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</si>
  <si>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</si>
  <si>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</si>
  <si>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</si>
  <si>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</si>
  <si>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</si>
  <si>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</si>
  <si>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</si>
  <si>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</si>
  <si>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</si>
  <si>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</si>
  <si>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</si>
  <si>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</si>
  <si>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</si>
  <si>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</si>
  <si>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</si>
  <si>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</si>
  <si>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</si>
  <si>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</si>
  <si>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</si>
  <si>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</si>
  <si>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</si>
  <si>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</si>
  <si>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</si>
  <si>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</si>
  <si>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</si>
  <si>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</si>
  <si>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</si>
  <si>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</si>
  <si>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</si>
  <si>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</si>
  <si>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</si>
  <si>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</si>
  <si>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</si>
  <si>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</si>
  <si>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</si>
  <si>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</si>
  <si>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</si>
  <si>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</si>
  <si>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</si>
  <si>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</si>
  <si>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</si>
  <si>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</si>
  <si>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</si>
  <si>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</si>
  <si>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</si>
  <si>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</si>
  <si>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</si>
  <si>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</si>
  <si>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</si>
  <si>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</si>
  <si>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</si>
  <si>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</si>
  <si>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</si>
  <si>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</si>
  <si>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</si>
  <si>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</si>
  <si>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</si>
  <si>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</si>
  <si>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</si>
  <si>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</si>
  <si>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</si>
  <si>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</si>
  <si>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</si>
  <si>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</si>
  <si>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</si>
  <si>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</si>
  <si>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</si>
  <si>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</si>
  <si>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</si>
  <si>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</si>
  <si>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</si>
  <si>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</si>
  <si>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</si>
  <si>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</si>
  <si>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</si>
  <si>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</si>
  <si>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</si>
  <si>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</si>
  <si>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</si>
  <si>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</si>
  <si>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</si>
  <si>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</si>
  <si>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</si>
  <si>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</si>
  <si>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</si>
  <si>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</si>
  <si>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</si>
  <si>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</si>
  <si>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</si>
  <si>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</si>
  <si>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</si>
  <si>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</si>
  <si>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</si>
  <si>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</si>
  <si>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</si>
  <si>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</si>
  <si>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</si>
  <si>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</si>
  <si>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</si>
  <si>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</si>
  <si>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</si>
  <si>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</si>
  <si>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</si>
  <si>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</si>
  <si>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</si>
  <si>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</si>
  <si>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</si>
  <si>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</si>
  <si>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</si>
  <si>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</si>
  <si>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</si>
  <si>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</si>
  <si>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</si>
  <si>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</si>
  <si>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</si>
  <si>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</si>
  <si>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</si>
  <si>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</si>
  <si>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</si>
  <si>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</si>
  <si>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</si>
  <si>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</si>
  <si>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</si>
  <si>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</si>
  <si>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</si>
  <si>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</si>
  <si>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</si>
  <si>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</si>
  <si>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</si>
  <si>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</si>
  <si>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</si>
  <si>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</si>
  <si>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</si>
  <si>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</si>
  <si>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</si>
  <si>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</si>
  <si>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</si>
  <si>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</si>
  <si>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</si>
  <si>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</si>
  <si>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</si>
  <si>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</si>
  <si>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</si>
  <si>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</si>
  <si>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</si>
  <si>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</si>
  <si>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</si>
  <si>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</si>
  <si>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</si>
  <si>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</si>
  <si>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</si>
  <si>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</si>
  <si>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</si>
  <si>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</si>
  <si>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</si>
  <si>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Robert Mach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</si>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</sst>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3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7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9F13D-D5CC-4167-8CF7-6A5B09510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scogin@myarborhealth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cscogin@myarborhealth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D5D9-A56B-4E24-BA85-CAC1809B4137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5" t="s">
        <v>28</v>
      </c>
      <c r="B36" s="346"/>
      <c r="C36" s="347"/>
      <c r="D36" s="346"/>
      <c r="E36" s="346"/>
      <c r="F36" s="346"/>
      <c r="G36" s="346"/>
    </row>
    <row r="37" spans="1:83" x14ac:dyDescent="0.35">
      <c r="A37" s="348" t="s">
        <v>29</v>
      </c>
      <c r="B37" s="349"/>
      <c r="C37" s="347"/>
      <c r="D37" s="346"/>
      <c r="E37" s="346"/>
      <c r="F37" s="346"/>
      <c r="G37" s="346"/>
    </row>
    <row r="38" spans="1:83" x14ac:dyDescent="0.35">
      <c r="A38" s="350" t="s">
        <v>30</v>
      </c>
      <c r="B38" s="349"/>
      <c r="C38" s="347"/>
      <c r="D38" s="346"/>
      <c r="E38" s="346"/>
      <c r="F38" s="346"/>
      <c r="G38" s="346"/>
    </row>
    <row r="39" spans="1:83" x14ac:dyDescent="0.35">
      <c r="A39" s="351" t="s">
        <v>31</v>
      </c>
      <c r="B39" s="346"/>
      <c r="C39" s="347"/>
      <c r="D39" s="346"/>
      <c r="E39" s="346"/>
      <c r="F39" s="346"/>
      <c r="G39" s="346"/>
    </row>
    <row r="40" spans="1:83" x14ac:dyDescent="0.35">
      <c r="A40" s="350" t="s">
        <v>32</v>
      </c>
      <c r="B40" s="346"/>
      <c r="C40" s="347"/>
      <c r="D40" s="346"/>
      <c r="E40" s="346"/>
      <c r="F40" s="346"/>
      <c r="G40" s="34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0</v>
      </c>
      <c r="C47" s="317">
        <v>0</v>
      </c>
      <c r="D47" s="317">
        <v>0</v>
      </c>
      <c r="E47" s="317">
        <v>179180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14618</v>
      </c>
      <c r="Q47" s="317">
        <v>0</v>
      </c>
      <c r="R47" s="317">
        <v>53784</v>
      </c>
      <c r="S47" s="317">
        <v>3235</v>
      </c>
      <c r="T47" s="317">
        <v>0</v>
      </c>
      <c r="U47" s="317">
        <v>50108</v>
      </c>
      <c r="V47" s="317">
        <v>0</v>
      </c>
      <c r="W47" s="317">
        <v>0</v>
      </c>
      <c r="X47" s="317">
        <v>0</v>
      </c>
      <c r="Y47" s="317">
        <v>102776</v>
      </c>
      <c r="Z47" s="317">
        <v>0</v>
      </c>
      <c r="AA47" s="317">
        <v>0</v>
      </c>
      <c r="AB47" s="317">
        <v>25877</v>
      </c>
      <c r="AC47" s="317">
        <v>21209</v>
      </c>
      <c r="AD47" s="317">
        <v>0</v>
      </c>
      <c r="AE47" s="317">
        <v>92623</v>
      </c>
      <c r="AF47" s="317">
        <v>0</v>
      </c>
      <c r="AG47" s="317">
        <f>107480+98167</f>
        <v>205647</v>
      </c>
      <c r="AH47" s="317">
        <v>0</v>
      </c>
      <c r="AI47" s="317">
        <v>0</v>
      </c>
      <c r="AJ47" s="317">
        <v>399889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18576</v>
      </c>
      <c r="AW47" s="317">
        <v>0</v>
      </c>
      <c r="AX47" s="317">
        <v>0</v>
      </c>
      <c r="AY47" s="317">
        <v>41107</v>
      </c>
      <c r="AZ47" s="317">
        <v>0</v>
      </c>
      <c r="BA47" s="317">
        <v>4083</v>
      </c>
      <c r="BB47" s="317">
        <v>0</v>
      </c>
      <c r="BC47" s="317">
        <v>0</v>
      </c>
      <c r="BD47" s="317">
        <v>16845</v>
      </c>
      <c r="BE47" s="317">
        <v>44312</v>
      </c>
      <c r="BF47" s="317">
        <v>40542</v>
      </c>
      <c r="BG47" s="317">
        <v>12943</v>
      </c>
      <c r="BH47" s="317">
        <f>29085+27170</f>
        <v>56255</v>
      </c>
      <c r="BI47" s="317">
        <v>0</v>
      </c>
      <c r="BJ47" s="317">
        <v>31478</v>
      </c>
      <c r="BK47" s="317">
        <v>70168</v>
      </c>
      <c r="BL47" s="317">
        <v>43628</v>
      </c>
      <c r="BM47" s="317">
        <v>0</v>
      </c>
      <c r="BN47" s="317">
        <f>87841+1866</f>
        <v>89707</v>
      </c>
      <c r="BO47" s="317">
        <v>8418</v>
      </c>
      <c r="BP47" s="317">
        <v>0</v>
      </c>
      <c r="BQ47" s="317">
        <v>0</v>
      </c>
      <c r="BR47" s="317">
        <v>51562</v>
      </c>
      <c r="BS47" s="317">
        <v>0</v>
      </c>
      <c r="BT47" s="317">
        <v>0</v>
      </c>
      <c r="BU47" s="317">
        <v>0</v>
      </c>
      <c r="BV47" s="317">
        <v>15766</v>
      </c>
      <c r="BW47" s="317">
        <v>0</v>
      </c>
      <c r="BX47" s="317">
        <f>19332+1743+15234</f>
        <v>36309</v>
      </c>
      <c r="BY47" s="317">
        <v>56818</v>
      </c>
      <c r="BZ47" s="317">
        <v>0</v>
      </c>
      <c r="CA47" s="317">
        <v>0</v>
      </c>
      <c r="CB47" s="317">
        <v>0</v>
      </c>
      <c r="CC47" s="317">
        <v>5047</v>
      </c>
      <c r="CD47" s="16"/>
      <c r="CE47" s="28">
        <f>SUM(C47:CC47)</f>
        <v>1792510</v>
      </c>
    </row>
    <row r="48" spans="1:83" x14ac:dyDescent="0.35">
      <c r="A48" s="28" t="s">
        <v>232</v>
      </c>
      <c r="B48" s="316">
        <v>2660377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279185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155193</v>
      </c>
      <c r="Q48" s="28">
        <f t="shared" si="0"/>
        <v>0</v>
      </c>
      <c r="R48" s="28">
        <f t="shared" si="0"/>
        <v>59659</v>
      </c>
      <c r="S48" s="28">
        <f t="shared" si="0"/>
        <v>5425</v>
      </c>
      <c r="T48" s="28">
        <f t="shared" si="0"/>
        <v>0</v>
      </c>
      <c r="U48" s="28">
        <f t="shared" si="0"/>
        <v>117184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150104</v>
      </c>
      <c r="Z48" s="28">
        <f t="shared" si="0"/>
        <v>0</v>
      </c>
      <c r="AA48" s="28">
        <f t="shared" si="0"/>
        <v>0</v>
      </c>
      <c r="AB48" s="28">
        <f t="shared" si="0"/>
        <v>43089</v>
      </c>
      <c r="AC48" s="28">
        <f t="shared" si="0"/>
        <v>39193</v>
      </c>
      <c r="AD48" s="28">
        <f t="shared" si="0"/>
        <v>0</v>
      </c>
      <c r="AE48" s="28">
        <f t="shared" si="0"/>
        <v>164022</v>
      </c>
      <c r="AF48" s="28">
        <f t="shared" si="0"/>
        <v>0</v>
      </c>
      <c r="AG48" s="28">
        <f t="shared" si="0"/>
        <v>335744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576442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32185</v>
      </c>
      <c r="AW48" s="28">
        <f t="shared" si="1"/>
        <v>0</v>
      </c>
      <c r="AX48" s="28">
        <f t="shared" si="1"/>
        <v>0</v>
      </c>
      <c r="AY48" s="28">
        <f t="shared" si="1"/>
        <v>46781</v>
      </c>
      <c r="AZ48" s="28">
        <f t="shared" si="1"/>
        <v>0</v>
      </c>
      <c r="BA48" s="28">
        <f t="shared" si="1"/>
        <v>5032</v>
      </c>
      <c r="BB48" s="28">
        <f t="shared" si="1"/>
        <v>0</v>
      </c>
      <c r="BC48" s="28">
        <f t="shared" si="1"/>
        <v>0</v>
      </c>
      <c r="BD48" s="28">
        <f t="shared" si="1"/>
        <v>21258</v>
      </c>
      <c r="BE48" s="28">
        <f t="shared" si="1"/>
        <v>55363</v>
      </c>
      <c r="BF48" s="28">
        <f t="shared" si="1"/>
        <v>51436</v>
      </c>
      <c r="BG48" s="28">
        <f t="shared" si="1"/>
        <v>10708</v>
      </c>
      <c r="BH48" s="28">
        <f t="shared" si="1"/>
        <v>67677</v>
      </c>
      <c r="BI48" s="28">
        <f t="shared" si="1"/>
        <v>0</v>
      </c>
      <c r="BJ48" s="28">
        <f t="shared" si="1"/>
        <v>30661</v>
      </c>
      <c r="BK48" s="28">
        <f t="shared" si="1"/>
        <v>74004</v>
      </c>
      <c r="BL48" s="28">
        <f t="shared" si="1"/>
        <v>51763</v>
      </c>
      <c r="BM48" s="28">
        <f t="shared" si="1"/>
        <v>0</v>
      </c>
      <c r="BN48" s="28">
        <f t="shared" si="1"/>
        <v>91097</v>
      </c>
      <c r="BO48" s="28">
        <f t="shared" ref="BO48:CD48" si="2">IF($B$48,(ROUND((($B$48/$CE$61)*BO61),0)))</f>
        <v>7505</v>
      </c>
      <c r="BP48" s="28">
        <f t="shared" si="2"/>
        <v>0</v>
      </c>
      <c r="BQ48" s="28">
        <f t="shared" si="2"/>
        <v>0</v>
      </c>
      <c r="BR48" s="28">
        <f t="shared" si="2"/>
        <v>43794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23049</v>
      </c>
      <c r="BW48" s="28">
        <f t="shared" si="2"/>
        <v>0</v>
      </c>
      <c r="BX48" s="28">
        <f t="shared" si="2"/>
        <v>32280</v>
      </c>
      <c r="BY48" s="28">
        <f t="shared" si="2"/>
        <v>84417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6127</v>
      </c>
      <c r="CD48" s="28">
        <f t="shared" si="2"/>
        <v>0</v>
      </c>
      <c r="CE48" s="28">
        <f>SUM(C48:CD48)</f>
        <v>2660377</v>
      </c>
    </row>
    <row r="49" spans="1:83" x14ac:dyDescent="0.35">
      <c r="A49" s="16" t="s">
        <v>233</v>
      </c>
      <c r="B49" s="28">
        <f>B47+B48</f>
        <v>2660377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0</v>
      </c>
      <c r="C51" s="317">
        <v>0</v>
      </c>
      <c r="D51" s="317">
        <v>0</v>
      </c>
      <c r="E51" s="317">
        <v>0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  <c r="Q51" s="317">
        <v>0</v>
      </c>
      <c r="R51" s="317">
        <v>0</v>
      </c>
      <c r="S51" s="317">
        <v>0</v>
      </c>
      <c r="T51" s="317">
        <v>0</v>
      </c>
      <c r="U51" s="317">
        <v>0</v>
      </c>
      <c r="V51" s="317">
        <v>0</v>
      </c>
      <c r="W51" s="317">
        <v>0</v>
      </c>
      <c r="X51" s="317">
        <v>0</v>
      </c>
      <c r="Y51" s="317">
        <v>0</v>
      </c>
      <c r="Z51" s="317">
        <v>0</v>
      </c>
      <c r="AA51" s="317">
        <v>0</v>
      </c>
      <c r="AB51" s="317">
        <v>0</v>
      </c>
      <c r="AC51" s="317">
        <v>0</v>
      </c>
      <c r="AD51" s="317">
        <v>0</v>
      </c>
      <c r="AE51" s="317">
        <v>0</v>
      </c>
      <c r="AF51" s="317">
        <v>0</v>
      </c>
      <c r="AG51" s="317">
        <v>0</v>
      </c>
      <c r="AH51" s="317">
        <v>0</v>
      </c>
      <c r="AI51" s="317">
        <v>0</v>
      </c>
      <c r="AJ51" s="317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0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0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0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0</v>
      </c>
    </row>
    <row r="52" spans="1:83" x14ac:dyDescent="0.35">
      <c r="A52" s="35" t="s">
        <v>235</v>
      </c>
      <c r="B52" s="318">
        <v>1499968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350573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24783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20136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46907</v>
      </c>
      <c r="Z52" s="28">
        <f t="shared" si="3"/>
        <v>0</v>
      </c>
      <c r="AA52" s="28">
        <f t="shared" si="3"/>
        <v>0</v>
      </c>
      <c r="AB52" s="28">
        <f t="shared" si="3"/>
        <v>9523</v>
      </c>
      <c r="AC52" s="28">
        <f t="shared" si="3"/>
        <v>18970</v>
      </c>
      <c r="AD52" s="28">
        <f t="shared" si="3"/>
        <v>0</v>
      </c>
      <c r="AE52" s="28">
        <f t="shared" si="3"/>
        <v>54040</v>
      </c>
      <c r="AF52" s="28">
        <f t="shared" si="3"/>
        <v>0</v>
      </c>
      <c r="AG52" s="28">
        <f t="shared" si="3"/>
        <v>67655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154357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63353</v>
      </c>
      <c r="AW52" s="28">
        <f t="shared" si="4"/>
        <v>0</v>
      </c>
      <c r="AX52" s="28">
        <f t="shared" si="4"/>
        <v>0</v>
      </c>
      <c r="AY52" s="28">
        <f t="shared" si="4"/>
        <v>53849</v>
      </c>
      <c r="AZ52" s="28">
        <f t="shared" si="4"/>
        <v>0</v>
      </c>
      <c r="BA52" s="28">
        <f t="shared" si="4"/>
        <v>12946</v>
      </c>
      <c r="BB52" s="28">
        <f t="shared" si="4"/>
        <v>0</v>
      </c>
      <c r="BC52" s="28">
        <f t="shared" si="4"/>
        <v>0</v>
      </c>
      <c r="BD52" s="28">
        <f t="shared" si="4"/>
        <v>14418</v>
      </c>
      <c r="BE52" s="28">
        <f t="shared" si="4"/>
        <v>463414</v>
      </c>
      <c r="BF52" s="28">
        <f t="shared" si="4"/>
        <v>7630</v>
      </c>
      <c r="BG52" s="28">
        <f t="shared" si="4"/>
        <v>8720</v>
      </c>
      <c r="BH52" s="28">
        <f t="shared" si="4"/>
        <v>1530</v>
      </c>
      <c r="BI52" s="28">
        <f t="shared" si="4"/>
        <v>0</v>
      </c>
      <c r="BJ52" s="28">
        <f t="shared" si="4"/>
        <v>26198</v>
      </c>
      <c r="BK52" s="28">
        <f t="shared" si="4"/>
        <v>26198</v>
      </c>
      <c r="BL52" s="28">
        <f t="shared" si="4"/>
        <v>11779</v>
      </c>
      <c r="BM52" s="28">
        <f t="shared" si="4"/>
        <v>0</v>
      </c>
      <c r="BN52" s="28">
        <f t="shared" si="4"/>
        <v>17038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10747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21685</v>
      </c>
      <c r="BW52" s="28">
        <f t="shared" si="5"/>
        <v>0</v>
      </c>
      <c r="BX52" s="28">
        <f t="shared" si="5"/>
        <v>0</v>
      </c>
      <c r="BY52" s="28">
        <f t="shared" si="5"/>
        <v>13520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1499969</v>
      </c>
    </row>
    <row r="53" spans="1:83" x14ac:dyDescent="0.35">
      <c r="A53" s="16" t="s">
        <v>233</v>
      </c>
      <c r="B53" s="28">
        <f>B51+B52</f>
        <v>1499968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0</v>
      </c>
      <c r="D59" s="317">
        <v>0</v>
      </c>
      <c r="E59" s="317">
        <v>503</v>
      </c>
      <c r="F59" s="317">
        <v>0</v>
      </c>
      <c r="G59" s="317">
        <v>0</v>
      </c>
      <c r="H59" s="317">
        <v>0</v>
      </c>
      <c r="I59" s="317">
        <v>0</v>
      </c>
      <c r="J59" s="317">
        <v>0</v>
      </c>
      <c r="K59" s="317">
        <v>0</v>
      </c>
      <c r="L59" s="317">
        <v>902</v>
      </c>
      <c r="M59" s="317">
        <v>0</v>
      </c>
      <c r="N59" s="317">
        <v>0</v>
      </c>
      <c r="O59" s="317">
        <v>0</v>
      </c>
      <c r="P59" s="319">
        <v>40501</v>
      </c>
      <c r="Q59" s="319">
        <v>0</v>
      </c>
      <c r="R59" s="319">
        <v>42139</v>
      </c>
      <c r="S59" s="244">
        <v>0</v>
      </c>
      <c r="T59" s="244">
        <v>0</v>
      </c>
      <c r="U59" s="320">
        <v>46906</v>
      </c>
      <c r="V59" s="319">
        <v>0</v>
      </c>
      <c r="W59" s="319">
        <v>417</v>
      </c>
      <c r="X59" s="319">
        <v>2534</v>
      </c>
      <c r="Y59" s="319">
        <v>5267</v>
      </c>
      <c r="Z59" s="319">
        <v>0</v>
      </c>
      <c r="AA59" s="319">
        <v>53</v>
      </c>
      <c r="AB59" s="244">
        <v>0</v>
      </c>
      <c r="AC59" s="319">
        <v>3815</v>
      </c>
      <c r="AD59" s="319">
        <v>0</v>
      </c>
      <c r="AE59" s="319">
        <v>26935</v>
      </c>
      <c r="AF59" s="319">
        <v>0</v>
      </c>
      <c r="AG59" s="319">
        <v>5474</v>
      </c>
      <c r="AH59" s="319">
        <v>0</v>
      </c>
      <c r="AI59" s="319">
        <v>0</v>
      </c>
      <c r="AJ59" s="319">
        <v>26228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22575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78440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1">
        <v>0</v>
      </c>
      <c r="D60" s="321">
        <v>0</v>
      </c>
      <c r="E60" s="321">
        <v>19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7</v>
      </c>
      <c r="Q60" s="322">
        <v>0</v>
      </c>
      <c r="R60" s="322">
        <v>1</v>
      </c>
      <c r="S60" s="323">
        <v>2</v>
      </c>
      <c r="T60" s="323">
        <v>0</v>
      </c>
      <c r="U60" s="324">
        <v>8</v>
      </c>
      <c r="V60" s="322">
        <v>0</v>
      </c>
      <c r="W60" s="322">
        <v>0</v>
      </c>
      <c r="X60" s="322">
        <v>0</v>
      </c>
      <c r="Y60" s="322">
        <v>10</v>
      </c>
      <c r="Z60" s="322">
        <v>0</v>
      </c>
      <c r="AA60" s="322">
        <v>0</v>
      </c>
      <c r="AB60" s="323">
        <v>0</v>
      </c>
      <c r="AC60" s="322">
        <v>3</v>
      </c>
      <c r="AD60" s="322">
        <v>0</v>
      </c>
      <c r="AE60" s="322">
        <v>13</v>
      </c>
      <c r="AF60" s="322">
        <v>0</v>
      </c>
      <c r="AG60" s="322">
        <v>16</v>
      </c>
      <c r="AH60" s="322">
        <v>0</v>
      </c>
      <c r="AI60" s="322">
        <v>0</v>
      </c>
      <c r="AJ60" s="322">
        <v>47</v>
      </c>
      <c r="AK60" s="322">
        <v>0</v>
      </c>
      <c r="AL60" s="322">
        <v>0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0</v>
      </c>
      <c r="AW60" s="323">
        <v>0</v>
      </c>
      <c r="AX60" s="323">
        <v>0</v>
      </c>
      <c r="AY60" s="322">
        <v>8</v>
      </c>
      <c r="AZ60" s="322">
        <v>0</v>
      </c>
      <c r="BA60" s="323">
        <v>1</v>
      </c>
      <c r="BB60" s="323">
        <v>0</v>
      </c>
      <c r="BC60" s="323">
        <v>0</v>
      </c>
      <c r="BD60" s="323">
        <v>4</v>
      </c>
      <c r="BE60" s="322">
        <v>6</v>
      </c>
      <c r="BF60" s="323">
        <v>10</v>
      </c>
      <c r="BG60" s="323">
        <v>1</v>
      </c>
      <c r="BH60" s="323">
        <v>6</v>
      </c>
      <c r="BI60" s="323">
        <v>0</v>
      </c>
      <c r="BJ60" s="323">
        <v>3</v>
      </c>
      <c r="BK60" s="323">
        <v>10</v>
      </c>
      <c r="BL60" s="323">
        <v>9</v>
      </c>
      <c r="BM60" s="323">
        <v>0</v>
      </c>
      <c r="BN60" s="323">
        <v>4</v>
      </c>
      <c r="BO60" s="323">
        <v>1</v>
      </c>
      <c r="BP60" s="323">
        <v>0</v>
      </c>
      <c r="BQ60" s="323">
        <v>0</v>
      </c>
      <c r="BR60" s="323">
        <v>4</v>
      </c>
      <c r="BS60" s="323">
        <v>0</v>
      </c>
      <c r="BT60" s="323">
        <v>0</v>
      </c>
      <c r="BU60" s="323">
        <v>0</v>
      </c>
      <c r="BV60" s="323">
        <v>4</v>
      </c>
      <c r="BW60" s="323">
        <v>0</v>
      </c>
      <c r="BX60" s="323">
        <v>2</v>
      </c>
      <c r="BY60" s="323">
        <v>5</v>
      </c>
      <c r="BZ60" s="323">
        <v>0</v>
      </c>
      <c r="CA60" s="323">
        <v>0</v>
      </c>
      <c r="CB60" s="323">
        <v>0</v>
      </c>
      <c r="CC60" s="323">
        <v>1</v>
      </c>
      <c r="CD60" s="219" t="s">
        <v>248</v>
      </c>
      <c r="CE60" s="237">
        <f t="shared" ref="CE60:CE68" si="6">SUM(C60:CD60)</f>
        <v>205</v>
      </c>
    </row>
    <row r="61" spans="1:83" x14ac:dyDescent="0.35">
      <c r="A61" s="35" t="s">
        <v>263</v>
      </c>
      <c r="B61" s="16"/>
      <c r="C61" s="317">
        <v>0</v>
      </c>
      <c r="D61" s="317">
        <v>0</v>
      </c>
      <c r="E61" s="317">
        <v>2355588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1309426</v>
      </c>
      <c r="Q61" s="319">
        <v>0</v>
      </c>
      <c r="R61" s="319">
        <v>503369</v>
      </c>
      <c r="S61" s="325">
        <v>45770</v>
      </c>
      <c r="T61" s="325">
        <v>0</v>
      </c>
      <c r="U61" s="320">
        <v>988727</v>
      </c>
      <c r="V61" s="319">
        <v>0</v>
      </c>
      <c r="W61" s="319">
        <v>0</v>
      </c>
      <c r="X61" s="319">
        <v>0</v>
      </c>
      <c r="Y61" s="319">
        <f>1234585+31900</f>
        <v>1266485</v>
      </c>
      <c r="Z61" s="319">
        <v>0</v>
      </c>
      <c r="AA61" s="319">
        <v>0</v>
      </c>
      <c r="AB61" s="326">
        <v>363556</v>
      </c>
      <c r="AC61" s="319">
        <v>330689</v>
      </c>
      <c r="AD61" s="319">
        <v>0</v>
      </c>
      <c r="AE61" s="319">
        <v>1383919</v>
      </c>
      <c r="AF61" s="319">
        <v>0</v>
      </c>
      <c r="AG61" s="319">
        <f>1442966+1389834</f>
        <v>2832800</v>
      </c>
      <c r="AH61" s="319">
        <v>0</v>
      </c>
      <c r="AI61" s="319">
        <v>0</v>
      </c>
      <c r="AJ61" s="319">
        <v>4863660</v>
      </c>
      <c r="AK61" s="319">
        <v>0</v>
      </c>
      <c r="AL61" s="319">
        <v>0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f>140201+131360</f>
        <v>271561</v>
      </c>
      <c r="AW61" s="325">
        <v>0</v>
      </c>
      <c r="AX61" s="325">
        <v>0</v>
      </c>
      <c r="AY61" s="319">
        <v>394705</v>
      </c>
      <c r="AZ61" s="319">
        <v>0</v>
      </c>
      <c r="BA61" s="325">
        <v>42455</v>
      </c>
      <c r="BB61" s="325">
        <v>0</v>
      </c>
      <c r="BC61" s="325">
        <v>0</v>
      </c>
      <c r="BD61" s="325">
        <v>179358</v>
      </c>
      <c r="BE61" s="319">
        <v>467118</v>
      </c>
      <c r="BF61" s="325">
        <v>433989</v>
      </c>
      <c r="BG61" s="325">
        <v>90345</v>
      </c>
      <c r="BH61" s="325">
        <f>245775+325242</f>
        <v>571017</v>
      </c>
      <c r="BI61" s="325">
        <v>0</v>
      </c>
      <c r="BJ61" s="325">
        <v>258695</v>
      </c>
      <c r="BK61" s="325">
        <v>624403</v>
      </c>
      <c r="BL61" s="325">
        <v>436740</v>
      </c>
      <c r="BM61" s="325">
        <v>0</v>
      </c>
      <c r="BN61" s="325">
        <f>743693+24923</f>
        <v>768616</v>
      </c>
      <c r="BO61" s="325">
        <v>63320</v>
      </c>
      <c r="BP61" s="325">
        <v>0</v>
      </c>
      <c r="BQ61" s="325">
        <v>0</v>
      </c>
      <c r="BR61" s="325">
        <v>369504</v>
      </c>
      <c r="BS61" s="325">
        <v>0</v>
      </c>
      <c r="BT61" s="325">
        <v>0</v>
      </c>
      <c r="BU61" s="325">
        <v>0</v>
      </c>
      <c r="BV61" s="325">
        <v>194470</v>
      </c>
      <c r="BW61" s="325">
        <v>0</v>
      </c>
      <c r="BX61" s="325">
        <f>137115+24293+110952</f>
        <v>272360</v>
      </c>
      <c r="BY61" s="325">
        <v>712259</v>
      </c>
      <c r="BZ61" s="325">
        <v>0</v>
      </c>
      <c r="CA61" s="325">
        <v>0</v>
      </c>
      <c r="CB61" s="325">
        <v>0</v>
      </c>
      <c r="CC61" s="325">
        <v>51699</v>
      </c>
      <c r="CD61" s="25" t="s">
        <v>248</v>
      </c>
      <c r="CE61" s="28">
        <f t="shared" si="6"/>
        <v>22446603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458365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169811</v>
      </c>
      <c r="Q62" s="28">
        <f t="shared" si="7"/>
        <v>0</v>
      </c>
      <c r="R62" s="28">
        <f t="shared" si="7"/>
        <v>113443</v>
      </c>
      <c r="S62" s="28">
        <f t="shared" si="7"/>
        <v>8660</v>
      </c>
      <c r="T62" s="28">
        <f t="shared" si="7"/>
        <v>0</v>
      </c>
      <c r="U62" s="28">
        <f t="shared" si="7"/>
        <v>167292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252880</v>
      </c>
      <c r="Z62" s="28">
        <f t="shared" si="7"/>
        <v>0</v>
      </c>
      <c r="AA62" s="28">
        <f t="shared" si="7"/>
        <v>0</v>
      </c>
      <c r="AB62" s="28">
        <f t="shared" si="7"/>
        <v>68966</v>
      </c>
      <c r="AC62" s="28">
        <f t="shared" si="7"/>
        <v>60402</v>
      </c>
      <c r="AD62" s="28">
        <f t="shared" si="7"/>
        <v>0</v>
      </c>
      <c r="AE62" s="28">
        <f t="shared" si="7"/>
        <v>256645</v>
      </c>
      <c r="AF62" s="28">
        <f t="shared" si="7"/>
        <v>0</v>
      </c>
      <c r="AG62" s="28">
        <f t="shared" si="7"/>
        <v>541391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976331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50761</v>
      </c>
      <c r="AW62" s="28">
        <f t="shared" si="8"/>
        <v>0</v>
      </c>
      <c r="AX62" s="28">
        <f t="shared" si="8"/>
        <v>0</v>
      </c>
      <c r="AY62" s="28">
        <f t="shared" si="8"/>
        <v>87888</v>
      </c>
      <c r="AZ62" s="28">
        <f t="shared" si="8"/>
        <v>0</v>
      </c>
      <c r="BA62" s="28">
        <f t="shared" si="8"/>
        <v>9115</v>
      </c>
      <c r="BB62" s="28">
        <f t="shared" si="8"/>
        <v>0</v>
      </c>
      <c r="BC62" s="28">
        <f t="shared" si="8"/>
        <v>0</v>
      </c>
      <c r="BD62" s="28">
        <f t="shared" si="8"/>
        <v>38103</v>
      </c>
      <c r="BE62" s="28">
        <f t="shared" si="8"/>
        <v>99675</v>
      </c>
      <c r="BF62" s="28">
        <f t="shared" si="8"/>
        <v>91978</v>
      </c>
      <c r="BG62" s="28">
        <f t="shared" si="8"/>
        <v>23651</v>
      </c>
      <c r="BH62" s="28">
        <f t="shared" si="8"/>
        <v>123932</v>
      </c>
      <c r="BI62" s="28">
        <f t="shared" si="8"/>
        <v>0</v>
      </c>
      <c r="BJ62" s="28">
        <f t="shared" si="8"/>
        <v>62139</v>
      </c>
      <c r="BK62" s="28">
        <f t="shared" si="8"/>
        <v>144172</v>
      </c>
      <c r="BL62" s="28">
        <f t="shared" si="8"/>
        <v>95391</v>
      </c>
      <c r="BM62" s="28">
        <f t="shared" si="8"/>
        <v>0</v>
      </c>
      <c r="BN62" s="28">
        <f t="shared" si="8"/>
        <v>180804</v>
      </c>
      <c r="BO62" s="28">
        <f t="shared" ref="BO62:CC62" si="9">ROUND(BO47+BO48,0)</f>
        <v>15923</v>
      </c>
      <c r="BP62" s="28">
        <f t="shared" si="9"/>
        <v>0</v>
      </c>
      <c r="BQ62" s="28">
        <f t="shared" si="9"/>
        <v>0</v>
      </c>
      <c r="BR62" s="28">
        <f t="shared" si="9"/>
        <v>95356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38815</v>
      </c>
      <c r="BW62" s="28">
        <f t="shared" si="9"/>
        <v>0</v>
      </c>
      <c r="BX62" s="28">
        <f t="shared" si="9"/>
        <v>68589</v>
      </c>
      <c r="BY62" s="28">
        <f t="shared" si="9"/>
        <v>141235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11174</v>
      </c>
      <c r="CD62" s="25" t="s">
        <v>248</v>
      </c>
      <c r="CE62" s="28">
        <f t="shared" si="6"/>
        <v>4452887</v>
      </c>
    </row>
    <row r="63" spans="1:83" x14ac:dyDescent="0.35">
      <c r="A63" s="35" t="s">
        <v>264</v>
      </c>
      <c r="B63" s="16"/>
      <c r="C63" s="317">
        <v>0</v>
      </c>
      <c r="D63" s="317">
        <v>0</v>
      </c>
      <c r="E63" s="317">
        <v>570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660</v>
      </c>
      <c r="Q63" s="319">
        <v>0</v>
      </c>
      <c r="R63" s="319">
        <v>0</v>
      </c>
      <c r="S63" s="325">
        <v>0</v>
      </c>
      <c r="T63" s="325">
        <v>0</v>
      </c>
      <c r="U63" s="320">
        <v>0</v>
      </c>
      <c r="V63" s="319">
        <v>0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f>150+20160</f>
        <v>20310</v>
      </c>
      <c r="AC63" s="319">
        <v>4575</v>
      </c>
      <c r="AD63" s="319">
        <v>0</v>
      </c>
      <c r="AE63" s="319">
        <v>0</v>
      </c>
      <c r="AF63" s="319">
        <v>0</v>
      </c>
      <c r="AG63" s="319">
        <f>7042+698210</f>
        <v>705252</v>
      </c>
      <c r="AH63" s="319">
        <v>0</v>
      </c>
      <c r="AI63" s="319">
        <v>0</v>
      </c>
      <c r="AJ63" s="319">
        <f>44855+215073</f>
        <v>259928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434</v>
      </c>
      <c r="BF63" s="325">
        <v>0</v>
      </c>
      <c r="BG63" s="325">
        <v>0</v>
      </c>
      <c r="BH63" s="325">
        <v>0</v>
      </c>
      <c r="BI63" s="325">
        <v>0</v>
      </c>
      <c r="BJ63" s="325">
        <v>63893</v>
      </c>
      <c r="BK63" s="325">
        <v>305864</v>
      </c>
      <c r="BL63" s="325">
        <v>0</v>
      </c>
      <c r="BM63" s="325">
        <v>0</v>
      </c>
      <c r="BN63" s="325">
        <f>54324+1200</f>
        <v>55524</v>
      </c>
      <c r="BO63" s="325">
        <v>0</v>
      </c>
      <c r="BP63" s="325">
        <v>0</v>
      </c>
      <c r="BQ63" s="325">
        <v>0</v>
      </c>
      <c r="BR63" s="325">
        <v>16884</v>
      </c>
      <c r="BS63" s="325">
        <v>0</v>
      </c>
      <c r="BT63" s="325">
        <v>0</v>
      </c>
      <c r="BU63" s="325">
        <v>0</v>
      </c>
      <c r="BV63" s="325">
        <v>0</v>
      </c>
      <c r="BW63" s="325">
        <v>0</v>
      </c>
      <c r="BX63" s="325">
        <v>5755</v>
      </c>
      <c r="BY63" s="325">
        <v>13410</v>
      </c>
      <c r="BZ63" s="325">
        <v>0</v>
      </c>
      <c r="CA63" s="325">
        <v>0</v>
      </c>
      <c r="CB63" s="325">
        <v>0</v>
      </c>
      <c r="CC63" s="325">
        <v>0</v>
      </c>
      <c r="CD63" s="25" t="s">
        <v>248</v>
      </c>
      <c r="CE63" s="28">
        <f t="shared" si="6"/>
        <v>1453059</v>
      </c>
    </row>
    <row r="64" spans="1:83" x14ac:dyDescent="0.35">
      <c r="A64" s="35" t="s">
        <v>265</v>
      </c>
      <c r="B64" s="16"/>
      <c r="C64" s="317">
        <v>0</v>
      </c>
      <c r="D64" s="317">
        <v>0</v>
      </c>
      <c r="E64" s="317">
        <v>78945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638753</v>
      </c>
      <c r="Q64" s="319">
        <v>0</v>
      </c>
      <c r="R64" s="319">
        <v>11809</v>
      </c>
      <c r="S64" s="325">
        <v>22388</v>
      </c>
      <c r="T64" s="325">
        <v>0</v>
      </c>
      <c r="U64" s="320">
        <v>451919</v>
      </c>
      <c r="V64" s="319">
        <v>0</v>
      </c>
      <c r="W64" s="319">
        <v>0</v>
      </c>
      <c r="X64" s="319">
        <v>27522</v>
      </c>
      <c r="Y64" s="319">
        <v>11179</v>
      </c>
      <c r="Z64" s="319">
        <v>0</v>
      </c>
      <c r="AA64" s="319">
        <v>17802</v>
      </c>
      <c r="AB64" s="326">
        <f>254717+52365</f>
        <v>307082</v>
      </c>
      <c r="AC64" s="319">
        <v>10999</v>
      </c>
      <c r="AD64" s="319">
        <v>0</v>
      </c>
      <c r="AE64" s="319">
        <v>23188</v>
      </c>
      <c r="AF64" s="319">
        <v>0</v>
      </c>
      <c r="AG64" s="319">
        <f>154340+4529</f>
        <v>158869</v>
      </c>
      <c r="AH64" s="319">
        <v>0</v>
      </c>
      <c r="AI64" s="319">
        <v>0</v>
      </c>
      <c r="AJ64" s="319">
        <v>353871</v>
      </c>
      <c r="AK64" s="319">
        <v>0</v>
      </c>
      <c r="AL64" s="319">
        <v>0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489273</v>
      </c>
      <c r="AW64" s="325">
        <v>0</v>
      </c>
      <c r="AX64" s="325">
        <v>0</v>
      </c>
      <c r="AY64" s="319">
        <v>147170</v>
      </c>
      <c r="AZ64" s="319">
        <v>0</v>
      </c>
      <c r="BA64" s="325">
        <v>30734</v>
      </c>
      <c r="BB64" s="325">
        <v>0</v>
      </c>
      <c r="BC64" s="325">
        <v>0</v>
      </c>
      <c r="BD64" s="325">
        <v>3594</v>
      </c>
      <c r="BE64" s="319">
        <v>55919</v>
      </c>
      <c r="BF64" s="325">
        <v>64695</v>
      </c>
      <c r="BG64" s="325">
        <v>31472</v>
      </c>
      <c r="BH64" s="325">
        <v>78368</v>
      </c>
      <c r="BI64" s="325">
        <v>0</v>
      </c>
      <c r="BJ64" s="325">
        <v>1514</v>
      </c>
      <c r="BK64" s="325">
        <v>2659</v>
      </c>
      <c r="BL64" s="325">
        <v>4616</v>
      </c>
      <c r="BM64" s="325">
        <v>0</v>
      </c>
      <c r="BN64" s="325">
        <v>4888</v>
      </c>
      <c r="BO64" s="325">
        <v>7193</v>
      </c>
      <c r="BP64" s="325">
        <v>0</v>
      </c>
      <c r="BQ64" s="325">
        <v>0</v>
      </c>
      <c r="BR64" s="325">
        <v>2184</v>
      </c>
      <c r="BS64" s="325">
        <v>0</v>
      </c>
      <c r="BT64" s="325">
        <v>0</v>
      </c>
      <c r="BU64" s="325">
        <v>0</v>
      </c>
      <c r="BV64" s="325">
        <v>1715</v>
      </c>
      <c r="BW64" s="325">
        <v>0</v>
      </c>
      <c r="BX64" s="325">
        <v>0</v>
      </c>
      <c r="BY64" s="325">
        <v>0</v>
      </c>
      <c r="BZ64" s="325">
        <v>0</v>
      </c>
      <c r="CA64" s="325">
        <v>0</v>
      </c>
      <c r="CB64" s="325">
        <v>0</v>
      </c>
      <c r="CC64" s="325">
        <v>28574</v>
      </c>
      <c r="CD64" s="25" t="s">
        <v>248</v>
      </c>
      <c r="CE64" s="28">
        <f t="shared" si="6"/>
        <v>3068894</v>
      </c>
    </row>
    <row r="65" spans="1:83" x14ac:dyDescent="0.35">
      <c r="A65" s="35" t="s">
        <v>266</v>
      </c>
      <c r="B65" s="16"/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19">
        <v>0</v>
      </c>
      <c r="Q65" s="319">
        <v>0</v>
      </c>
      <c r="R65" s="319">
        <v>0</v>
      </c>
      <c r="S65" s="325">
        <v>0</v>
      </c>
      <c r="T65" s="325">
        <v>0</v>
      </c>
      <c r="U65" s="320">
        <v>0</v>
      </c>
      <c r="V65" s="319">
        <v>0</v>
      </c>
      <c r="W65" s="319">
        <v>0</v>
      </c>
      <c r="X65" s="319">
        <v>0</v>
      </c>
      <c r="Y65" s="319">
        <v>0</v>
      </c>
      <c r="Z65" s="319">
        <v>0</v>
      </c>
      <c r="AA65" s="319">
        <v>0</v>
      </c>
      <c r="AB65" s="326">
        <v>0</v>
      </c>
      <c r="AC65" s="319">
        <v>0</v>
      </c>
      <c r="AD65" s="319">
        <v>0</v>
      </c>
      <c r="AE65" s="319">
        <v>0</v>
      </c>
      <c r="AF65" s="319">
        <v>0</v>
      </c>
      <c r="AG65" s="319">
        <v>0</v>
      </c>
      <c r="AH65" s="319">
        <v>0</v>
      </c>
      <c r="AI65" s="319">
        <v>0</v>
      </c>
      <c r="AJ65" s="319">
        <v>28176</v>
      </c>
      <c r="AK65" s="319">
        <v>0</v>
      </c>
      <c r="AL65" s="319">
        <v>0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0</v>
      </c>
      <c r="AW65" s="325">
        <v>0</v>
      </c>
      <c r="AX65" s="325">
        <v>0</v>
      </c>
      <c r="AY65" s="319">
        <v>0</v>
      </c>
      <c r="AZ65" s="319">
        <v>0</v>
      </c>
      <c r="BA65" s="325">
        <v>0</v>
      </c>
      <c r="BB65" s="325">
        <v>0</v>
      </c>
      <c r="BC65" s="325">
        <v>0</v>
      </c>
      <c r="BD65" s="325">
        <v>6616</v>
      </c>
      <c r="BE65" s="319">
        <v>268941</v>
      </c>
      <c r="BF65" s="325">
        <v>0</v>
      </c>
      <c r="BG65" s="325">
        <v>0</v>
      </c>
      <c r="BH65" s="325">
        <v>193039</v>
      </c>
      <c r="BI65" s="325">
        <v>0</v>
      </c>
      <c r="BJ65" s="325">
        <v>0</v>
      </c>
      <c r="BK65" s="325">
        <v>7336</v>
      </c>
      <c r="BL65" s="325">
        <v>5168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0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509276</v>
      </c>
    </row>
    <row r="66" spans="1:83" x14ac:dyDescent="0.35">
      <c r="A66" s="35" t="s">
        <v>267</v>
      </c>
      <c r="B66" s="16"/>
      <c r="C66" s="317">
        <v>0</v>
      </c>
      <c r="D66" s="317">
        <v>0</v>
      </c>
      <c r="E66" s="317">
        <v>56502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31820</v>
      </c>
      <c r="Q66" s="319">
        <v>0</v>
      </c>
      <c r="R66" s="319">
        <v>7379</v>
      </c>
      <c r="S66" s="325">
        <v>24456</v>
      </c>
      <c r="T66" s="325">
        <v>0</v>
      </c>
      <c r="U66" s="320">
        <v>341613</v>
      </c>
      <c r="V66" s="319">
        <v>0</v>
      </c>
      <c r="W66" s="319">
        <v>225744</v>
      </c>
      <c r="X66" s="319">
        <v>83258</v>
      </c>
      <c r="Y66" s="319">
        <v>62309</v>
      </c>
      <c r="Z66" s="319">
        <v>0</v>
      </c>
      <c r="AA66" s="319">
        <v>100331</v>
      </c>
      <c r="AB66" s="326">
        <v>101147</v>
      </c>
      <c r="AC66" s="319">
        <v>6136</v>
      </c>
      <c r="AD66" s="319">
        <v>0</v>
      </c>
      <c r="AE66" s="319">
        <v>20960</v>
      </c>
      <c r="AF66" s="319">
        <v>0</v>
      </c>
      <c r="AG66" s="319">
        <f>20523+10591</f>
        <v>31114</v>
      </c>
      <c r="AH66" s="319">
        <v>483337</v>
      </c>
      <c r="AI66" s="319">
        <v>0</v>
      </c>
      <c r="AJ66" s="319">
        <v>141010</v>
      </c>
      <c r="AK66" s="319">
        <v>0</v>
      </c>
      <c r="AL66" s="319">
        <v>0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0</v>
      </c>
      <c r="AW66" s="325">
        <v>0</v>
      </c>
      <c r="AX66" s="325">
        <v>0</v>
      </c>
      <c r="AY66" s="319">
        <v>23321</v>
      </c>
      <c r="AZ66" s="319">
        <v>0</v>
      </c>
      <c r="BA66" s="325">
        <v>12958</v>
      </c>
      <c r="BB66" s="325">
        <v>0</v>
      </c>
      <c r="BC66" s="325">
        <v>0</v>
      </c>
      <c r="BD66" s="325">
        <v>0</v>
      </c>
      <c r="BE66" s="319">
        <v>647733</v>
      </c>
      <c r="BF66" s="325">
        <v>7240</v>
      </c>
      <c r="BG66" s="325">
        <v>0</v>
      </c>
      <c r="BH66" s="325">
        <f>2500+1127514+200000</f>
        <v>1330014</v>
      </c>
      <c r="BI66" s="325">
        <v>0</v>
      </c>
      <c r="BJ66" s="325">
        <v>64873</v>
      </c>
      <c r="BK66" s="325">
        <v>0</v>
      </c>
      <c r="BL66" s="325">
        <v>0</v>
      </c>
      <c r="BM66" s="325">
        <v>0</v>
      </c>
      <c r="BN66" s="325">
        <f>128611+20664+99196</f>
        <v>248471</v>
      </c>
      <c r="BO66" s="325">
        <v>12122</v>
      </c>
      <c r="BP66" s="325">
        <v>0</v>
      </c>
      <c r="BQ66" s="325">
        <v>0</v>
      </c>
      <c r="BR66" s="325">
        <v>39988</v>
      </c>
      <c r="BS66" s="325">
        <v>0</v>
      </c>
      <c r="BT66" s="325">
        <v>0</v>
      </c>
      <c r="BU66" s="325">
        <v>0</v>
      </c>
      <c r="BV66" s="325">
        <v>0</v>
      </c>
      <c r="BW66" s="325">
        <v>0</v>
      </c>
      <c r="BX66" s="325">
        <v>94525</v>
      </c>
      <c r="BY66" s="325">
        <v>44609</v>
      </c>
      <c r="BZ66" s="325">
        <v>0</v>
      </c>
      <c r="CA66" s="325">
        <v>0</v>
      </c>
      <c r="CB66" s="325">
        <v>0</v>
      </c>
      <c r="CC66" s="325">
        <v>100000</v>
      </c>
      <c r="CD66" s="25" t="s">
        <v>248</v>
      </c>
      <c r="CE66" s="28">
        <f t="shared" si="6"/>
        <v>4342970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350573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24783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20136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46907</v>
      </c>
      <c r="Z67" s="28">
        <f t="shared" si="10"/>
        <v>0</v>
      </c>
      <c r="AA67" s="28">
        <f t="shared" si="10"/>
        <v>0</v>
      </c>
      <c r="AB67" s="28">
        <f t="shared" si="10"/>
        <v>9523</v>
      </c>
      <c r="AC67" s="28">
        <f t="shared" si="10"/>
        <v>18970</v>
      </c>
      <c r="AD67" s="28">
        <f t="shared" si="10"/>
        <v>0</v>
      </c>
      <c r="AE67" s="28">
        <f t="shared" si="10"/>
        <v>54040</v>
      </c>
      <c r="AF67" s="28">
        <f t="shared" si="10"/>
        <v>0</v>
      </c>
      <c r="AG67" s="28">
        <f t="shared" si="10"/>
        <v>67655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154357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63353</v>
      </c>
      <c r="AW67" s="28">
        <f t="shared" si="11"/>
        <v>0</v>
      </c>
      <c r="AX67" s="28">
        <f t="shared" si="11"/>
        <v>0</v>
      </c>
      <c r="AY67" s="28">
        <f t="shared" si="11"/>
        <v>53849</v>
      </c>
      <c r="AZ67" s="28">
        <f t="shared" si="11"/>
        <v>0</v>
      </c>
      <c r="BA67" s="28">
        <f t="shared" si="11"/>
        <v>12946</v>
      </c>
      <c r="BB67" s="28">
        <f t="shared" si="11"/>
        <v>0</v>
      </c>
      <c r="BC67" s="28">
        <f t="shared" si="11"/>
        <v>0</v>
      </c>
      <c r="BD67" s="28">
        <f t="shared" si="11"/>
        <v>14418</v>
      </c>
      <c r="BE67" s="28">
        <f t="shared" si="11"/>
        <v>463414</v>
      </c>
      <c r="BF67" s="28">
        <f t="shared" si="11"/>
        <v>7630</v>
      </c>
      <c r="BG67" s="28">
        <f t="shared" si="11"/>
        <v>8720</v>
      </c>
      <c r="BH67" s="28">
        <f t="shared" si="11"/>
        <v>1530</v>
      </c>
      <c r="BI67" s="28">
        <f t="shared" si="11"/>
        <v>0</v>
      </c>
      <c r="BJ67" s="28">
        <f t="shared" si="11"/>
        <v>26198</v>
      </c>
      <c r="BK67" s="28">
        <f t="shared" si="11"/>
        <v>26198</v>
      </c>
      <c r="BL67" s="28">
        <f t="shared" si="11"/>
        <v>11779</v>
      </c>
      <c r="BM67" s="28">
        <f t="shared" si="11"/>
        <v>0</v>
      </c>
      <c r="BN67" s="28">
        <f t="shared" si="11"/>
        <v>17038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10747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21685</v>
      </c>
      <c r="BW67" s="28">
        <f t="shared" si="12"/>
        <v>0</v>
      </c>
      <c r="BX67" s="28">
        <f t="shared" si="12"/>
        <v>0</v>
      </c>
      <c r="BY67" s="28">
        <f t="shared" si="12"/>
        <v>13520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1499969</v>
      </c>
    </row>
    <row r="68" spans="1:83" x14ac:dyDescent="0.35">
      <c r="A68" s="35" t="s">
        <v>268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0</v>
      </c>
      <c r="Q68" s="319">
        <v>0</v>
      </c>
      <c r="R68" s="319">
        <v>0</v>
      </c>
      <c r="S68" s="325">
        <v>0</v>
      </c>
      <c r="T68" s="325">
        <v>0</v>
      </c>
      <c r="U68" s="320">
        <v>0</v>
      </c>
      <c r="V68" s="319">
        <v>0</v>
      </c>
      <c r="W68" s="319">
        <v>0</v>
      </c>
      <c r="X68" s="319">
        <v>0</v>
      </c>
      <c r="Y68" s="319">
        <v>0</v>
      </c>
      <c r="Z68" s="319">
        <v>0</v>
      </c>
      <c r="AA68" s="319">
        <v>0</v>
      </c>
      <c r="AB68" s="326">
        <v>0</v>
      </c>
      <c r="AC68" s="319">
        <v>0</v>
      </c>
      <c r="AD68" s="319">
        <v>0</v>
      </c>
      <c r="AE68" s="319">
        <v>0</v>
      </c>
      <c r="AF68" s="319">
        <v>0</v>
      </c>
      <c r="AG68" s="319">
        <v>0</v>
      </c>
      <c r="AH68" s="319">
        <v>0</v>
      </c>
      <c r="AI68" s="319">
        <v>0</v>
      </c>
      <c r="AJ68" s="319">
        <v>0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0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0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0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0</v>
      </c>
      <c r="CC68" s="325">
        <v>0</v>
      </c>
      <c r="CD68" s="25" t="s">
        <v>248</v>
      </c>
      <c r="CE68" s="28">
        <f t="shared" si="6"/>
        <v>0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2417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10412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24443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1476506</v>
      </c>
      <c r="CE69" s="28">
        <f t="shared" si="15"/>
        <v>1513778</v>
      </c>
    </row>
    <row r="70" spans="1:83" x14ac:dyDescent="0.3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0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327">
        <v>0</v>
      </c>
      <c r="R71" s="327">
        <v>0</v>
      </c>
      <c r="S71" s="327">
        <v>0</v>
      </c>
      <c r="T71" s="327">
        <v>0</v>
      </c>
      <c r="U71" s="327">
        <v>0</v>
      </c>
      <c r="V71" s="327">
        <v>0</v>
      </c>
      <c r="W71" s="327">
        <v>0</v>
      </c>
      <c r="X71" s="327">
        <v>0</v>
      </c>
      <c r="Y71" s="327">
        <v>0</v>
      </c>
      <c r="Z71" s="327">
        <v>0</v>
      </c>
      <c r="AA71" s="327">
        <v>0</v>
      </c>
      <c r="AB71" s="327">
        <v>0</v>
      </c>
      <c r="AC71" s="327">
        <v>0</v>
      </c>
      <c r="AD71" s="327">
        <v>0</v>
      </c>
      <c r="AE71" s="327">
        <v>0</v>
      </c>
      <c r="AF71" s="327">
        <v>0</v>
      </c>
      <c r="AG71" s="327">
        <v>0</v>
      </c>
      <c r="AH71" s="327">
        <v>0</v>
      </c>
      <c r="AI71" s="327">
        <v>0</v>
      </c>
      <c r="AJ71" s="327">
        <v>0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0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0</v>
      </c>
    </row>
    <row r="72" spans="1:83" x14ac:dyDescent="0.3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2417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10412</v>
      </c>
      <c r="AH73" s="327">
        <v>0</v>
      </c>
      <c r="AI73" s="327">
        <v>0</v>
      </c>
      <c r="AJ73" s="327">
        <v>24443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333132</v>
      </c>
      <c r="CE73" s="28">
        <f t="shared" si="16"/>
        <v>370404</v>
      </c>
    </row>
    <row r="74" spans="1:83" x14ac:dyDescent="0.3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0</v>
      </c>
    </row>
    <row r="76" spans="1:83" x14ac:dyDescent="0.35">
      <c r="A76" s="29" t="s">
        <v>276</v>
      </c>
      <c r="B76" s="212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0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0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27">
        <v>0</v>
      </c>
      <c r="D77" s="327">
        <v>0</v>
      </c>
      <c r="E77" s="327">
        <v>0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0</v>
      </c>
      <c r="Q77" s="327">
        <v>0</v>
      </c>
      <c r="R77" s="327">
        <v>0</v>
      </c>
      <c r="S77" s="327">
        <v>0</v>
      </c>
      <c r="T77" s="327">
        <v>0</v>
      </c>
      <c r="U77" s="327">
        <v>0</v>
      </c>
      <c r="V77" s="327">
        <v>0</v>
      </c>
      <c r="W77" s="327">
        <v>0</v>
      </c>
      <c r="X77" s="327">
        <v>0</v>
      </c>
      <c r="Y77" s="327">
        <v>0</v>
      </c>
      <c r="Z77" s="327">
        <v>0</v>
      </c>
      <c r="AA77" s="327">
        <v>0</v>
      </c>
      <c r="AB77" s="327">
        <v>0</v>
      </c>
      <c r="AC77" s="327">
        <v>0</v>
      </c>
      <c r="AD77" s="327">
        <v>0</v>
      </c>
      <c r="AE77" s="327">
        <v>0</v>
      </c>
      <c r="AF77" s="327">
        <v>0</v>
      </c>
      <c r="AG77" s="327">
        <v>0</v>
      </c>
      <c r="AH77" s="327">
        <v>0</v>
      </c>
      <c r="AI77" s="327">
        <v>0</v>
      </c>
      <c r="AJ77" s="327">
        <v>0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0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0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0</v>
      </c>
    </row>
    <row r="78" spans="1:83" x14ac:dyDescent="0.3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0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0</v>
      </c>
    </row>
    <row r="80" spans="1:83" x14ac:dyDescent="0.35">
      <c r="A80" s="29" t="s">
        <v>280</v>
      </c>
      <c r="B80" s="16"/>
      <c r="C80" s="327">
        <v>0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0</v>
      </c>
      <c r="V80" s="327">
        <v>0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0</v>
      </c>
      <c r="AC80" s="327">
        <v>0</v>
      </c>
      <c r="AD80" s="327">
        <v>0</v>
      </c>
      <c r="AE80" s="327">
        <v>0</v>
      </c>
      <c r="AF80" s="327">
        <v>0</v>
      </c>
      <c r="AG80" s="327">
        <v>0</v>
      </c>
      <c r="AH80" s="327">
        <v>0</v>
      </c>
      <c r="AI80" s="327">
        <v>0</v>
      </c>
      <c r="AJ80" s="327">
        <v>0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0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0</v>
      </c>
      <c r="BZ80" s="327">
        <v>0</v>
      </c>
      <c r="CA80" s="327">
        <v>0</v>
      </c>
      <c r="CB80" s="327">
        <v>0</v>
      </c>
      <c r="CC80" s="327">
        <v>0</v>
      </c>
      <c r="CD80" s="327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317">
        <v>0</v>
      </c>
      <c r="D83" s="317">
        <v>0</v>
      </c>
      <c r="E83" s="319">
        <v>0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0</v>
      </c>
      <c r="Q83" s="319">
        <v>0</v>
      </c>
      <c r="R83" s="320">
        <v>0</v>
      </c>
      <c r="S83" s="319">
        <v>0</v>
      </c>
      <c r="T83" s="317">
        <v>0</v>
      </c>
      <c r="U83" s="319">
        <v>0</v>
      </c>
      <c r="V83" s="319">
        <v>0</v>
      </c>
      <c r="W83" s="317">
        <v>0</v>
      </c>
      <c r="X83" s="319">
        <v>0</v>
      </c>
      <c r="Y83" s="319">
        <v>0</v>
      </c>
      <c r="Z83" s="319">
        <v>0</v>
      </c>
      <c r="AA83" s="319">
        <v>0</v>
      </c>
      <c r="AB83" s="319">
        <v>0</v>
      </c>
      <c r="AC83" s="319">
        <v>0</v>
      </c>
      <c r="AD83" s="319">
        <v>0</v>
      </c>
      <c r="AE83" s="319">
        <v>0</v>
      </c>
      <c r="AF83" s="319">
        <v>0</v>
      </c>
      <c r="AG83" s="319">
        <v>0</v>
      </c>
      <c r="AH83" s="319">
        <v>0</v>
      </c>
      <c r="AI83" s="319">
        <v>0</v>
      </c>
      <c r="AJ83" s="319">
        <v>0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0</v>
      </c>
      <c r="AW83" s="319">
        <v>0</v>
      </c>
      <c r="AX83" s="319">
        <v>0</v>
      </c>
      <c r="AY83" s="319">
        <v>0</v>
      </c>
      <c r="AZ83" s="319">
        <v>0</v>
      </c>
      <c r="BA83" s="319">
        <v>0</v>
      </c>
      <c r="BB83" s="319">
        <v>0</v>
      </c>
      <c r="BC83" s="319">
        <v>0</v>
      </c>
      <c r="BD83" s="319">
        <v>0</v>
      </c>
      <c r="BE83" s="319">
        <v>0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0</v>
      </c>
      <c r="BO83" s="319">
        <v>0</v>
      </c>
      <c r="BP83" s="319">
        <v>0</v>
      </c>
      <c r="BQ83" s="319">
        <v>0</v>
      </c>
      <c r="BR83" s="319">
        <v>0</v>
      </c>
      <c r="BS83" s="319">
        <v>0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0</v>
      </c>
      <c r="BZ83" s="319">
        <v>0</v>
      </c>
      <c r="CA83" s="319">
        <v>0</v>
      </c>
      <c r="CB83" s="319">
        <v>0</v>
      </c>
      <c r="CC83" s="319">
        <v>0</v>
      </c>
      <c r="CD83" s="327">
        <f>385929+697979+59466</f>
        <v>1143374</v>
      </c>
      <c r="CE83" s="28">
        <f t="shared" si="16"/>
        <v>1143374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7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3300543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2175253</v>
      </c>
      <c r="Q85" s="28">
        <f t="shared" si="17"/>
        <v>0</v>
      </c>
      <c r="R85" s="28">
        <f t="shared" si="17"/>
        <v>638417</v>
      </c>
      <c r="S85" s="28">
        <f t="shared" si="17"/>
        <v>101274</v>
      </c>
      <c r="T85" s="28">
        <f t="shared" si="17"/>
        <v>0</v>
      </c>
      <c r="U85" s="28">
        <f t="shared" si="17"/>
        <v>1969687</v>
      </c>
      <c r="V85" s="28">
        <f t="shared" si="17"/>
        <v>0</v>
      </c>
      <c r="W85" s="28">
        <f t="shared" si="17"/>
        <v>225744</v>
      </c>
      <c r="X85" s="28">
        <f t="shared" si="17"/>
        <v>110780</v>
      </c>
      <c r="Y85" s="28">
        <f t="shared" si="17"/>
        <v>1639760</v>
      </c>
      <c r="Z85" s="28">
        <f t="shared" si="17"/>
        <v>0</v>
      </c>
      <c r="AA85" s="28">
        <f t="shared" si="17"/>
        <v>118133</v>
      </c>
      <c r="AB85" s="28">
        <f t="shared" si="17"/>
        <v>870584</v>
      </c>
      <c r="AC85" s="28">
        <f t="shared" si="17"/>
        <v>431771</v>
      </c>
      <c r="AD85" s="28">
        <f t="shared" si="17"/>
        <v>0</v>
      </c>
      <c r="AE85" s="28">
        <f t="shared" si="17"/>
        <v>1738752</v>
      </c>
      <c r="AF85" s="28">
        <f t="shared" si="17"/>
        <v>0</v>
      </c>
      <c r="AG85" s="28">
        <f t="shared" si="17"/>
        <v>4347493</v>
      </c>
      <c r="AH85" s="28">
        <f t="shared" si="17"/>
        <v>483337</v>
      </c>
      <c r="AI85" s="28">
        <f t="shared" ref="AI85:BN85" si="18">SUM(AI61:AI69)-AI84</f>
        <v>0</v>
      </c>
      <c r="AJ85" s="28">
        <f t="shared" si="18"/>
        <v>6801776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874948</v>
      </c>
      <c r="AW85" s="28">
        <f t="shared" si="18"/>
        <v>0</v>
      </c>
      <c r="AX85" s="28">
        <f t="shared" si="18"/>
        <v>0</v>
      </c>
      <c r="AY85" s="28">
        <f t="shared" si="18"/>
        <v>706933</v>
      </c>
      <c r="AZ85" s="28">
        <f t="shared" si="18"/>
        <v>0</v>
      </c>
      <c r="BA85" s="28">
        <f t="shared" si="18"/>
        <v>108208</v>
      </c>
      <c r="BB85" s="28">
        <f t="shared" si="18"/>
        <v>0</v>
      </c>
      <c r="BC85" s="28">
        <f t="shared" si="18"/>
        <v>0</v>
      </c>
      <c r="BD85" s="28">
        <f t="shared" si="18"/>
        <v>242089</v>
      </c>
      <c r="BE85" s="28">
        <f t="shared" si="18"/>
        <v>2003234</v>
      </c>
      <c r="BF85" s="28">
        <f t="shared" si="18"/>
        <v>605532</v>
      </c>
      <c r="BG85" s="28">
        <f t="shared" si="18"/>
        <v>154188</v>
      </c>
      <c r="BH85" s="28">
        <f t="shared" si="18"/>
        <v>2297900</v>
      </c>
      <c r="BI85" s="28">
        <f t="shared" si="18"/>
        <v>0</v>
      </c>
      <c r="BJ85" s="28">
        <f t="shared" si="18"/>
        <v>477312</v>
      </c>
      <c r="BK85" s="28">
        <f t="shared" si="18"/>
        <v>1110632</v>
      </c>
      <c r="BL85" s="28">
        <f t="shared" si="18"/>
        <v>553694</v>
      </c>
      <c r="BM85" s="28">
        <f t="shared" si="18"/>
        <v>0</v>
      </c>
      <c r="BN85" s="28">
        <f t="shared" si="18"/>
        <v>1275341</v>
      </c>
      <c r="BO85" s="28">
        <f t="shared" ref="BO85:CD85" si="19">SUM(BO61:BO69)-BO84</f>
        <v>98558</v>
      </c>
      <c r="BP85" s="28">
        <f t="shared" si="19"/>
        <v>0</v>
      </c>
      <c r="BQ85" s="28">
        <f t="shared" si="19"/>
        <v>0</v>
      </c>
      <c r="BR85" s="28">
        <f t="shared" si="19"/>
        <v>534663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256685</v>
      </c>
      <c r="BW85" s="28">
        <f t="shared" si="19"/>
        <v>0</v>
      </c>
      <c r="BX85" s="28">
        <f t="shared" si="19"/>
        <v>441229</v>
      </c>
      <c r="BY85" s="28">
        <f t="shared" si="19"/>
        <v>925033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191447</v>
      </c>
      <c r="CD85" s="28">
        <f t="shared" si="19"/>
        <v>1476506</v>
      </c>
      <c r="CE85" s="28">
        <f t="shared" si="16"/>
        <v>39287436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287</v>
      </c>
      <c r="B87" s="16"/>
      <c r="C87" s="317">
        <v>0</v>
      </c>
      <c r="D87" s="317">
        <v>0</v>
      </c>
      <c r="E87" s="317">
        <v>5497207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297384</v>
      </c>
      <c r="Q87" s="317">
        <v>0</v>
      </c>
      <c r="R87" s="317">
        <v>88563</v>
      </c>
      <c r="S87" s="317">
        <v>27539</v>
      </c>
      <c r="T87" s="317">
        <v>0</v>
      </c>
      <c r="U87" s="317">
        <v>352384</v>
      </c>
      <c r="V87" s="317">
        <v>0</v>
      </c>
      <c r="W87" s="317">
        <v>12860</v>
      </c>
      <c r="X87" s="317">
        <v>223561</v>
      </c>
      <c r="Y87" s="317">
        <f>78456+56327+24969</f>
        <v>159752</v>
      </c>
      <c r="Z87" s="317">
        <v>0</v>
      </c>
      <c r="AA87" s="317">
        <v>0</v>
      </c>
      <c r="AB87" s="317">
        <v>420101</v>
      </c>
      <c r="AC87" s="317">
        <v>149899</v>
      </c>
      <c r="AD87" s="317">
        <v>0</v>
      </c>
      <c r="AE87" s="317">
        <v>352539</v>
      </c>
      <c r="AF87" s="317">
        <v>0</v>
      </c>
      <c r="AG87" s="317">
        <f>271191+141000</f>
        <v>412191</v>
      </c>
      <c r="AH87" s="317">
        <v>0</v>
      </c>
      <c r="AI87" s="317">
        <v>0</v>
      </c>
      <c r="AJ87" s="317">
        <v>0</v>
      </c>
      <c r="AK87" s="317">
        <v>0</v>
      </c>
      <c r="AL87" s="317">
        <v>0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7993980</v>
      </c>
    </row>
    <row r="88" spans="1:84" x14ac:dyDescent="0.35">
      <c r="A88" s="22" t="s">
        <v>288</v>
      </c>
      <c r="B88" s="16"/>
      <c r="C88" s="317">
        <v>0</v>
      </c>
      <c r="D88" s="317">
        <v>0</v>
      </c>
      <c r="E88" s="317">
        <v>1474483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f>3448760-63440</f>
        <v>3385320</v>
      </c>
      <c r="Q88" s="317">
        <v>0</v>
      </c>
      <c r="R88" s="317">
        <v>1060110</v>
      </c>
      <c r="S88" s="317">
        <f>1815000+500000+300000</f>
        <v>2615000</v>
      </c>
      <c r="T88" s="317">
        <v>0</v>
      </c>
      <c r="U88" s="317">
        <v>5689120</v>
      </c>
      <c r="V88" s="317">
        <v>0</v>
      </c>
      <c r="W88" s="317">
        <v>844234</v>
      </c>
      <c r="X88" s="317">
        <v>6100194</v>
      </c>
      <c r="Y88" s="317">
        <f>2064450+607899+678085+500656</f>
        <v>3851090</v>
      </c>
      <c r="Z88" s="317">
        <v>0</v>
      </c>
      <c r="AA88" s="317">
        <v>320034</v>
      </c>
      <c r="AB88" s="317">
        <v>901000</v>
      </c>
      <c r="AC88" s="317">
        <v>804364</v>
      </c>
      <c r="AD88" s="317">
        <v>0</v>
      </c>
      <c r="AE88" s="317">
        <v>3926254</v>
      </c>
      <c r="AF88" s="317">
        <v>0</v>
      </c>
      <c r="AG88" s="317">
        <f>10882315+1503376</f>
        <v>12385691</v>
      </c>
      <c r="AH88" s="317">
        <v>0</v>
      </c>
      <c r="AI88" s="317">
        <v>108500</v>
      </c>
      <c r="AJ88" s="317">
        <f>350000+6270312</f>
        <v>6620312</v>
      </c>
      <c r="AK88" s="317">
        <v>0</v>
      </c>
      <c r="AL88" s="317">
        <v>0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50085706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6971690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3682704</v>
      </c>
      <c r="Q89" s="28">
        <f t="shared" si="21"/>
        <v>0</v>
      </c>
      <c r="R89" s="28">
        <f t="shared" si="21"/>
        <v>1148673</v>
      </c>
      <c r="S89" s="28">
        <f t="shared" si="21"/>
        <v>2642539</v>
      </c>
      <c r="T89" s="28">
        <f t="shared" si="21"/>
        <v>0</v>
      </c>
      <c r="U89" s="28">
        <f t="shared" si="21"/>
        <v>6041504</v>
      </c>
      <c r="V89" s="28">
        <f t="shared" si="21"/>
        <v>0</v>
      </c>
      <c r="W89" s="28">
        <f t="shared" si="21"/>
        <v>857094</v>
      </c>
      <c r="X89" s="28">
        <f t="shared" si="21"/>
        <v>6323755</v>
      </c>
      <c r="Y89" s="28">
        <f t="shared" si="21"/>
        <v>4010842</v>
      </c>
      <c r="Z89" s="28">
        <f t="shared" si="21"/>
        <v>0</v>
      </c>
      <c r="AA89" s="28">
        <f t="shared" si="21"/>
        <v>320034</v>
      </c>
      <c r="AB89" s="28">
        <f t="shared" si="21"/>
        <v>1321101</v>
      </c>
      <c r="AC89" s="28">
        <f t="shared" si="21"/>
        <v>954263</v>
      </c>
      <c r="AD89" s="28">
        <f t="shared" si="21"/>
        <v>0</v>
      </c>
      <c r="AE89" s="28">
        <f t="shared" si="21"/>
        <v>4278793</v>
      </c>
      <c r="AF89" s="28">
        <f t="shared" si="21"/>
        <v>0</v>
      </c>
      <c r="AG89" s="28">
        <f t="shared" si="21"/>
        <v>12797882</v>
      </c>
      <c r="AH89" s="28">
        <f t="shared" si="21"/>
        <v>0</v>
      </c>
      <c r="AI89" s="28">
        <f t="shared" si="21"/>
        <v>108500</v>
      </c>
      <c r="AJ89" s="28">
        <f t="shared" si="21"/>
        <v>6620312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58079686</v>
      </c>
    </row>
    <row r="90" spans="1:84" x14ac:dyDescent="0.35">
      <c r="A90" s="35" t="s">
        <v>290</v>
      </c>
      <c r="B90" s="28"/>
      <c r="C90" s="317">
        <v>0</v>
      </c>
      <c r="D90" s="317">
        <v>0</v>
      </c>
      <c r="E90" s="317">
        <v>18333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1296</v>
      </c>
      <c r="Q90" s="317">
        <v>0</v>
      </c>
      <c r="R90" s="317">
        <v>0</v>
      </c>
      <c r="S90" s="317">
        <v>0</v>
      </c>
      <c r="T90" s="317">
        <v>0</v>
      </c>
      <c r="U90" s="317">
        <v>1053</v>
      </c>
      <c r="V90" s="317">
        <v>0</v>
      </c>
      <c r="W90" s="317">
        <v>0</v>
      </c>
      <c r="X90" s="317">
        <v>0</v>
      </c>
      <c r="Y90" s="317">
        <v>2453</v>
      </c>
      <c r="Z90" s="317">
        <v>0</v>
      </c>
      <c r="AA90" s="317">
        <v>0</v>
      </c>
      <c r="AB90" s="317">
        <v>498</v>
      </c>
      <c r="AC90" s="317">
        <v>992</v>
      </c>
      <c r="AD90" s="317">
        <v>0</v>
      </c>
      <c r="AE90" s="317">
        <v>2826</v>
      </c>
      <c r="AF90" s="317">
        <v>0</v>
      </c>
      <c r="AG90" s="317">
        <v>3538</v>
      </c>
      <c r="AH90" s="317">
        <v>0</v>
      </c>
      <c r="AI90" s="317">
        <v>0</v>
      </c>
      <c r="AJ90" s="317">
        <v>8072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3313</v>
      </c>
      <c r="AW90" s="317">
        <v>0</v>
      </c>
      <c r="AX90" s="317">
        <v>0</v>
      </c>
      <c r="AY90" s="317">
        <v>2816</v>
      </c>
      <c r="AZ90" s="317">
        <v>0</v>
      </c>
      <c r="BA90" s="317">
        <v>677</v>
      </c>
      <c r="BB90" s="317">
        <v>0</v>
      </c>
      <c r="BC90" s="317">
        <v>0</v>
      </c>
      <c r="BD90" s="317">
        <v>754</v>
      </c>
      <c r="BE90" s="317">
        <v>24234</v>
      </c>
      <c r="BF90" s="317">
        <v>399</v>
      </c>
      <c r="BG90" s="317">
        <v>456</v>
      </c>
      <c r="BH90" s="317">
        <v>80</v>
      </c>
      <c r="BI90" s="317">
        <v>0</v>
      </c>
      <c r="BJ90" s="317">
        <v>1370</v>
      </c>
      <c r="BK90" s="317">
        <v>1370</v>
      </c>
      <c r="BL90" s="317">
        <v>616</v>
      </c>
      <c r="BM90" s="317">
        <v>0</v>
      </c>
      <c r="BN90" s="317">
        <v>891</v>
      </c>
      <c r="BO90" s="317">
        <v>0</v>
      </c>
      <c r="BP90" s="317">
        <v>0</v>
      </c>
      <c r="BQ90" s="317">
        <v>0</v>
      </c>
      <c r="BR90" s="317">
        <v>562</v>
      </c>
      <c r="BS90" s="317">
        <v>0</v>
      </c>
      <c r="BT90" s="317">
        <v>0</v>
      </c>
      <c r="BU90" s="317">
        <v>0</v>
      </c>
      <c r="BV90" s="317">
        <v>1134</v>
      </c>
      <c r="BW90" s="317">
        <v>0</v>
      </c>
      <c r="BX90" s="317">
        <v>0</v>
      </c>
      <c r="BY90" s="317">
        <v>707</v>
      </c>
      <c r="BZ90" s="317">
        <v>0</v>
      </c>
      <c r="CA90" s="317">
        <v>0</v>
      </c>
      <c r="CB90" s="317">
        <v>0</v>
      </c>
      <c r="CC90" s="317">
        <v>0</v>
      </c>
      <c r="CD90" s="234" t="s">
        <v>248</v>
      </c>
      <c r="CE90" s="28">
        <f t="shared" si="20"/>
        <v>78440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4731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17844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22575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0</v>
      </c>
      <c r="D92" s="317">
        <v>0</v>
      </c>
      <c r="E92" s="317">
        <v>3500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1200</v>
      </c>
      <c r="Q92" s="317">
        <v>0</v>
      </c>
      <c r="R92" s="317">
        <v>0</v>
      </c>
      <c r="S92" s="317">
        <v>0</v>
      </c>
      <c r="T92" s="317">
        <v>0</v>
      </c>
      <c r="U92" s="317">
        <v>1100</v>
      </c>
      <c r="V92" s="317">
        <v>0</v>
      </c>
      <c r="W92" s="317">
        <v>0</v>
      </c>
      <c r="X92" s="317">
        <v>0</v>
      </c>
      <c r="Y92" s="317">
        <v>2100</v>
      </c>
      <c r="Z92" s="317">
        <v>0</v>
      </c>
      <c r="AA92" s="317">
        <v>0</v>
      </c>
      <c r="AB92" s="317">
        <v>1200</v>
      </c>
      <c r="AC92" s="317">
        <v>1300</v>
      </c>
      <c r="AD92" s="317">
        <v>0</v>
      </c>
      <c r="AE92" s="317">
        <v>2300</v>
      </c>
      <c r="AF92" s="317">
        <v>0</v>
      </c>
      <c r="AG92" s="317">
        <v>1900</v>
      </c>
      <c r="AH92" s="317">
        <v>0</v>
      </c>
      <c r="AI92" s="317">
        <v>0</v>
      </c>
      <c r="AJ92" s="317">
        <v>0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0</v>
      </c>
      <c r="BW92" s="317">
        <v>0</v>
      </c>
      <c r="BX92" s="317">
        <v>0</v>
      </c>
      <c r="BY92" s="317">
        <v>0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14600</v>
      </c>
      <c r="CF92" s="16"/>
    </row>
    <row r="93" spans="1:84" x14ac:dyDescent="0.35">
      <c r="A93" s="22" t="s">
        <v>293</v>
      </c>
      <c r="B93" s="16"/>
      <c r="C93" s="317">
        <v>0</v>
      </c>
      <c r="D93" s="317">
        <v>0</v>
      </c>
      <c r="E93" s="317">
        <v>31000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10000</v>
      </c>
      <c r="Q93" s="317">
        <v>0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7000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17000</v>
      </c>
      <c r="AF93" s="317">
        <v>0</v>
      </c>
      <c r="AG93" s="317">
        <v>34000</v>
      </c>
      <c r="AH93" s="317">
        <v>0</v>
      </c>
      <c r="AI93" s="317">
        <v>0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99000</v>
      </c>
      <c r="CF93" s="28">
        <f>BA59</f>
        <v>0</v>
      </c>
    </row>
    <row r="94" spans="1:84" x14ac:dyDescent="0.35">
      <c r="A94" s="22" t="s">
        <v>294</v>
      </c>
      <c r="B94" s="16"/>
      <c r="C94" s="321">
        <v>0</v>
      </c>
      <c r="D94" s="321">
        <v>0</v>
      </c>
      <c r="E94" s="321">
        <v>20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4</v>
      </c>
      <c r="Q94" s="322">
        <v>0</v>
      </c>
      <c r="R94" s="322">
        <v>0</v>
      </c>
      <c r="S94" s="323">
        <v>0</v>
      </c>
      <c r="T94" s="323">
        <v>0</v>
      </c>
      <c r="U94" s="324">
        <v>0</v>
      </c>
      <c r="V94" s="322">
        <v>0</v>
      </c>
      <c r="W94" s="322">
        <v>0</v>
      </c>
      <c r="X94" s="322">
        <v>0</v>
      </c>
      <c r="Y94" s="322">
        <v>0</v>
      </c>
      <c r="Z94" s="322">
        <v>0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5</v>
      </c>
      <c r="AH94" s="322">
        <v>0</v>
      </c>
      <c r="AI94" s="322">
        <v>0</v>
      </c>
      <c r="AJ94" s="322">
        <v>6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35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8" t="s">
        <v>1366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98356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299</v>
      </c>
      <c r="C104" s="334" t="s">
        <v>1367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299</v>
      </c>
      <c r="C105" s="334" t="s">
        <v>315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299</v>
      </c>
      <c r="C106" s="332" t="s">
        <v>317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299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35">
      <c r="A108" s="28" t="s">
        <v>320</v>
      </c>
      <c r="B108" s="36" t="s">
        <v>299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35">
      <c r="A109" s="40" t="s">
        <v>322</v>
      </c>
      <c r="B109" s="36" t="s">
        <v>299</v>
      </c>
      <c r="C109" s="332" t="s">
        <v>323</v>
      </c>
      <c r="D109" s="329" t="s">
        <v>5</v>
      </c>
      <c r="E109" s="330" t="s">
        <v>5</v>
      </c>
      <c r="F109" s="12"/>
    </row>
    <row r="110" spans="1:6" x14ac:dyDescent="0.35">
      <c r="A110" s="40" t="s">
        <v>324</v>
      </c>
      <c r="B110" s="36" t="s">
        <v>299</v>
      </c>
      <c r="C110" s="336" t="s">
        <v>325</v>
      </c>
      <c r="D110" s="329" t="s">
        <v>5</v>
      </c>
      <c r="E110" s="330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7" t="s">
        <v>248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8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7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7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7">
        <v>119</v>
      </c>
      <c r="D127" s="339">
        <v>503</v>
      </c>
      <c r="E127" s="16"/>
    </row>
    <row r="128" spans="1:5" x14ac:dyDescent="0.35">
      <c r="A128" s="16" t="s">
        <v>339</v>
      </c>
      <c r="B128" s="42" t="s">
        <v>299</v>
      </c>
      <c r="C128" s="337">
        <v>71</v>
      </c>
      <c r="D128" s="339">
        <v>902</v>
      </c>
      <c r="E128" s="16"/>
    </row>
    <row r="129" spans="1:5" x14ac:dyDescent="0.35">
      <c r="A129" s="16" t="s">
        <v>340</v>
      </c>
      <c r="B129" s="42" t="s">
        <v>299</v>
      </c>
      <c r="C129" s="337">
        <v>0</v>
      </c>
      <c r="D129" s="339">
        <v>0</v>
      </c>
      <c r="E129" s="16"/>
    </row>
    <row r="130" spans="1:5" x14ac:dyDescent="0.35">
      <c r="A130" s="16" t="s">
        <v>341</v>
      </c>
      <c r="B130" s="42" t="s">
        <v>299</v>
      </c>
      <c r="C130" s="337">
        <v>0</v>
      </c>
      <c r="D130" s="339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7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7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7">
        <v>10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7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7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7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7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7">
        <v>15</v>
      </c>
      <c r="D139" s="16"/>
      <c r="E139" s="16"/>
    </row>
    <row r="140" spans="1:5" x14ac:dyDescent="0.35">
      <c r="A140" s="16" t="s">
        <v>350</v>
      </c>
      <c r="B140" s="42"/>
      <c r="C140" s="337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7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7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353</v>
      </c>
      <c r="B144" s="42" t="s">
        <v>299</v>
      </c>
      <c r="C144" s="337">
        <v>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7">
        <v>1474483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9">
        <v>144</v>
      </c>
      <c r="C154" s="339">
        <v>15</v>
      </c>
      <c r="D154" s="339">
        <v>31</v>
      </c>
      <c r="E154" s="28">
        <f>SUM(B154:D154)</f>
        <v>190</v>
      </c>
    </row>
    <row r="155" spans="1:6" x14ac:dyDescent="0.35">
      <c r="A155" s="16" t="s">
        <v>242</v>
      </c>
      <c r="B155" s="339">
        <v>1068</v>
      </c>
      <c r="C155" s="339">
        <v>112</v>
      </c>
      <c r="D155" s="339">
        <v>225</v>
      </c>
      <c r="E155" s="28">
        <f>SUM(B155:D155)</f>
        <v>1405</v>
      </c>
    </row>
    <row r="156" spans="1:6" x14ac:dyDescent="0.35">
      <c r="A156" s="16" t="s">
        <v>360</v>
      </c>
      <c r="B156" s="339">
        <v>15323</v>
      </c>
      <c r="C156" s="339">
        <v>1613</v>
      </c>
      <c r="D156" s="339">
        <v>3226</v>
      </c>
      <c r="E156" s="28">
        <f>SUM(B156:D156)</f>
        <v>20162</v>
      </c>
    </row>
    <row r="157" spans="1:6" x14ac:dyDescent="0.35">
      <c r="A157" s="16" t="s">
        <v>287</v>
      </c>
      <c r="B157" s="339">
        <v>4412733</v>
      </c>
      <c r="C157" s="339">
        <v>1604630</v>
      </c>
      <c r="D157" s="339">
        <v>2005788</v>
      </c>
      <c r="E157" s="28">
        <f>SUM(B157:D157)</f>
        <v>8023151</v>
      </c>
      <c r="F157" s="14"/>
    </row>
    <row r="158" spans="1:6" x14ac:dyDescent="0.35">
      <c r="A158" s="16" t="s">
        <v>288</v>
      </c>
      <c r="B158" s="339">
        <v>24046564</v>
      </c>
      <c r="C158" s="339">
        <v>8744205</v>
      </c>
      <c r="D158" s="339">
        <v>10930257</v>
      </c>
      <c r="E158" s="28">
        <f>SUM(B158:D158)</f>
        <v>43721026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9">
        <v>64</v>
      </c>
      <c r="C160" s="339">
        <v>0</v>
      </c>
      <c r="D160" s="339">
        <v>7</v>
      </c>
      <c r="E160" s="28">
        <f>SUM(B160:D160)</f>
        <v>71</v>
      </c>
    </row>
    <row r="161" spans="1:5" x14ac:dyDescent="0.35">
      <c r="A161" s="16" t="s">
        <v>242</v>
      </c>
      <c r="B161" s="339">
        <v>846</v>
      </c>
      <c r="C161" s="339">
        <v>0</v>
      </c>
      <c r="D161" s="339">
        <v>56</v>
      </c>
      <c r="E161" s="28">
        <f>SUM(B161:D161)</f>
        <v>902</v>
      </c>
    </row>
    <row r="162" spans="1:5" x14ac:dyDescent="0.35">
      <c r="A162" s="16" t="s">
        <v>360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287</v>
      </c>
      <c r="B163" s="339">
        <v>3739717</v>
      </c>
      <c r="C163" s="339">
        <v>0</v>
      </c>
      <c r="D163" s="339">
        <v>77657</v>
      </c>
      <c r="E163" s="28">
        <f>SUM(B163:D163)</f>
        <v>3817374</v>
      </c>
    </row>
    <row r="164" spans="1:5" x14ac:dyDescent="0.3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360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9">
        <v>1848632</v>
      </c>
      <c r="C173" s="339">
        <v>2213655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7">
        <f>924832+241422</f>
        <v>1166254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7">
        <v>32647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37">
        <v>217754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7">
        <v>2108072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7">
        <v>123806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7">
        <v>592546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7">
        <v>211809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7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4452888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7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7">
        <v>56598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56598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7">
        <v>156901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7">
        <v>213503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370404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7">
        <v>28845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7">
        <v>304204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29859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362908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7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7">
        <v>385929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385929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39">
        <v>998600</v>
      </c>
      <c r="C211" s="337">
        <v>0</v>
      </c>
      <c r="D211" s="339">
        <v>45851</v>
      </c>
      <c r="E211" s="28">
        <f t="shared" ref="E211:E219" si="22">SUM(B211:C211)-D211</f>
        <v>952749</v>
      </c>
    </row>
    <row r="212" spans="1:5" x14ac:dyDescent="0.35">
      <c r="A212" s="16" t="s">
        <v>395</v>
      </c>
      <c r="B212" s="339">
        <v>1426739</v>
      </c>
      <c r="C212" s="337">
        <v>0</v>
      </c>
      <c r="D212" s="339">
        <v>0</v>
      </c>
      <c r="E212" s="28">
        <f t="shared" si="22"/>
        <v>1426739</v>
      </c>
    </row>
    <row r="213" spans="1:5" x14ac:dyDescent="0.35">
      <c r="A213" s="16" t="s">
        <v>396</v>
      </c>
      <c r="B213" s="339">
        <v>16156743</v>
      </c>
      <c r="C213" s="337">
        <v>0</v>
      </c>
      <c r="D213" s="339">
        <v>96960</v>
      </c>
      <c r="E213" s="28">
        <f t="shared" si="22"/>
        <v>16059783</v>
      </c>
    </row>
    <row r="214" spans="1:5" x14ac:dyDescent="0.35">
      <c r="A214" s="16" t="s">
        <v>397</v>
      </c>
      <c r="B214" s="339">
        <v>4598667</v>
      </c>
      <c r="C214" s="337">
        <v>490352</v>
      </c>
      <c r="D214" s="339">
        <v>0</v>
      </c>
      <c r="E214" s="28">
        <f t="shared" si="22"/>
        <v>5089019</v>
      </c>
    </row>
    <row r="215" spans="1:5" x14ac:dyDescent="0.35">
      <c r="A215" s="16" t="s">
        <v>398</v>
      </c>
      <c r="B215" s="339">
        <v>2716640</v>
      </c>
      <c r="C215" s="337">
        <v>0</v>
      </c>
      <c r="D215" s="339">
        <v>4689</v>
      </c>
      <c r="E215" s="28">
        <f t="shared" si="22"/>
        <v>2711951</v>
      </c>
    </row>
    <row r="216" spans="1:5" x14ac:dyDescent="0.35">
      <c r="A216" s="16" t="s">
        <v>399</v>
      </c>
      <c r="B216" s="339">
        <v>9066472</v>
      </c>
      <c r="C216" s="337">
        <v>0</v>
      </c>
      <c r="D216" s="339">
        <v>79898</v>
      </c>
      <c r="E216" s="28">
        <f t="shared" si="22"/>
        <v>8986574</v>
      </c>
    </row>
    <row r="217" spans="1:5" x14ac:dyDescent="0.35">
      <c r="A217" s="16" t="s">
        <v>400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35">
      <c r="A218" s="16" t="s">
        <v>401</v>
      </c>
      <c r="B218" s="339">
        <v>0</v>
      </c>
      <c r="C218" s="337">
        <v>0</v>
      </c>
      <c r="D218" s="339">
        <v>0</v>
      </c>
      <c r="E218" s="28">
        <f t="shared" si="22"/>
        <v>0</v>
      </c>
    </row>
    <row r="219" spans="1:5" x14ac:dyDescent="0.35">
      <c r="A219" s="16" t="s">
        <v>402</v>
      </c>
      <c r="B219" s="339">
        <v>0</v>
      </c>
      <c r="C219" s="337">
        <v>0</v>
      </c>
      <c r="D219" s="339">
        <v>0</v>
      </c>
      <c r="E219" s="28">
        <f t="shared" si="22"/>
        <v>0</v>
      </c>
    </row>
    <row r="220" spans="1:5" x14ac:dyDescent="0.35">
      <c r="A220" s="16" t="s">
        <v>230</v>
      </c>
      <c r="B220" s="28">
        <f>SUM(B211:B219)</f>
        <v>34963861</v>
      </c>
      <c r="C220" s="235">
        <f>SUM(C211:C219)</f>
        <v>490352</v>
      </c>
      <c r="D220" s="28">
        <f>SUM(D211:D219)</f>
        <v>227398</v>
      </c>
      <c r="E220" s="28">
        <f>SUM(E211:E219)</f>
        <v>35226815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39">
        <v>1203372</v>
      </c>
      <c r="C225" s="337">
        <v>41617</v>
      </c>
      <c r="D225" s="339">
        <v>0</v>
      </c>
      <c r="E225" s="28">
        <f t="shared" ref="E225:E232" si="23">SUM(B225:C225)-D225</f>
        <v>1244989</v>
      </c>
    </row>
    <row r="226" spans="1:6" x14ac:dyDescent="0.35">
      <c r="A226" s="16" t="s">
        <v>396</v>
      </c>
      <c r="B226" s="339">
        <v>12529066</v>
      </c>
      <c r="C226" s="337">
        <v>401827</v>
      </c>
      <c r="D226" s="339">
        <v>0</v>
      </c>
      <c r="E226" s="28">
        <f t="shared" si="23"/>
        <v>12930893</v>
      </c>
    </row>
    <row r="227" spans="1:6" x14ac:dyDescent="0.35">
      <c r="A227" s="16" t="s">
        <v>397</v>
      </c>
      <c r="B227" s="339">
        <v>1130654</v>
      </c>
      <c r="C227" s="337">
        <v>150551</v>
      </c>
      <c r="D227" s="339">
        <v>0</v>
      </c>
      <c r="E227" s="28">
        <f t="shared" si="23"/>
        <v>1281205</v>
      </c>
    </row>
    <row r="228" spans="1:6" x14ac:dyDescent="0.35">
      <c r="A228" s="16" t="s">
        <v>398</v>
      </c>
      <c r="B228" s="339">
        <v>1989442</v>
      </c>
      <c r="C228" s="337">
        <v>72132</v>
      </c>
      <c r="D228" s="339">
        <v>0</v>
      </c>
      <c r="E228" s="28">
        <f t="shared" si="23"/>
        <v>2061574</v>
      </c>
    </row>
    <row r="229" spans="1:6" x14ac:dyDescent="0.35">
      <c r="A229" s="16" t="s">
        <v>399</v>
      </c>
      <c r="B229" s="339">
        <v>7638528</v>
      </c>
      <c r="C229" s="337">
        <v>226139</v>
      </c>
      <c r="D229" s="339">
        <v>0</v>
      </c>
      <c r="E229" s="28">
        <f t="shared" si="23"/>
        <v>7864667</v>
      </c>
    </row>
    <row r="230" spans="1:6" x14ac:dyDescent="0.35">
      <c r="A230" s="16" t="s">
        <v>400</v>
      </c>
      <c r="B230" s="339">
        <v>0</v>
      </c>
      <c r="C230" s="337">
        <v>0</v>
      </c>
      <c r="D230" s="339">
        <v>0</v>
      </c>
      <c r="E230" s="28">
        <f t="shared" si="23"/>
        <v>0</v>
      </c>
    </row>
    <row r="231" spans="1:6" x14ac:dyDescent="0.35">
      <c r="A231" s="16" t="s">
        <v>401</v>
      </c>
      <c r="B231" s="339">
        <v>0</v>
      </c>
      <c r="C231" s="337">
        <v>0</v>
      </c>
      <c r="D231" s="339">
        <v>0</v>
      </c>
      <c r="E231" s="28">
        <f t="shared" si="23"/>
        <v>0</v>
      </c>
    </row>
    <row r="232" spans="1:6" x14ac:dyDescent="0.35">
      <c r="A232" s="16" t="s">
        <v>402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24491062</v>
      </c>
      <c r="C233" s="235">
        <f>SUM(C224:C232)</f>
        <v>892266</v>
      </c>
      <c r="D233" s="28">
        <f>SUM(D224:D232)</f>
        <v>0</v>
      </c>
      <c r="E233" s="28">
        <f>SUM(E224:E232)</f>
        <v>25383328</v>
      </c>
    </row>
    <row r="234" spans="1:6" x14ac:dyDescent="0.35">
      <c r="A234" s="16"/>
      <c r="B234" s="16"/>
      <c r="C234" s="23"/>
      <c r="D234" s="16"/>
      <c r="E234" s="16"/>
      <c r="F234" s="11">
        <f>E220-E233</f>
        <v>9843487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337">
        <v>922831</v>
      </c>
      <c r="D237" s="36">
        <f>C237</f>
        <v>922831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337">
        <f>5130149+6194953</f>
        <v>11325102</v>
      </c>
      <c r="D239" s="16"/>
      <c r="E239" s="16"/>
    </row>
    <row r="240" spans="1:6" x14ac:dyDescent="0.35">
      <c r="A240" s="16" t="s">
        <v>408</v>
      </c>
      <c r="B240" s="42" t="s">
        <v>299</v>
      </c>
      <c r="C240" s="337">
        <f>310304+4798607</f>
        <v>5108911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37">
        <v>262374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37">
        <v>96747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37">
        <v>1237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37">
        <f>580149+3465215</f>
        <v>4045364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20839735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37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7">
        <v>0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7">
        <v>726374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726374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7">
        <v>482454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7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482454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22971394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7">
        <v>3790598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37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337">
        <v>8651402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7">
        <v>4503473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37">
        <v>263159</v>
      </c>
      <c r="D270" s="16"/>
      <c r="E270" s="16"/>
    </row>
    <row r="271" spans="1:5" x14ac:dyDescent="0.35">
      <c r="A271" s="16" t="s">
        <v>430</v>
      </c>
      <c r="B271" s="42" t="s">
        <v>299</v>
      </c>
      <c r="C271" s="337">
        <f>38809+64846</f>
        <v>103655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37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337">
        <v>241343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7">
        <v>430473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7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8977157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7">
        <v>1862265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7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337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1862265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7">
        <v>952749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7">
        <v>1426739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7">
        <v>16059783</v>
      </c>
      <c r="D285" s="16"/>
      <c r="E285" s="16"/>
    </row>
    <row r="286" spans="1:5" x14ac:dyDescent="0.35">
      <c r="A286" s="16" t="s">
        <v>441</v>
      </c>
      <c r="B286" s="42" t="s">
        <v>299</v>
      </c>
      <c r="C286" s="337">
        <v>5089019</v>
      </c>
      <c r="D286" s="16"/>
      <c r="E286" s="16"/>
    </row>
    <row r="287" spans="1:5" x14ac:dyDescent="0.35">
      <c r="A287" s="16" t="s">
        <v>442</v>
      </c>
      <c r="B287" s="42" t="s">
        <v>299</v>
      </c>
      <c r="C287" s="337">
        <v>2711951</v>
      </c>
      <c r="D287" s="16"/>
      <c r="E287" s="16"/>
    </row>
    <row r="288" spans="1:5" x14ac:dyDescent="0.35">
      <c r="A288" s="16" t="s">
        <v>443</v>
      </c>
      <c r="B288" s="42" t="s">
        <v>299</v>
      </c>
      <c r="C288" s="337">
        <v>8986573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7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37">
        <v>0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35226814</v>
      </c>
      <c r="E291" s="16"/>
    </row>
    <row r="292" spans="1:5" x14ac:dyDescent="0.35">
      <c r="A292" s="16" t="s">
        <v>445</v>
      </c>
      <c r="B292" s="42" t="s">
        <v>299</v>
      </c>
      <c r="C292" s="337">
        <v>25383328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9843486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337">
        <v>1069331</v>
      </c>
      <c r="D295" s="16"/>
      <c r="E295" s="16"/>
    </row>
    <row r="296" spans="1:5" x14ac:dyDescent="0.35">
      <c r="A296" s="16" t="s">
        <v>449</v>
      </c>
      <c r="B296" s="42" t="s">
        <v>299</v>
      </c>
      <c r="C296" s="337">
        <v>552880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337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337">
        <v>2000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518451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337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337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337">
        <v>0</v>
      </c>
      <c r="D304" s="16"/>
      <c r="E304" s="16"/>
    </row>
    <row r="305" spans="1:6" x14ac:dyDescent="0.35">
      <c r="A305" s="16" t="s">
        <v>456</v>
      </c>
      <c r="B305" s="42" t="s">
        <v>299</v>
      </c>
      <c r="C305" s="337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f>D276+D281+D293+D299+D306</f>
        <v>21201359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21201359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299</v>
      </c>
      <c r="C314" s="337">
        <v>0</v>
      </c>
      <c r="D314" s="16"/>
      <c r="E314" s="16"/>
    </row>
    <row r="315" spans="1:6" x14ac:dyDescent="0.35">
      <c r="A315" s="16" t="s">
        <v>462</v>
      </c>
      <c r="B315" s="42" t="s">
        <v>299</v>
      </c>
      <c r="C315" s="337">
        <v>913503</v>
      </c>
      <c r="D315" s="16"/>
      <c r="E315" s="16"/>
    </row>
    <row r="316" spans="1:6" x14ac:dyDescent="0.35">
      <c r="A316" s="16" t="s">
        <v>463</v>
      </c>
      <c r="B316" s="42" t="s">
        <v>299</v>
      </c>
      <c r="C316" s="337">
        <f>1206309+900057</f>
        <v>2106366</v>
      </c>
      <c r="D316" s="16"/>
      <c r="E316" s="16"/>
    </row>
    <row r="317" spans="1:6" x14ac:dyDescent="0.35">
      <c r="A317" s="16" t="s">
        <v>464</v>
      </c>
      <c r="B317" s="42" t="s">
        <v>299</v>
      </c>
      <c r="C317" s="337">
        <v>0</v>
      </c>
      <c r="D317" s="16"/>
      <c r="E317" s="16"/>
    </row>
    <row r="318" spans="1:6" x14ac:dyDescent="0.35">
      <c r="A318" s="16" t="s">
        <v>465</v>
      </c>
      <c r="B318" s="42" t="s">
        <v>299</v>
      </c>
      <c r="C318" s="337">
        <v>0</v>
      </c>
      <c r="D318" s="16"/>
      <c r="E318" s="16"/>
    </row>
    <row r="319" spans="1:6" x14ac:dyDescent="0.35">
      <c r="A319" s="16" t="s">
        <v>466</v>
      </c>
      <c r="B319" s="42" t="s">
        <v>299</v>
      </c>
      <c r="C319" s="337">
        <v>68817</v>
      </c>
      <c r="D319" s="16"/>
      <c r="E319" s="16"/>
    </row>
    <row r="320" spans="1:6" x14ac:dyDescent="0.35">
      <c r="A320" s="16" t="s">
        <v>467</v>
      </c>
      <c r="B320" s="42" t="s">
        <v>299</v>
      </c>
      <c r="C320" s="337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337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337">
        <v>3855</v>
      </c>
      <c r="D322" s="16"/>
      <c r="E322" s="16"/>
    </row>
    <row r="323" spans="1:5" x14ac:dyDescent="0.35">
      <c r="A323" s="16" t="s">
        <v>470</v>
      </c>
      <c r="B323" s="42" t="s">
        <v>299</v>
      </c>
      <c r="C323" s="337">
        <v>885881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3978422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337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337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337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337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337">
        <v>776436</v>
      </c>
      <c r="D333" s="16"/>
      <c r="E333" s="16"/>
    </row>
    <row r="334" spans="1:5" x14ac:dyDescent="0.35">
      <c r="A334" s="22" t="s">
        <v>481</v>
      </c>
      <c r="B334" s="42" t="s">
        <v>299</v>
      </c>
      <c r="C334" s="337">
        <v>279212</v>
      </c>
      <c r="D334" s="16"/>
      <c r="E334" s="16"/>
    </row>
    <row r="335" spans="1:5" x14ac:dyDescent="0.35">
      <c r="A335" s="16" t="s">
        <v>482</v>
      </c>
      <c r="B335" s="42" t="s">
        <v>299</v>
      </c>
      <c r="C335" s="337">
        <f>4424112+885881</f>
        <v>5309993</v>
      </c>
      <c r="D335" s="16"/>
      <c r="E335" s="16"/>
    </row>
    <row r="336" spans="1:5" x14ac:dyDescent="0.35">
      <c r="A336" s="22" t="s">
        <v>483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340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337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6365641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885881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5479760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341">
        <v>11743177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338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338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338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338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338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21201359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21201359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338">
        <v>8042273</v>
      </c>
      <c r="D358" s="16"/>
      <c r="E358" s="16"/>
    </row>
    <row r="359" spans="1:5" x14ac:dyDescent="0.35">
      <c r="A359" s="16" t="s">
        <v>499</v>
      </c>
      <c r="B359" s="42" t="s">
        <v>299</v>
      </c>
      <c r="C359" s="338">
        <f>43800888+6236525</f>
        <v>50037413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58079686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7">
        <v>922831</v>
      </c>
      <c r="D362" s="16"/>
      <c r="E362" s="41"/>
    </row>
    <row r="363" spans="1:5" x14ac:dyDescent="0.35">
      <c r="A363" s="16" t="s">
        <v>502</v>
      </c>
      <c r="B363" s="42" t="s">
        <v>299</v>
      </c>
      <c r="C363" s="337">
        <v>20839735</v>
      </c>
      <c r="D363" s="16"/>
      <c r="E363" s="16"/>
    </row>
    <row r="364" spans="1:5" x14ac:dyDescent="0.35">
      <c r="A364" s="16" t="s">
        <v>503</v>
      </c>
      <c r="B364" s="42" t="s">
        <v>299</v>
      </c>
      <c r="C364" s="337">
        <v>726374</v>
      </c>
      <c r="D364" s="16"/>
      <c r="E364" s="16"/>
    </row>
    <row r="365" spans="1:5" x14ac:dyDescent="0.35">
      <c r="A365" s="16" t="s">
        <v>504</v>
      </c>
      <c r="B365" s="42" t="s">
        <v>299</v>
      </c>
      <c r="C365" s="337">
        <v>482454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22971394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35108292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337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337">
        <f>48398+4474</f>
        <v>52872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337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337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337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337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337">
        <f>19857+402561</f>
        <v>422418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337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337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337">
        <v>102095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342">
        <v>485146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1062531</v>
      </c>
      <c r="E381" s="28"/>
      <c r="F381" s="56"/>
    </row>
    <row r="382" spans="1:6" x14ac:dyDescent="0.35">
      <c r="A382" s="52" t="s">
        <v>520</v>
      </c>
      <c r="B382" s="42" t="s">
        <v>299</v>
      </c>
      <c r="C382" s="337">
        <v>1043944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2106475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37214767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337">
        <v>22446603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7">
        <v>4452888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7">
        <v>1453059</v>
      </c>
      <c r="D391" s="16"/>
      <c r="E391" s="16"/>
    </row>
    <row r="392" spans="1:5" x14ac:dyDescent="0.35">
      <c r="A392" s="16" t="s">
        <v>525</v>
      </c>
      <c r="B392" s="42" t="s">
        <v>299</v>
      </c>
      <c r="C392" s="337">
        <v>3068894</v>
      </c>
      <c r="D392" s="16"/>
      <c r="E392" s="16"/>
    </row>
    <row r="393" spans="1:5" x14ac:dyDescent="0.35">
      <c r="A393" s="16" t="s">
        <v>526</v>
      </c>
      <c r="B393" s="42" t="s">
        <v>299</v>
      </c>
      <c r="C393" s="337">
        <v>509276</v>
      </c>
      <c r="D393" s="16"/>
      <c r="E393" s="16"/>
    </row>
    <row r="394" spans="1:5" x14ac:dyDescent="0.35">
      <c r="A394" s="16" t="s">
        <v>527</v>
      </c>
      <c r="B394" s="42" t="s">
        <v>299</v>
      </c>
      <c r="C394" s="337">
        <v>4342970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7">
        <v>1499968</v>
      </c>
      <c r="D395" s="16"/>
      <c r="E395" s="16"/>
    </row>
    <row r="396" spans="1:5" x14ac:dyDescent="0.35">
      <c r="A396" s="16" t="s">
        <v>528</v>
      </c>
      <c r="B396" s="42" t="s">
        <v>299</v>
      </c>
      <c r="C396" s="337">
        <v>0</v>
      </c>
      <c r="D396" s="16"/>
      <c r="E396" s="16"/>
    </row>
    <row r="397" spans="1:5" x14ac:dyDescent="0.35">
      <c r="A397" s="16" t="s">
        <v>529</v>
      </c>
      <c r="B397" s="42" t="s">
        <v>299</v>
      </c>
      <c r="C397" s="337">
        <v>370404</v>
      </c>
      <c r="D397" s="16"/>
      <c r="E397" s="16"/>
    </row>
    <row r="398" spans="1:5" x14ac:dyDescent="0.35">
      <c r="A398" s="16" t="s">
        <v>530</v>
      </c>
      <c r="B398" s="42" t="s">
        <v>299</v>
      </c>
      <c r="C398" s="337">
        <v>0</v>
      </c>
      <c r="D398" s="16"/>
      <c r="E398" s="16"/>
    </row>
    <row r="399" spans="1:5" x14ac:dyDescent="0.35">
      <c r="A399" s="16" t="s">
        <v>531</v>
      </c>
      <c r="B399" s="42" t="s">
        <v>299</v>
      </c>
      <c r="C399" s="337">
        <v>385929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7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7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337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7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7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7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7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7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7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7">
        <v>196279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7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7">
        <v>362908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7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138792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697979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39227970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-2013203</v>
      </c>
      <c r="E417" s="28"/>
    </row>
    <row r="418" spans="1:13" x14ac:dyDescent="0.35">
      <c r="A418" s="28" t="s">
        <v>537</v>
      </c>
      <c r="B418" s="16"/>
      <c r="C418" s="342">
        <v>521091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337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521091</v>
      </c>
      <c r="E420" s="28"/>
      <c r="F420" s="11">
        <f>D420-C399</f>
        <v>135162</v>
      </c>
    </row>
    <row r="421" spans="1:13" x14ac:dyDescent="0.35">
      <c r="A421" s="28" t="s">
        <v>540</v>
      </c>
      <c r="B421" s="16"/>
      <c r="C421" s="23"/>
      <c r="D421" s="28">
        <f>D417+D420</f>
        <v>-1492112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337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337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-1492112</v>
      </c>
      <c r="E424" s="16"/>
    </row>
    <row r="426" spans="1:13" ht="29.5" customHeight="1" x14ac:dyDescent="0.35">
      <c r="A426" s="352" t="s">
        <v>1370</v>
      </c>
      <c r="B426" s="352"/>
      <c r="C426" s="352"/>
      <c r="D426" s="352"/>
      <c r="E426" s="352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544</v>
      </c>
      <c r="D612" s="227">
        <f>CE90-(BE90+CD90)</f>
        <v>54206</v>
      </c>
      <c r="E612" s="229">
        <f>SUM(C624:D647)+SUM(C668:D713)</f>
        <v>37014730.895251453</v>
      </c>
      <c r="F612" s="229">
        <f>CE64-(AX64+BD64+BE64+BG64+BJ64+BN64+BP64+BQ64+CB64+CC64+CD64)</f>
        <v>2942933</v>
      </c>
      <c r="G612" s="227">
        <f>CE91-(AX91+AY91+BD91+BE91+BG91+BJ91+BN91+BP91+BQ91+CB91+CC91+CD91)</f>
        <v>22575</v>
      </c>
      <c r="H612" s="232">
        <f>CE60-(AX60+AY60+AZ60+BD60+BE60+BG60+BJ60+BN60+BO60+BP60+BQ60+BR60+CB60+CC60+CD60)</f>
        <v>173</v>
      </c>
      <c r="I612" s="227">
        <f>CE92-(AX92+AY92+AZ92+BD92+BE92+BF92+BG92+BJ92+BN92+BO92+BP92+BQ92+BR92+CB92+CC92+CD92)</f>
        <v>14600</v>
      </c>
      <c r="J612" s="227">
        <f>CE93-(AX93+AY93+AZ93+BA93+BD93+BE93+BF93+BG93+BJ93+BN93+BO93+BP93+BQ93+BR93+CB93+CC93+CD93)</f>
        <v>99000</v>
      </c>
      <c r="K612" s="227">
        <f>CE89-(AW89+AX89+AY89+AZ89+BA89+BB89+BC89+BD89+BE89+BF89+BG89+BH89+BI89+BJ89+BK89+BL89+BM89+BN89+BO89+BP89+BQ89+BR89+BS89+BT89+BU89+BV89+BW89+BX89+CB89+CC89+CD89)</f>
        <v>58079686</v>
      </c>
      <c r="L612" s="233">
        <f>CE94-(AW94+AX94+AY94+AZ94+BA94+BB94+BC94+BD94+BE94+BF94+BG94+BH94+BI94+BJ94+BK94+BL94+BM94+BN94+BO94+BP94+BQ94+BR94+BS94+BT94+BU94+BV94+BW94+BX94+BY94+BZ94+CA94+CB94+CC94+CD94)</f>
        <v>35</v>
      </c>
    </row>
    <row r="613" spans="1:14" s="211" customFormat="1" ht="12.65" customHeight="1" x14ac:dyDescent="0.3">
      <c r="A613" s="222"/>
      <c r="C613" s="220" t="s">
        <v>545</v>
      </c>
      <c r="D613" s="228" t="s">
        <v>546</v>
      </c>
      <c r="E613" s="230" t="s">
        <v>547</v>
      </c>
      <c r="F613" s="231" t="s">
        <v>548</v>
      </c>
      <c r="G613" s="228" t="s">
        <v>549</v>
      </c>
      <c r="H613" s="231" t="s">
        <v>550</v>
      </c>
      <c r="I613" s="228" t="s">
        <v>551</v>
      </c>
      <c r="J613" s="228" t="s">
        <v>552</v>
      </c>
      <c r="K613" s="220" t="s">
        <v>553</v>
      </c>
      <c r="L613" s="221" t="s">
        <v>554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2003234</v>
      </c>
      <c r="D614" s="227"/>
      <c r="E614" s="229"/>
      <c r="F614" s="229"/>
      <c r="G614" s="227"/>
      <c r="H614" s="229"/>
      <c r="I614" s="227"/>
      <c r="J614" s="227"/>
      <c r="N614" s="223" t="s">
        <v>555</v>
      </c>
    </row>
    <row r="615" spans="1:14" s="211" customFormat="1" ht="12.65" customHeight="1" x14ac:dyDescent="0.3">
      <c r="A615" s="222"/>
      <c r="B615" s="221" t="s">
        <v>556</v>
      </c>
      <c r="C615" s="227">
        <f>CD69-CD84</f>
        <v>1476506</v>
      </c>
      <c r="D615" s="227">
        <f>SUM(C614:C615)</f>
        <v>3479740</v>
      </c>
      <c r="E615" s="229"/>
      <c r="F615" s="229"/>
      <c r="G615" s="227"/>
      <c r="H615" s="229"/>
      <c r="I615" s="227"/>
      <c r="J615" s="227"/>
      <c r="N615" s="223" t="s">
        <v>557</v>
      </c>
    </row>
    <row r="616" spans="1:14" s="211" customFormat="1" ht="12.65" customHeight="1" x14ac:dyDescent="0.3">
      <c r="A616" s="222">
        <v>8310</v>
      </c>
      <c r="B616" s="226" t="s">
        <v>558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559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477312</v>
      </c>
      <c r="D617" s="227">
        <f>(D615/D612)*BJ90</f>
        <v>87946.791868058877</v>
      </c>
      <c r="E617" s="229"/>
      <c r="F617" s="229"/>
      <c r="G617" s="227"/>
      <c r="H617" s="229"/>
      <c r="I617" s="227"/>
      <c r="J617" s="227"/>
      <c r="N617" s="223" t="s">
        <v>560</v>
      </c>
    </row>
    <row r="618" spans="1:14" s="211" customFormat="1" ht="12.65" customHeight="1" x14ac:dyDescent="0.3">
      <c r="A618" s="222">
        <v>8470</v>
      </c>
      <c r="B618" s="226" t="s">
        <v>561</v>
      </c>
      <c r="C618" s="227">
        <f>BG85</f>
        <v>154188</v>
      </c>
      <c r="D618" s="227">
        <f>(D615/D612)*BG90</f>
        <v>29272.800796959742</v>
      </c>
      <c r="E618" s="229"/>
      <c r="F618" s="229"/>
      <c r="G618" s="227"/>
      <c r="H618" s="229"/>
      <c r="I618" s="227"/>
      <c r="J618" s="227"/>
      <c r="N618" s="223" t="s">
        <v>562</v>
      </c>
    </row>
    <row r="619" spans="1:14" s="211" customFormat="1" ht="12.65" customHeight="1" x14ac:dyDescent="0.3">
      <c r="A619" s="222">
        <v>8610</v>
      </c>
      <c r="B619" s="226" t="s">
        <v>563</v>
      </c>
      <c r="C619" s="227">
        <f>BN85</f>
        <v>1275341</v>
      </c>
      <c r="D619" s="227">
        <f>(D615/D612)*BN90</f>
        <v>57197.512083533184</v>
      </c>
      <c r="E619" s="229"/>
      <c r="F619" s="229"/>
      <c r="G619" s="227"/>
      <c r="H619" s="229"/>
      <c r="I619" s="227"/>
      <c r="J619" s="227"/>
      <c r="N619" s="223" t="s">
        <v>564</v>
      </c>
    </row>
    <row r="620" spans="1:14" s="211" customFormat="1" ht="12.65" customHeight="1" x14ac:dyDescent="0.3">
      <c r="A620" s="222">
        <v>8790</v>
      </c>
      <c r="B620" s="226" t="s">
        <v>565</v>
      </c>
      <c r="C620" s="227">
        <f>CC85</f>
        <v>191447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566</v>
      </c>
    </row>
    <row r="621" spans="1:14" s="211" customFormat="1" ht="12.65" customHeight="1" x14ac:dyDescent="0.3">
      <c r="A621" s="222">
        <v>8630</v>
      </c>
      <c r="B621" s="226" t="s">
        <v>567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568</v>
      </c>
    </row>
    <row r="622" spans="1:14" s="211" customFormat="1" ht="12.65" customHeight="1" x14ac:dyDescent="0.3">
      <c r="A622" s="222">
        <v>8770</v>
      </c>
      <c r="B622" s="221" t="s">
        <v>569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570</v>
      </c>
    </row>
    <row r="623" spans="1:14" s="211" customFormat="1" ht="12.65" customHeight="1" x14ac:dyDescent="0.3">
      <c r="A623" s="222">
        <v>8640</v>
      </c>
      <c r="B623" s="226" t="s">
        <v>571</v>
      </c>
      <c r="C623" s="227">
        <f>BQ85</f>
        <v>0</v>
      </c>
      <c r="D623" s="227">
        <f>(D615/D612)*BQ90</f>
        <v>0</v>
      </c>
      <c r="E623" s="229">
        <f>SUM(C616:D623)</f>
        <v>2272705.1047485517</v>
      </c>
      <c r="F623" s="229"/>
      <c r="G623" s="227"/>
      <c r="H623" s="229"/>
      <c r="I623" s="227"/>
      <c r="J623" s="227"/>
      <c r="N623" s="223" t="s">
        <v>572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242089</v>
      </c>
      <c r="D624" s="227">
        <f>(D615/D612)*BD90</f>
        <v>48402.832896727297</v>
      </c>
      <c r="E624" s="229">
        <f>(E623/E612)*SUM(C624:D624)</f>
        <v>17836.203466681192</v>
      </c>
      <c r="F624" s="229">
        <f>SUM(C624:E624)</f>
        <v>308328.03636340849</v>
      </c>
      <c r="G624" s="227"/>
      <c r="H624" s="229"/>
      <c r="I624" s="227"/>
      <c r="J624" s="227"/>
      <c r="N624" s="223" t="s">
        <v>573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706933</v>
      </c>
      <c r="D625" s="227">
        <f>(D615/D612)*AY90</f>
        <v>180772.38386894437</v>
      </c>
      <c r="E625" s="229">
        <f>(E623/E612)*SUM(C625:D625)</f>
        <v>54505.125625282955</v>
      </c>
      <c r="F625" s="229">
        <f>(F624/F612)*AY64</f>
        <v>15418.848173438821</v>
      </c>
      <c r="G625" s="227">
        <f>SUM(C625:F625)</f>
        <v>957629.35766766616</v>
      </c>
      <c r="H625" s="229"/>
      <c r="I625" s="227"/>
      <c r="J625" s="227"/>
      <c r="N625" s="223" t="s">
        <v>574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534663</v>
      </c>
      <c r="D626" s="227">
        <f>(D615/D612)*BR90</f>
        <v>36077.443087481086</v>
      </c>
      <c r="E626" s="229">
        <f>(E623/E612)*SUM(C626:D626)</f>
        <v>35043.47288548771</v>
      </c>
      <c r="F626" s="229">
        <f>(F624/F612)*BR64</f>
        <v>228.81541354073781</v>
      </c>
      <c r="G626" s="227">
        <f>(G625/G612)*BR91</f>
        <v>0</v>
      </c>
      <c r="H626" s="229"/>
      <c r="I626" s="227"/>
      <c r="J626" s="227"/>
      <c r="N626" s="223" t="s">
        <v>575</v>
      </c>
    </row>
    <row r="627" spans="1:14" s="211" customFormat="1" ht="12.65" customHeight="1" x14ac:dyDescent="0.3">
      <c r="A627" s="222">
        <v>8620</v>
      </c>
      <c r="B627" s="221" t="s">
        <v>576</v>
      </c>
      <c r="C627" s="227">
        <f>BO85</f>
        <v>98558</v>
      </c>
      <c r="D627" s="227">
        <f>(D615/D612)*BO90</f>
        <v>0</v>
      </c>
      <c r="E627" s="229">
        <f>(E623/E612)*SUM(C627:D627)</f>
        <v>6051.4628715710433</v>
      </c>
      <c r="F627" s="229">
        <f>(F624/F612)*BO64</f>
        <v>753.60314542057097</v>
      </c>
      <c r="G627" s="227">
        <f>(G625/G612)*BO91</f>
        <v>0</v>
      </c>
      <c r="H627" s="229"/>
      <c r="I627" s="227"/>
      <c r="J627" s="227"/>
      <c r="N627" s="223" t="s">
        <v>577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756940.7866321964</v>
      </c>
      <c r="H628" s="229">
        <f>SUM(C626:G628)</f>
        <v>1468316.5840356974</v>
      </c>
      <c r="I628" s="227"/>
      <c r="J628" s="227"/>
      <c r="N628" s="223" t="s">
        <v>578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605532</v>
      </c>
      <c r="D629" s="227">
        <f>(D615/D612)*BF90</f>
        <v>25613.700697339777</v>
      </c>
      <c r="E629" s="229">
        <f>(E623/E612)*SUM(C629:D629)</f>
        <v>38752.35672722297</v>
      </c>
      <c r="F629" s="229">
        <f>(F624/F612)*BF64</f>
        <v>6778.0280123708935</v>
      </c>
      <c r="G629" s="227">
        <f>(G625/G612)*BF91</f>
        <v>0</v>
      </c>
      <c r="H629" s="229">
        <f>(H628/H612)*BF60</f>
        <v>84873.790984722407</v>
      </c>
      <c r="I629" s="227">
        <f>SUM(C629:H629)</f>
        <v>761549.87642165611</v>
      </c>
      <c r="J629" s="227"/>
      <c r="N629" s="223" t="s">
        <v>579</v>
      </c>
    </row>
    <row r="630" spans="1:14" s="211" customFormat="1" ht="12.65" customHeight="1" x14ac:dyDescent="0.3">
      <c r="A630" s="222">
        <v>8350</v>
      </c>
      <c r="B630" s="226" t="s">
        <v>580</v>
      </c>
      <c r="C630" s="227">
        <f>BA85</f>
        <v>108208</v>
      </c>
      <c r="D630" s="227">
        <f>(D615/D612)*BA90</f>
        <v>43459.838025310848</v>
      </c>
      <c r="E630" s="229">
        <f>(E623/E612)*SUM(C630:D630)</f>
        <v>9312.4078270827267</v>
      </c>
      <c r="F630" s="229">
        <f>(F624/F612)*BA64</f>
        <v>3219.9692856048696</v>
      </c>
      <c r="G630" s="227">
        <f>(G625/G612)*BA91</f>
        <v>0</v>
      </c>
      <c r="H630" s="229">
        <f>(H628/H612)*BA60</f>
        <v>8487.37909847224</v>
      </c>
      <c r="I630" s="227">
        <f>(I629/I612)*BA92</f>
        <v>0</v>
      </c>
      <c r="J630" s="227">
        <f>SUM(C630:I630)</f>
        <v>172687.59423647067</v>
      </c>
      <c r="N630" s="223" t="s">
        <v>581</v>
      </c>
    </row>
    <row r="631" spans="1:14" s="211" customFormat="1" ht="12.65" customHeight="1" x14ac:dyDescent="0.3">
      <c r="A631" s="222">
        <v>8200</v>
      </c>
      <c r="B631" s="226" t="s">
        <v>582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583</v>
      </c>
    </row>
    <row r="632" spans="1:14" s="211" customFormat="1" ht="12.65" customHeight="1" x14ac:dyDescent="0.3">
      <c r="A632" s="222">
        <v>8360</v>
      </c>
      <c r="B632" s="226" t="s">
        <v>584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585</v>
      </c>
    </row>
    <row r="633" spans="1:14" s="211" customFormat="1" ht="12.65" customHeight="1" x14ac:dyDescent="0.3">
      <c r="A633" s="222">
        <v>8370</v>
      </c>
      <c r="B633" s="226" t="s">
        <v>586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587</v>
      </c>
    </row>
    <row r="634" spans="1:14" s="211" customFormat="1" ht="12.65" customHeight="1" x14ac:dyDescent="0.3">
      <c r="A634" s="222">
        <v>8490</v>
      </c>
      <c r="B634" s="226" t="s">
        <v>588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589</v>
      </c>
    </row>
    <row r="635" spans="1:14" s="211" customFormat="1" ht="12.65" customHeight="1" x14ac:dyDescent="0.3">
      <c r="A635" s="222">
        <v>8530</v>
      </c>
      <c r="B635" s="226" t="s">
        <v>590</v>
      </c>
      <c r="C635" s="227">
        <f>BK85</f>
        <v>1110632</v>
      </c>
      <c r="D635" s="227">
        <f>(D615/D612)*BK90</f>
        <v>87946.791868058877</v>
      </c>
      <c r="E635" s="229">
        <f>(E623/E612)*SUM(C635:D635)</f>
        <v>73592.758148927896</v>
      </c>
      <c r="F635" s="229">
        <f>(F624/F612)*BK64</f>
        <v>278.58067060660341</v>
      </c>
      <c r="G635" s="227">
        <f>(G625/G612)*BK91</f>
        <v>0</v>
      </c>
      <c r="H635" s="229">
        <f>(H628/H612)*BK60</f>
        <v>84873.790984722407</v>
      </c>
      <c r="I635" s="227">
        <f>(I629/I612)*BK92</f>
        <v>0</v>
      </c>
      <c r="J635" s="227">
        <f>(J630/J612)*BK93</f>
        <v>0</v>
      </c>
      <c r="N635" s="223" t="s">
        <v>591</v>
      </c>
    </row>
    <row r="636" spans="1:14" s="211" customFormat="1" ht="12.65" customHeight="1" x14ac:dyDescent="0.3">
      <c r="A636" s="222">
        <v>8480</v>
      </c>
      <c r="B636" s="226" t="s">
        <v>592</v>
      </c>
      <c r="C636" s="227">
        <f>BH85</f>
        <v>2297900</v>
      </c>
      <c r="D636" s="227">
        <f>(D615/D612)*BH90</f>
        <v>5135.5790871859199</v>
      </c>
      <c r="E636" s="229">
        <f>(E623/E612)*SUM(C636:D636)</f>
        <v>141406.42361607606</v>
      </c>
      <c r="F636" s="229">
        <f>(F624/F612)*BH64</f>
        <v>8210.5340331321149</v>
      </c>
      <c r="G636" s="227">
        <f>(G625/G612)*BH91</f>
        <v>0</v>
      </c>
      <c r="H636" s="229">
        <f>(H628/H612)*BH60</f>
        <v>50924.27459083344</v>
      </c>
      <c r="I636" s="227">
        <f>(I629/I612)*BH92</f>
        <v>0</v>
      </c>
      <c r="J636" s="227">
        <f>(J630/J612)*BH93</f>
        <v>0</v>
      </c>
      <c r="N636" s="223" t="s">
        <v>593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553694</v>
      </c>
      <c r="D637" s="227">
        <f>(D615/D612)*BL90</f>
        <v>39543.95897133158</v>
      </c>
      <c r="E637" s="229">
        <f>(E623/E612)*SUM(C637:D637)</f>
        <v>36424.820742320248</v>
      </c>
      <c r="F637" s="229">
        <f>(F624/F612)*BL64</f>
        <v>483.61352971796964</v>
      </c>
      <c r="G637" s="227">
        <f>(G625/G612)*BL91</f>
        <v>0</v>
      </c>
      <c r="H637" s="229">
        <f>(H628/H612)*BL60</f>
        <v>76386.411886250164</v>
      </c>
      <c r="I637" s="227">
        <f>(I629/I612)*BL92</f>
        <v>0</v>
      </c>
      <c r="J637" s="227">
        <f>(J630/J612)*BL93</f>
        <v>0</v>
      </c>
      <c r="N637" s="223" t="s">
        <v>594</v>
      </c>
    </row>
    <row r="638" spans="1:14" s="211" customFormat="1" ht="12.65" customHeight="1" x14ac:dyDescent="0.3">
      <c r="A638" s="222">
        <v>8590</v>
      </c>
      <c r="B638" s="226" t="s">
        <v>595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596</v>
      </c>
    </row>
    <row r="639" spans="1:14" s="211" customFormat="1" ht="12.65" customHeight="1" x14ac:dyDescent="0.3">
      <c r="A639" s="222">
        <v>8660</v>
      </c>
      <c r="B639" s="226" t="s">
        <v>597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598</v>
      </c>
    </row>
    <row r="640" spans="1:14" s="211" customFormat="1" ht="12.65" customHeight="1" x14ac:dyDescent="0.3">
      <c r="A640" s="222">
        <v>8670</v>
      </c>
      <c r="B640" s="226" t="s">
        <v>599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600</v>
      </c>
    </row>
    <row r="641" spans="1:14" s="211" customFormat="1" ht="12.65" customHeight="1" x14ac:dyDescent="0.3">
      <c r="A641" s="222">
        <v>8680</v>
      </c>
      <c r="B641" s="226" t="s">
        <v>601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602</v>
      </c>
    </row>
    <row r="642" spans="1:14" s="211" customFormat="1" ht="12.65" customHeight="1" x14ac:dyDescent="0.3">
      <c r="A642" s="222">
        <v>8690</v>
      </c>
      <c r="B642" s="226" t="s">
        <v>603</v>
      </c>
      <c r="C642" s="227">
        <f>BV85</f>
        <v>256685</v>
      </c>
      <c r="D642" s="227">
        <f>(D615/D612)*BV90</f>
        <v>72796.83356086041</v>
      </c>
      <c r="E642" s="229">
        <f>(E623/E612)*SUM(C642:D642)</f>
        <v>20230.190168740202</v>
      </c>
      <c r="F642" s="229">
        <f>(F624/F612)*BV64</f>
        <v>179.67877024833578</v>
      </c>
      <c r="G642" s="227">
        <f>(G625/G612)*BV91</f>
        <v>0</v>
      </c>
      <c r="H642" s="229">
        <f>(H628/H612)*BV60</f>
        <v>33949.51639388896</v>
      </c>
      <c r="I642" s="227">
        <f>(I629/I612)*BV92</f>
        <v>0</v>
      </c>
      <c r="J642" s="227">
        <f>(J630/J612)*BV93</f>
        <v>0</v>
      </c>
      <c r="N642" s="223" t="s">
        <v>604</v>
      </c>
    </row>
    <row r="643" spans="1:14" s="211" customFormat="1" ht="12.65" customHeight="1" x14ac:dyDescent="0.3">
      <c r="A643" s="222">
        <v>8700</v>
      </c>
      <c r="B643" s="226" t="s">
        <v>605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606</v>
      </c>
    </row>
    <row r="644" spans="1:14" s="211" customFormat="1" ht="12.65" customHeight="1" x14ac:dyDescent="0.3">
      <c r="A644" s="222">
        <v>8710</v>
      </c>
      <c r="B644" s="226" t="s">
        <v>607</v>
      </c>
      <c r="C644" s="227">
        <f>BX85</f>
        <v>441229</v>
      </c>
      <c r="D644" s="227">
        <f>(D615/D612)*BX90</f>
        <v>0</v>
      </c>
      <c r="E644" s="229">
        <f>(E623/E612)*SUM(C644:D644)</f>
        <v>27091.468083366341</v>
      </c>
      <c r="F644" s="229">
        <f>(F624/F612)*BX64</f>
        <v>0</v>
      </c>
      <c r="G644" s="227">
        <f>(G625/G612)*BX91</f>
        <v>0</v>
      </c>
      <c r="H644" s="229">
        <f>(H628/H612)*BX60</f>
        <v>16974.75819694448</v>
      </c>
      <c r="I644" s="227">
        <f>(I629/I612)*BX92</f>
        <v>0</v>
      </c>
      <c r="J644" s="227">
        <f>(J630/J612)*BX93</f>
        <v>0</v>
      </c>
      <c r="K644" s="229">
        <f>SUM(C631:J644)</f>
        <v>5436569.9833032135</v>
      </c>
      <c r="L644" s="229"/>
      <c r="N644" s="223" t="s">
        <v>608</v>
      </c>
    </row>
    <row r="645" spans="1:14" s="211" customFormat="1" ht="12.65" customHeight="1" x14ac:dyDescent="0.3">
      <c r="A645" s="222">
        <v>8720</v>
      </c>
      <c r="B645" s="226" t="s">
        <v>609</v>
      </c>
      <c r="C645" s="227">
        <f>BY85</f>
        <v>925033</v>
      </c>
      <c r="D645" s="227">
        <f>(D615/D612)*BY90</f>
        <v>45385.68018300557</v>
      </c>
      <c r="E645" s="229">
        <f>(E623/E612)*SUM(C645:D645)</f>
        <v>59583.723421806782</v>
      </c>
      <c r="F645" s="229">
        <f>(F624/F612)*BY64</f>
        <v>0</v>
      </c>
      <c r="G645" s="227">
        <f>(G625/G612)*BY91</f>
        <v>0</v>
      </c>
      <c r="H645" s="229">
        <f>(H628/H612)*BY60</f>
        <v>42436.895492361204</v>
      </c>
      <c r="I645" s="227">
        <f>(I629/I612)*BY92</f>
        <v>0</v>
      </c>
      <c r="J645" s="227">
        <f>(J630/J612)*BY93</f>
        <v>0</v>
      </c>
      <c r="K645" s="229">
        <v>0</v>
      </c>
      <c r="L645" s="229"/>
      <c r="N645" s="223" t="s">
        <v>610</v>
      </c>
    </row>
    <row r="646" spans="1:14" s="211" customFormat="1" ht="12.65" customHeight="1" x14ac:dyDescent="0.3">
      <c r="A646" s="222">
        <v>8730</v>
      </c>
      <c r="B646" s="226" t="s">
        <v>611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612</v>
      </c>
    </row>
    <row r="647" spans="1:14" s="211" customFormat="1" ht="12.65" customHeight="1" x14ac:dyDescent="0.3">
      <c r="A647" s="222">
        <v>8740</v>
      </c>
      <c r="B647" s="226" t="s">
        <v>613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1072439.2990971736</v>
      </c>
      <c r="N647" s="223" t="s">
        <v>614</v>
      </c>
    </row>
    <row r="648" spans="1:14" s="211" customFormat="1" ht="12.65" customHeight="1" x14ac:dyDescent="0.3">
      <c r="A648" s="222"/>
      <c r="B648" s="222"/>
      <c r="C648" s="211">
        <f>SUM(C614:C647)</f>
        <v>13459184</v>
      </c>
      <c r="L648" s="225"/>
    </row>
    <row r="666" spans="1:14" s="211" customFormat="1" ht="12.65" customHeight="1" x14ac:dyDescent="0.3">
      <c r="C666" s="220" t="s">
        <v>615</v>
      </c>
      <c r="M666" s="220" t="s">
        <v>616</v>
      </c>
    </row>
    <row r="667" spans="1:14" s="211" customFormat="1" ht="12.65" customHeight="1" x14ac:dyDescent="0.3">
      <c r="C667" s="220" t="s">
        <v>545</v>
      </c>
      <c r="D667" s="220" t="s">
        <v>546</v>
      </c>
      <c r="E667" s="221" t="s">
        <v>547</v>
      </c>
      <c r="F667" s="220" t="s">
        <v>548</v>
      </c>
      <c r="G667" s="220" t="s">
        <v>549</v>
      </c>
      <c r="H667" s="220" t="s">
        <v>550</v>
      </c>
      <c r="I667" s="220" t="s">
        <v>551</v>
      </c>
      <c r="J667" s="220" t="s">
        <v>552</v>
      </c>
      <c r="K667" s="220" t="s">
        <v>553</v>
      </c>
      <c r="L667" s="221" t="s">
        <v>554</v>
      </c>
      <c r="M667" s="220" t="s">
        <v>617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1">
        <f t="shared" ref="M668:M713" si="24">ROUND(SUM(D668:L668),0)</f>
        <v>0</v>
      </c>
      <c r="N668" s="221" t="s">
        <v>618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619</v>
      </c>
    </row>
    <row r="670" spans="1:14" s="211" customFormat="1" ht="12.65" customHeight="1" x14ac:dyDescent="0.3">
      <c r="A670" s="222">
        <v>6070</v>
      </c>
      <c r="B670" s="221" t="s">
        <v>620</v>
      </c>
      <c r="C670" s="227">
        <f>E85</f>
        <v>3300543</v>
      </c>
      <c r="D670" s="227">
        <f>(D615/D612)*E90</f>
        <v>1176882.1425672434</v>
      </c>
      <c r="E670" s="229">
        <f>(E623/E612)*SUM(C670:D670)</f>
        <v>274913.97969200223</v>
      </c>
      <c r="F670" s="229">
        <f>(F624/F612)*E64</f>
        <v>8270.9857243468614</v>
      </c>
      <c r="G670" s="227">
        <f>(G625/G612)*E91</f>
        <v>200688.57103546968</v>
      </c>
      <c r="H670" s="229">
        <f>(H628/H612)*E60</f>
        <v>161260.20287097257</v>
      </c>
      <c r="I670" s="227">
        <f>(I629/I612)*E92</f>
        <v>182563.3265394381</v>
      </c>
      <c r="J670" s="227">
        <f>(J630/J612)*E93</f>
        <v>54073.893144753441</v>
      </c>
      <c r="K670" s="227">
        <f>(K644/K612)*E89</f>
        <v>652587.56025118975</v>
      </c>
      <c r="L670" s="227">
        <f>(L647/L612)*E94</f>
        <v>612822.45662695635</v>
      </c>
      <c r="M670" s="211">
        <f t="shared" si="24"/>
        <v>3324063</v>
      </c>
      <c r="N670" s="221" t="s">
        <v>621</v>
      </c>
    </row>
    <row r="671" spans="1:14" s="211" customFormat="1" ht="12.65" customHeight="1" x14ac:dyDescent="0.3">
      <c r="A671" s="222">
        <v>6100</v>
      </c>
      <c r="B671" s="221" t="s">
        <v>622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623</v>
      </c>
    </row>
    <row r="672" spans="1:14" s="211" customFormat="1" ht="12.65" customHeight="1" x14ac:dyDescent="0.3">
      <c r="A672" s="222">
        <v>6120</v>
      </c>
      <c r="B672" s="221" t="s">
        <v>624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625</v>
      </c>
    </row>
    <row r="673" spans="1:14" s="211" customFormat="1" ht="12.65" customHeight="1" x14ac:dyDescent="0.3">
      <c r="A673" s="222">
        <v>6140</v>
      </c>
      <c r="B673" s="221" t="s">
        <v>626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627</v>
      </c>
    </row>
    <row r="674" spans="1:14" s="211" customFormat="1" ht="12.65" customHeight="1" x14ac:dyDescent="0.3">
      <c r="A674" s="222">
        <v>6150</v>
      </c>
      <c r="B674" s="221" t="s">
        <v>628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629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630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631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632</v>
      </c>
    </row>
    <row r="678" spans="1:14" s="211" customFormat="1" ht="12.65" customHeight="1" x14ac:dyDescent="0.3">
      <c r="A678" s="222">
        <v>6330</v>
      </c>
      <c r="B678" s="221" t="s">
        <v>633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634</v>
      </c>
    </row>
    <row r="679" spans="1:14" s="211" customFormat="1" ht="12.65" customHeight="1" x14ac:dyDescent="0.3">
      <c r="A679" s="222">
        <v>6400</v>
      </c>
      <c r="B679" s="221" t="s">
        <v>635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636</v>
      </c>
    </row>
    <row r="680" spans="1:14" s="211" customFormat="1" ht="12.65" customHeight="1" x14ac:dyDescent="0.3">
      <c r="A680" s="222">
        <v>7010</v>
      </c>
      <c r="B680" s="221" t="s">
        <v>637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638</v>
      </c>
    </row>
    <row r="681" spans="1:14" s="211" customFormat="1" ht="12.65" customHeight="1" x14ac:dyDescent="0.3">
      <c r="A681" s="222">
        <v>7020</v>
      </c>
      <c r="B681" s="221" t="s">
        <v>639</v>
      </c>
      <c r="C681" s="227">
        <f>P85</f>
        <v>2175253</v>
      </c>
      <c r="D681" s="227">
        <f>(D615/D612)*P90</f>
        <v>83196.381212411899</v>
      </c>
      <c r="E681" s="229">
        <f>(E623/E612)*SUM(C681:D681)</f>
        <v>138668.83031037063</v>
      </c>
      <c r="F681" s="229">
        <f>(F624/F612)*P64</f>
        <v>66921.488940195472</v>
      </c>
      <c r="G681" s="227">
        <f>(G625/G612)*P91</f>
        <v>0</v>
      </c>
      <c r="H681" s="229">
        <f>(H628/H612)*P60</f>
        <v>59411.653689305676</v>
      </c>
      <c r="I681" s="227">
        <f>(I629/I612)*P92</f>
        <v>62593.140527807351</v>
      </c>
      <c r="J681" s="227">
        <f>(J630/J612)*P93</f>
        <v>17443.191337017237</v>
      </c>
      <c r="K681" s="227">
        <f>(K644/K612)*P89</f>
        <v>344720.83791552653</v>
      </c>
      <c r="L681" s="227">
        <f>(L647/L612)*P94</f>
        <v>122564.49132539127</v>
      </c>
      <c r="M681" s="211">
        <f t="shared" si="24"/>
        <v>895520</v>
      </c>
      <c r="N681" s="221" t="s">
        <v>640</v>
      </c>
    </row>
    <row r="682" spans="1:14" s="211" customFormat="1" ht="12.65" customHeight="1" x14ac:dyDescent="0.3">
      <c r="A682" s="222">
        <v>7030</v>
      </c>
      <c r="B682" s="221" t="s">
        <v>641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0</v>
      </c>
      <c r="L682" s="227">
        <f>(L647/L612)*Q94</f>
        <v>0</v>
      </c>
      <c r="M682" s="211">
        <f t="shared" si="24"/>
        <v>0</v>
      </c>
      <c r="N682" s="221" t="s">
        <v>642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638417</v>
      </c>
      <c r="D683" s="227">
        <f>(D615/D612)*R90</f>
        <v>0</v>
      </c>
      <c r="E683" s="229">
        <f>(E623/E612)*SUM(C683:D683)</f>
        <v>39198.814627729567</v>
      </c>
      <c r="F683" s="229">
        <f>(F624/F612)*R64</f>
        <v>1237.2166751385407</v>
      </c>
      <c r="G683" s="227">
        <f>(G625/G612)*R91</f>
        <v>0</v>
      </c>
      <c r="H683" s="229">
        <f>(H628/H612)*R60</f>
        <v>8487.37909847224</v>
      </c>
      <c r="I683" s="227">
        <f>(I629/I612)*R92</f>
        <v>0</v>
      </c>
      <c r="J683" s="227">
        <f>(J630/J612)*R93</f>
        <v>0</v>
      </c>
      <c r="K683" s="227">
        <f>(K644/K612)*R89</f>
        <v>107521.95100419193</v>
      </c>
      <c r="L683" s="227">
        <f>(L647/L612)*R94</f>
        <v>0</v>
      </c>
      <c r="M683" s="211">
        <f t="shared" si="24"/>
        <v>156445</v>
      </c>
      <c r="N683" s="221" t="s">
        <v>643</v>
      </c>
    </row>
    <row r="684" spans="1:14" s="211" customFormat="1" ht="12.65" customHeight="1" x14ac:dyDescent="0.3">
      <c r="A684" s="222">
        <v>7050</v>
      </c>
      <c r="B684" s="221" t="s">
        <v>644</v>
      </c>
      <c r="C684" s="227">
        <f>S85</f>
        <v>101274</v>
      </c>
      <c r="D684" s="227">
        <f>(D615/D612)*S90</f>
        <v>0</v>
      </c>
      <c r="E684" s="229">
        <f>(E623/E612)*SUM(C684:D684)</f>
        <v>6218.2253176351578</v>
      </c>
      <c r="F684" s="229">
        <f>(F624/F612)*S64</f>
        <v>2345.5675267170504</v>
      </c>
      <c r="G684" s="227">
        <f>(G625/G612)*S91</f>
        <v>0</v>
      </c>
      <c r="H684" s="229">
        <f>(H628/H612)*S60</f>
        <v>16974.75819694448</v>
      </c>
      <c r="I684" s="227">
        <f>(I629/I612)*S92</f>
        <v>0</v>
      </c>
      <c r="J684" s="227">
        <f>(J630/J612)*S93</f>
        <v>0</v>
      </c>
      <c r="K684" s="227">
        <f>(K644/K612)*S89</f>
        <v>247355.81743861511</v>
      </c>
      <c r="L684" s="227">
        <f>(L647/L612)*S94</f>
        <v>0</v>
      </c>
      <c r="M684" s="211">
        <f t="shared" si="24"/>
        <v>272894</v>
      </c>
      <c r="N684" s="221" t="s">
        <v>645</v>
      </c>
    </row>
    <row r="685" spans="1:14" s="211" customFormat="1" ht="12.65" customHeight="1" x14ac:dyDescent="0.3">
      <c r="A685" s="222">
        <v>7060</v>
      </c>
      <c r="B685" s="221" t="s">
        <v>646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647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1969687</v>
      </c>
      <c r="D686" s="227">
        <f>(D615/D612)*U90</f>
        <v>67597.059735084666</v>
      </c>
      <c r="E686" s="229">
        <f>(E623/E612)*SUM(C686:D686)</f>
        <v>125089.27582063747</v>
      </c>
      <c r="F686" s="229">
        <f>(F624/F612)*U64</f>
        <v>47347.084648313503</v>
      </c>
      <c r="G686" s="227">
        <f>(G625/G612)*U91</f>
        <v>0</v>
      </c>
      <c r="H686" s="229">
        <f>(H628/H612)*U60</f>
        <v>67899.03278777792</v>
      </c>
      <c r="I686" s="227">
        <f>(I629/I612)*U92</f>
        <v>57377.045483823407</v>
      </c>
      <c r="J686" s="227">
        <f>(J630/J612)*U93</f>
        <v>0</v>
      </c>
      <c r="K686" s="227">
        <f>(K644/K612)*U89</f>
        <v>565517.16378780524</v>
      </c>
      <c r="L686" s="227">
        <f>(L647/L612)*U94</f>
        <v>0</v>
      </c>
      <c r="M686" s="211">
        <f t="shared" si="24"/>
        <v>930827</v>
      </c>
      <c r="N686" s="221" t="s">
        <v>648</v>
      </c>
    </row>
    <row r="687" spans="1:14" s="211" customFormat="1" ht="12.65" customHeight="1" x14ac:dyDescent="0.3">
      <c r="A687" s="222">
        <v>7110</v>
      </c>
      <c r="B687" s="221" t="s">
        <v>649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650</v>
      </c>
    </row>
    <row r="688" spans="1:14" s="211" customFormat="1" ht="12.65" customHeight="1" x14ac:dyDescent="0.3">
      <c r="A688" s="222">
        <v>7120</v>
      </c>
      <c r="B688" s="221" t="s">
        <v>651</v>
      </c>
      <c r="C688" s="227">
        <f>W85</f>
        <v>225744</v>
      </c>
      <c r="D688" s="227">
        <f>(D615/D612)*W90</f>
        <v>0</v>
      </c>
      <c r="E688" s="229">
        <f>(E623/E612)*SUM(C688:D688)</f>
        <v>13860.685428680916</v>
      </c>
      <c r="F688" s="229">
        <f>(F624/F612)*W64</f>
        <v>0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0</v>
      </c>
      <c r="K688" s="227">
        <f>(K644/K612)*W89</f>
        <v>80228.593406467189</v>
      </c>
      <c r="L688" s="227">
        <f>(L647/L612)*W94</f>
        <v>0</v>
      </c>
      <c r="M688" s="211">
        <f t="shared" si="24"/>
        <v>94089</v>
      </c>
      <c r="N688" s="221" t="s">
        <v>652</v>
      </c>
    </row>
    <row r="689" spans="1:14" s="211" customFormat="1" ht="12.65" customHeight="1" x14ac:dyDescent="0.3">
      <c r="A689" s="222">
        <v>7130</v>
      </c>
      <c r="B689" s="221" t="s">
        <v>653</v>
      </c>
      <c r="C689" s="227">
        <f>X85</f>
        <v>110780</v>
      </c>
      <c r="D689" s="227">
        <f>(D615/D612)*X90</f>
        <v>0</v>
      </c>
      <c r="E689" s="229">
        <f>(E623/E612)*SUM(C689:D689)</f>
        <v>6801.8938788595569</v>
      </c>
      <c r="F689" s="229">
        <f>(F624/F612)*X64</f>
        <v>2883.4513788773743</v>
      </c>
      <c r="G689" s="227">
        <f>(G625/G612)*X91</f>
        <v>0</v>
      </c>
      <c r="H689" s="229">
        <f>(H628/H612)*X60</f>
        <v>0</v>
      </c>
      <c r="I689" s="227">
        <f>(I629/I612)*X92</f>
        <v>0</v>
      </c>
      <c r="J689" s="227">
        <f>(J630/J612)*X93</f>
        <v>0</v>
      </c>
      <c r="K689" s="227">
        <f>(K644/K612)*X89</f>
        <v>591937.37057675573</v>
      </c>
      <c r="L689" s="227">
        <f>(L647/L612)*X94</f>
        <v>0</v>
      </c>
      <c r="M689" s="211">
        <f t="shared" si="24"/>
        <v>601623</v>
      </c>
      <c r="N689" s="221" t="s">
        <v>654</v>
      </c>
    </row>
    <row r="690" spans="1:14" s="211" customFormat="1" ht="12.65" customHeight="1" x14ac:dyDescent="0.3">
      <c r="A690" s="222">
        <v>7140</v>
      </c>
      <c r="B690" s="221" t="s">
        <v>655</v>
      </c>
      <c r="C690" s="227">
        <f>Y85</f>
        <v>1639760</v>
      </c>
      <c r="D690" s="227">
        <f>(D615/D612)*Y90</f>
        <v>157469.69376083827</v>
      </c>
      <c r="E690" s="229">
        <f>(E623/E612)*SUM(C690:D690)</f>
        <v>110349.93367843005</v>
      </c>
      <c r="F690" s="229">
        <f>(F624/F612)*Y64</f>
        <v>1171.2122289248662</v>
      </c>
      <c r="G690" s="227">
        <f>(G625/G612)*Y91</f>
        <v>0</v>
      </c>
      <c r="H690" s="229">
        <f>(H628/H612)*Y60</f>
        <v>84873.790984722407</v>
      </c>
      <c r="I690" s="227">
        <f>(I629/I612)*Y92</f>
        <v>109537.99592366286</v>
      </c>
      <c r="J690" s="227">
        <f>(J630/J612)*Y93</f>
        <v>12210.233935912067</v>
      </c>
      <c r="K690" s="227">
        <f>(K644/K612)*Y89</f>
        <v>375436.31391140487</v>
      </c>
      <c r="L690" s="227">
        <f>(L647/L612)*Y94</f>
        <v>0</v>
      </c>
      <c r="M690" s="211">
        <f t="shared" si="24"/>
        <v>851049</v>
      </c>
      <c r="N690" s="221" t="s">
        <v>656</v>
      </c>
    </row>
    <row r="691" spans="1:14" s="211" customFormat="1" ht="12.65" customHeight="1" x14ac:dyDescent="0.3">
      <c r="A691" s="222">
        <v>7150</v>
      </c>
      <c r="B691" s="221" t="s">
        <v>657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658</v>
      </c>
    </row>
    <row r="692" spans="1:14" s="211" customFormat="1" ht="12.65" customHeight="1" x14ac:dyDescent="0.3">
      <c r="A692" s="222">
        <v>7160</v>
      </c>
      <c r="B692" s="221" t="s">
        <v>659</v>
      </c>
      <c r="C692" s="227">
        <f>AA85</f>
        <v>118133</v>
      </c>
      <c r="D692" s="227">
        <f>(D615/D612)*AA90</f>
        <v>0</v>
      </c>
      <c r="E692" s="229">
        <f>(E623/E612)*SUM(C692:D692)</f>
        <v>7253.3682035684778</v>
      </c>
      <c r="F692" s="229">
        <f>(F624/F612)*AA64</f>
        <v>1865.0970658663985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29956.898149147371</v>
      </c>
      <c r="L692" s="227">
        <f>(L647/L612)*AA94</f>
        <v>0</v>
      </c>
      <c r="M692" s="211">
        <f t="shared" si="24"/>
        <v>39075</v>
      </c>
      <c r="N692" s="221" t="s">
        <v>660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870584</v>
      </c>
      <c r="D693" s="227">
        <f>(D615/D612)*AB90</f>
        <v>31968.97981773235</v>
      </c>
      <c r="E693" s="229">
        <f>(E623/E612)*SUM(C693:D693)</f>
        <v>55416.76826835789</v>
      </c>
      <c r="F693" s="229">
        <f>(F624/F612)*AB64</f>
        <v>32172.662463789766</v>
      </c>
      <c r="G693" s="227">
        <f>(G625/G612)*AB91</f>
        <v>0</v>
      </c>
      <c r="H693" s="229">
        <f>(H628/H612)*AB60</f>
        <v>0</v>
      </c>
      <c r="I693" s="227">
        <f>(I629/I612)*AB92</f>
        <v>62593.140527807351</v>
      </c>
      <c r="J693" s="227">
        <f>(J630/J612)*AB93</f>
        <v>0</v>
      </c>
      <c r="K693" s="227">
        <f>(K644/K612)*AB89</f>
        <v>123662.13621595438</v>
      </c>
      <c r="L693" s="227">
        <f>(L647/L612)*AB94</f>
        <v>0</v>
      </c>
      <c r="M693" s="211">
        <f t="shared" si="24"/>
        <v>305814</v>
      </c>
      <c r="N693" s="221" t="s">
        <v>661</v>
      </c>
    </row>
    <row r="694" spans="1:14" s="211" customFormat="1" ht="12.65" customHeight="1" x14ac:dyDescent="0.3">
      <c r="A694" s="222">
        <v>7180</v>
      </c>
      <c r="B694" s="221" t="s">
        <v>662</v>
      </c>
      <c r="C694" s="227">
        <f>AC85</f>
        <v>431771</v>
      </c>
      <c r="D694" s="227">
        <f>(D615/D612)*AC90</f>
        <v>63681.180681105405</v>
      </c>
      <c r="E694" s="229">
        <f>(E623/E612)*SUM(C694:D694)</f>
        <v>30420.772296826413</v>
      </c>
      <c r="F694" s="229">
        <f>(F624/F612)*AC64</f>
        <v>1152.3538157209593</v>
      </c>
      <c r="G694" s="227">
        <f>(G625/G612)*AC91</f>
        <v>0</v>
      </c>
      <c r="H694" s="229">
        <f>(H628/H612)*AC60</f>
        <v>25462.13729541672</v>
      </c>
      <c r="I694" s="227">
        <f>(I629/I612)*AC92</f>
        <v>67809.235571791301</v>
      </c>
      <c r="J694" s="227">
        <f>(J630/J612)*AC93</f>
        <v>0</v>
      </c>
      <c r="K694" s="227">
        <f>(K644/K612)*AC89</f>
        <v>89324.132743707916</v>
      </c>
      <c r="L694" s="227">
        <f>(L647/L612)*AC94</f>
        <v>0</v>
      </c>
      <c r="M694" s="211">
        <f t="shared" si="24"/>
        <v>277850</v>
      </c>
      <c r="N694" s="221" t="s">
        <v>663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24"/>
        <v>0</v>
      </c>
      <c r="N695" s="221" t="s">
        <v>664</v>
      </c>
    </row>
    <row r="696" spans="1:14" s="211" customFormat="1" ht="12.65" customHeight="1" x14ac:dyDescent="0.3">
      <c r="A696" s="222">
        <v>7200</v>
      </c>
      <c r="B696" s="221" t="s">
        <v>665</v>
      </c>
      <c r="C696" s="227">
        <f>AE85</f>
        <v>1738752</v>
      </c>
      <c r="D696" s="227">
        <f>(D615/D612)*AE90</f>
        <v>181414.33125484263</v>
      </c>
      <c r="E696" s="229">
        <f>(E623/E612)*SUM(C696:D696)</f>
        <v>117898.24530560143</v>
      </c>
      <c r="F696" s="229">
        <f>(F624/F612)*AE64</f>
        <v>2429.3826965121925</v>
      </c>
      <c r="G696" s="227">
        <f>(G625/G612)*AE91</f>
        <v>0</v>
      </c>
      <c r="H696" s="229">
        <f>(H628/H612)*AE60</f>
        <v>110335.92828013912</v>
      </c>
      <c r="I696" s="227">
        <f>(I629/I612)*AE92</f>
        <v>119970.18601163077</v>
      </c>
      <c r="J696" s="227">
        <f>(J630/J612)*AE93</f>
        <v>29653.425272929308</v>
      </c>
      <c r="K696" s="227">
        <f>(K644/K612)*AE89</f>
        <v>400517.96403596096</v>
      </c>
      <c r="L696" s="227">
        <f>(L647/L612)*AE94</f>
        <v>0</v>
      </c>
      <c r="M696" s="211">
        <f t="shared" si="24"/>
        <v>962219</v>
      </c>
      <c r="N696" s="221" t="s">
        <v>666</v>
      </c>
    </row>
    <row r="697" spans="1:14" s="211" customFormat="1" ht="12.65" customHeight="1" x14ac:dyDescent="0.3">
      <c r="A697" s="222">
        <v>7220</v>
      </c>
      <c r="B697" s="221" t="s">
        <v>667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668</v>
      </c>
    </row>
    <row r="698" spans="1:14" s="211" customFormat="1" ht="12.65" customHeight="1" x14ac:dyDescent="0.3">
      <c r="A698" s="222">
        <v>7230</v>
      </c>
      <c r="B698" s="221" t="s">
        <v>669</v>
      </c>
      <c r="C698" s="227">
        <f>AG85</f>
        <v>4347493</v>
      </c>
      <c r="D698" s="227">
        <f>(D615/D612)*AG90</f>
        <v>227120.98513079731</v>
      </c>
      <c r="E698" s="229">
        <f>(E623/E612)*SUM(C698:D698)</f>
        <v>280881.37627375423</v>
      </c>
      <c r="F698" s="229">
        <f>(F624/F612)*AG64</f>
        <v>16644.54026273053</v>
      </c>
      <c r="G698" s="227">
        <f>(G625/G612)*AG91</f>
        <v>0</v>
      </c>
      <c r="H698" s="229">
        <f>(H628/H612)*AG60</f>
        <v>135798.06557555584</v>
      </c>
      <c r="I698" s="227">
        <f>(I629/I612)*AG92</f>
        <v>99105.805835694977</v>
      </c>
      <c r="J698" s="227">
        <f>(J630/J612)*AG93</f>
        <v>59306.850545858615</v>
      </c>
      <c r="K698" s="227">
        <f>(K644/K612)*AG89</f>
        <v>1197950.3665198274</v>
      </c>
      <c r="L698" s="227">
        <f>(L647/L612)*AG94</f>
        <v>153205.61415673909</v>
      </c>
      <c r="M698" s="211">
        <f t="shared" si="24"/>
        <v>2170014</v>
      </c>
      <c r="N698" s="221" t="s">
        <v>670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483337</v>
      </c>
      <c r="D699" s="227">
        <f>(D615/D612)*AH90</f>
        <v>0</v>
      </c>
      <c r="E699" s="229">
        <f>(E623/E612)*SUM(C699:D699)</f>
        <v>29676.899997529712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29677</v>
      </c>
      <c r="N699" s="221" t="s">
        <v>671</v>
      </c>
    </row>
    <row r="700" spans="1:14" s="211" customFormat="1" ht="12.65" customHeight="1" x14ac:dyDescent="0.3">
      <c r="A700" s="222">
        <v>7250</v>
      </c>
      <c r="B700" s="221" t="s">
        <v>672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10156.181684391315</v>
      </c>
      <c r="L700" s="227">
        <f>(L647/L612)*AI94</f>
        <v>0</v>
      </c>
      <c r="M700" s="211">
        <f t="shared" si="24"/>
        <v>10156</v>
      </c>
      <c r="N700" s="221" t="s">
        <v>673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6801776</v>
      </c>
      <c r="D701" s="227">
        <f>(D615/D612)*AJ90</f>
        <v>518179.92989705934</v>
      </c>
      <c r="E701" s="229">
        <f>(E623/E612)*SUM(C701:D701)</f>
        <v>449445.41824416432</v>
      </c>
      <c r="F701" s="229">
        <f>(F624/F612)*AJ64</f>
        <v>37074.697438220894</v>
      </c>
      <c r="G701" s="227">
        <f>(G625/G612)*AJ91</f>
        <v>0</v>
      </c>
      <c r="H701" s="229">
        <f>(H628/H612)*AJ60</f>
        <v>398906.81762819528</v>
      </c>
      <c r="I701" s="227">
        <f>(I629/I612)*AJ92</f>
        <v>0</v>
      </c>
      <c r="J701" s="227">
        <f>(J630/J612)*AJ93</f>
        <v>0</v>
      </c>
      <c r="K701" s="227">
        <f>(K644/K612)*AJ89</f>
        <v>619696.69566226762</v>
      </c>
      <c r="L701" s="227">
        <f>(L647/L612)*AJ94</f>
        <v>183846.73698808689</v>
      </c>
      <c r="M701" s="211">
        <f t="shared" si="24"/>
        <v>2207150</v>
      </c>
      <c r="N701" s="221" t="s">
        <v>674</v>
      </c>
    </row>
    <row r="702" spans="1:14" s="211" customFormat="1" ht="12.65" customHeight="1" x14ac:dyDescent="0.3">
      <c r="A702" s="222">
        <v>7310</v>
      </c>
      <c r="B702" s="221" t="s">
        <v>675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676</v>
      </c>
    </row>
    <row r="703" spans="1:14" s="211" customFormat="1" ht="12.65" customHeight="1" x14ac:dyDescent="0.3">
      <c r="A703" s="222">
        <v>7320</v>
      </c>
      <c r="B703" s="221" t="s">
        <v>677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678</v>
      </c>
    </row>
    <row r="704" spans="1:14" s="211" customFormat="1" ht="12.65" customHeight="1" x14ac:dyDescent="0.3">
      <c r="A704" s="222">
        <v>7330</v>
      </c>
      <c r="B704" s="221" t="s">
        <v>679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680</v>
      </c>
    </row>
    <row r="705" spans="1:14" s="211" customFormat="1" ht="12.65" customHeight="1" x14ac:dyDescent="0.3">
      <c r="A705" s="222">
        <v>7340</v>
      </c>
      <c r="B705" s="221" t="s">
        <v>681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682</v>
      </c>
    </row>
    <row r="706" spans="1:14" s="211" customFormat="1" ht="12.65" customHeight="1" x14ac:dyDescent="0.3">
      <c r="A706" s="222">
        <v>7350</v>
      </c>
      <c r="B706" s="221" t="s">
        <v>683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684</v>
      </c>
    </row>
    <row r="707" spans="1:14" s="211" customFormat="1" ht="12.65" customHeight="1" x14ac:dyDescent="0.3">
      <c r="A707" s="222">
        <v>7380</v>
      </c>
      <c r="B707" s="221" t="s">
        <v>685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686</v>
      </c>
    </row>
    <row r="708" spans="1:14" s="211" customFormat="1" ht="12.65" customHeight="1" x14ac:dyDescent="0.3">
      <c r="A708" s="222">
        <v>7390</v>
      </c>
      <c r="B708" s="221" t="s">
        <v>687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688</v>
      </c>
    </row>
    <row r="709" spans="1:14" s="211" customFormat="1" ht="12.65" customHeight="1" x14ac:dyDescent="0.3">
      <c r="A709" s="222">
        <v>7400</v>
      </c>
      <c r="B709" s="221" t="s">
        <v>689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690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691</v>
      </c>
    </row>
    <row r="711" spans="1:14" s="211" customFormat="1" ht="12.65" customHeight="1" x14ac:dyDescent="0.3">
      <c r="A711" s="222">
        <v>7420</v>
      </c>
      <c r="B711" s="221" t="s">
        <v>692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693</v>
      </c>
    </row>
    <row r="712" spans="1:14" s="211" customFormat="1" ht="12.65" customHeight="1" x14ac:dyDescent="0.3">
      <c r="A712" s="222">
        <v>7430</v>
      </c>
      <c r="B712" s="221" t="s">
        <v>694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695</v>
      </c>
    </row>
    <row r="713" spans="1:14" s="211" customFormat="1" ht="12.65" customHeight="1" x14ac:dyDescent="0.3">
      <c r="A713" s="222">
        <v>7490</v>
      </c>
      <c r="B713" s="221" t="s">
        <v>696</v>
      </c>
      <c r="C713" s="227">
        <f>AV85</f>
        <v>874948</v>
      </c>
      <c r="D713" s="227">
        <f>(D615/D612)*AV90</f>
        <v>212677.16894808691</v>
      </c>
      <c r="E713" s="229">
        <f>(E623/E612)*SUM(C713:D713)</f>
        <v>66780.203819837363</v>
      </c>
      <c r="F713" s="229">
        <f>(F624/F612)*AV64</f>
        <v>51260.624463973174</v>
      </c>
      <c r="G713" s="227">
        <f>(G625/G612)*AV91</f>
        <v>0</v>
      </c>
      <c r="H713" s="229">
        <f>(H628/H612)*AV60</f>
        <v>0</v>
      </c>
      <c r="I713" s="227">
        <f>(I629/I612)*AV92</f>
        <v>0</v>
      </c>
      <c r="J713" s="227">
        <f>(J630/J612)*AV93</f>
        <v>0</v>
      </c>
      <c r="K713" s="227">
        <f>(K644/K612)*AV89</f>
        <v>0</v>
      </c>
      <c r="L713" s="227">
        <f>(L647/L612)*AV94</f>
        <v>0</v>
      </c>
      <c r="M713" s="211">
        <f t="shared" si="24"/>
        <v>330718</v>
      </c>
      <c r="N713" s="223" t="s">
        <v>697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39287436</v>
      </c>
      <c r="D715" s="211">
        <f>SUM(D616:D647)+SUM(D668:D713)</f>
        <v>3479740</v>
      </c>
      <c r="E715" s="211">
        <f>SUM(E624:E647)+SUM(E668:E713)</f>
        <v>2272705.1047485517</v>
      </c>
      <c r="F715" s="211">
        <f>SUM(F625:F648)+SUM(F668:F713)</f>
        <v>308328.03636340849</v>
      </c>
      <c r="G715" s="211">
        <f>SUM(G626:G647)+SUM(G668:G713)</f>
        <v>957629.35766766605</v>
      </c>
      <c r="H715" s="211">
        <f>SUM(H629:H647)+SUM(H668:H713)</f>
        <v>1468316.5840356976</v>
      </c>
      <c r="I715" s="211">
        <f>SUM(I630:I647)+SUM(I668:I713)</f>
        <v>761549.87642165623</v>
      </c>
      <c r="J715" s="211">
        <f>SUM(J631:J647)+SUM(J668:J713)</f>
        <v>172687.59423647067</v>
      </c>
      <c r="K715" s="211">
        <f>SUM(K668:K713)</f>
        <v>5436569.9833032135</v>
      </c>
      <c r="L715" s="211">
        <f>SUM(L668:L713)</f>
        <v>1072439.2990971736</v>
      </c>
      <c r="M715" s="211">
        <f>SUM(M668:M713)</f>
        <v>13459183</v>
      </c>
      <c r="N715" s="221" t="s">
        <v>698</v>
      </c>
    </row>
    <row r="716" spans="1:14" s="211" customFormat="1" ht="12.65" customHeight="1" x14ac:dyDescent="0.3">
      <c r="C716" s="224">
        <f>CE85</f>
        <v>39287436</v>
      </c>
      <c r="D716" s="211">
        <f>D615</f>
        <v>3479740</v>
      </c>
      <c r="E716" s="211">
        <f>E623</f>
        <v>2272705.1047485517</v>
      </c>
      <c r="F716" s="211">
        <f>F624</f>
        <v>308328.03636340849</v>
      </c>
      <c r="G716" s="211">
        <f>G625</f>
        <v>957629.35766766616</v>
      </c>
      <c r="H716" s="211">
        <f>H628</f>
        <v>1468316.5840356974</v>
      </c>
      <c r="I716" s="211">
        <f>I629</f>
        <v>761549.87642165611</v>
      </c>
      <c r="J716" s="211">
        <f>J630</f>
        <v>172687.59423647067</v>
      </c>
      <c r="K716" s="211">
        <f>K644</f>
        <v>5436569.9833032135</v>
      </c>
      <c r="L716" s="211">
        <f>L647</f>
        <v>1072439.2990971736</v>
      </c>
      <c r="M716" s="211">
        <f>C648</f>
        <v>13459184</v>
      </c>
      <c r="N716" s="221" t="s">
        <v>699</v>
      </c>
    </row>
  </sheetData>
  <sheetProtection algorithmName="SHA-512" hashValue="b8lNKnRH4hS9qZe02HXR1BO+tk1f99eLwxui5Nn6mpR/ZvUEKkWnmbiOMoNVuwx19fmMg113P46pOBMewV97vA==" saltValue="cPkMBjpyQSaXdBm7MKnkB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4E18E-D7C2-4635-B23D-C403402F46FA}">
  <sheetPr codeName="Sheet8">
    <pageSetUpPr fitToPage="1"/>
  </sheetPr>
  <dimension ref="A1:C179"/>
  <sheetViews>
    <sheetView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893</v>
      </c>
      <c r="B1" s="178"/>
      <c r="C1" s="178"/>
    </row>
    <row r="2" spans="1:3" ht="20.149999999999999" customHeight="1" x14ac:dyDescent="0.35">
      <c r="A2" s="177"/>
      <c r="B2" s="178"/>
      <c r="C2" s="103" t="s">
        <v>894</v>
      </c>
    </row>
    <row r="3" spans="1:3" ht="20.149999999999999" customHeight="1" x14ac:dyDescent="0.35">
      <c r="A3" s="129" t="str">
        <f>"Hospital: "&amp;data!C98</f>
        <v>Hospital: Arbor Health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895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3790598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8651402</v>
      </c>
    </row>
    <row r="9" spans="1:3" ht="20.149999999999999" customHeight="1" x14ac:dyDescent="0.35">
      <c r="A9" s="183">
        <v>5</v>
      </c>
      <c r="B9" s="185" t="s">
        <v>896</v>
      </c>
      <c r="C9" s="185">
        <f>data!C269</f>
        <v>4503473</v>
      </c>
    </row>
    <row r="10" spans="1:3" ht="20.149999999999999" customHeight="1" x14ac:dyDescent="0.35">
      <c r="A10" s="183">
        <v>6</v>
      </c>
      <c r="B10" s="185" t="s">
        <v>897</v>
      </c>
      <c r="C10" s="185">
        <f>data!C270</f>
        <v>263159</v>
      </c>
    </row>
    <row r="11" spans="1:3" ht="20.149999999999999" customHeight="1" x14ac:dyDescent="0.35">
      <c r="A11" s="183">
        <v>7</v>
      </c>
      <c r="B11" s="185" t="s">
        <v>898</v>
      </c>
      <c r="C11" s="185">
        <f>data!C271</f>
        <v>103655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241343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430473</v>
      </c>
    </row>
    <row r="15" spans="1:3" ht="20.149999999999999" customHeight="1" x14ac:dyDescent="0.35">
      <c r="A15" s="183">
        <v>11</v>
      </c>
      <c r="B15" s="185" t="s">
        <v>899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900</v>
      </c>
      <c r="C16" s="185">
        <f>data!D276</f>
        <v>8977157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901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1862265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902</v>
      </c>
      <c r="C22" s="185">
        <f>data!D281</f>
        <v>1862265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903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952749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1426739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16059783</v>
      </c>
    </row>
    <row r="28" spans="1:3" ht="20.149999999999999" customHeight="1" x14ac:dyDescent="0.35">
      <c r="A28" s="183">
        <v>24</v>
      </c>
      <c r="B28" s="185" t="s">
        <v>904</v>
      </c>
      <c r="C28" s="185">
        <f>data!C286</f>
        <v>5089019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2711951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8986573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0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905</v>
      </c>
      <c r="C34" s="185">
        <f>data!C292</f>
        <v>25383328</v>
      </c>
    </row>
    <row r="35" spans="1:3" ht="20.149999999999999" customHeight="1" x14ac:dyDescent="0.35">
      <c r="A35" s="183">
        <v>31</v>
      </c>
      <c r="B35" s="185" t="s">
        <v>906</v>
      </c>
      <c r="C35" s="185">
        <f>data!D293</f>
        <v>9843486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907</v>
      </c>
      <c r="C37" s="184"/>
    </row>
    <row r="38" spans="1:3" ht="20.149999999999999" customHeight="1" x14ac:dyDescent="0.35">
      <c r="A38" s="183">
        <v>34</v>
      </c>
      <c r="B38" s="185" t="s">
        <v>908</v>
      </c>
      <c r="C38" s="185">
        <f>data!C295</f>
        <v>1069331</v>
      </c>
    </row>
    <row r="39" spans="1:3" ht="20.149999999999999" customHeight="1" x14ac:dyDescent="0.35">
      <c r="A39" s="183">
        <v>35</v>
      </c>
      <c r="B39" s="185" t="s">
        <v>909</v>
      </c>
      <c r="C39" s="185">
        <f>data!C296</f>
        <v>552880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2000</v>
      </c>
    </row>
    <row r="42" spans="1:3" ht="20.149999999999999" customHeight="1" x14ac:dyDescent="0.35">
      <c r="A42" s="183">
        <v>38</v>
      </c>
      <c r="B42" s="185" t="s">
        <v>910</v>
      </c>
      <c r="C42" s="185">
        <f>data!D299</f>
        <v>518451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911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912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913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914</v>
      </c>
      <c r="C50" s="185">
        <f>data!D308</f>
        <v>21201359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915</v>
      </c>
      <c r="B53" s="178"/>
      <c r="C53" s="178"/>
    </row>
    <row r="54" spans="1:3" ht="20.149999999999999" customHeight="1" x14ac:dyDescent="0.35">
      <c r="A54" s="177"/>
      <c r="B54" s="178"/>
      <c r="C54" s="103" t="s">
        <v>916</v>
      </c>
    </row>
    <row r="55" spans="1:3" ht="20.149999999999999" customHeight="1" x14ac:dyDescent="0.35">
      <c r="A55" s="129" t="str">
        <f>"Hospital: "&amp;data!C98</f>
        <v>Hospital: Arbor Health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917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918</v>
      </c>
      <c r="C59" s="185">
        <f>data!C315</f>
        <v>913503</v>
      </c>
    </row>
    <row r="60" spans="1:3" ht="20.149999999999999" customHeight="1" x14ac:dyDescent="0.35">
      <c r="A60" s="183">
        <v>4</v>
      </c>
      <c r="B60" s="185" t="s">
        <v>919</v>
      </c>
      <c r="C60" s="185">
        <f>data!C316</f>
        <v>2106366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920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921</v>
      </c>
      <c r="C63" s="185">
        <f>data!C319</f>
        <v>68817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3855</v>
      </c>
    </row>
    <row r="67" spans="1:3" ht="20.149999999999999" customHeight="1" x14ac:dyDescent="0.35">
      <c r="A67" s="183">
        <v>11</v>
      </c>
      <c r="B67" s="185" t="s">
        <v>922</v>
      </c>
      <c r="C67" s="185">
        <f>data!C323</f>
        <v>885881</v>
      </c>
    </row>
    <row r="68" spans="1:3" ht="20.149999999999999" customHeight="1" x14ac:dyDescent="0.35">
      <c r="A68" s="183">
        <v>12</v>
      </c>
      <c r="B68" s="185" t="s">
        <v>923</v>
      </c>
      <c r="C68" s="185">
        <f>data!D324</f>
        <v>3978422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924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776436</v>
      </c>
    </row>
    <row r="80" spans="1:3" ht="20.149999999999999" customHeight="1" x14ac:dyDescent="0.35">
      <c r="A80" s="183">
        <v>24</v>
      </c>
      <c r="B80" s="185" t="s">
        <v>928</v>
      </c>
      <c r="C80" s="185">
        <f>data!C334</f>
        <v>279212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5309993</v>
      </c>
    </row>
    <row r="82" spans="1:3" ht="20.149999999999999" customHeight="1" x14ac:dyDescent="0.35">
      <c r="A82" s="183">
        <v>26</v>
      </c>
      <c r="B82" s="185" t="s">
        <v>929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6365641</v>
      </c>
    </row>
    <row r="86" spans="1:3" ht="20.149999999999999" customHeight="1" x14ac:dyDescent="0.35">
      <c r="A86" s="183">
        <v>30</v>
      </c>
      <c r="B86" s="185" t="s">
        <v>930</v>
      </c>
      <c r="C86" s="185">
        <f>data!D340</f>
        <v>885881</v>
      </c>
    </row>
    <row r="87" spans="1:3" ht="20.149999999999999" customHeight="1" x14ac:dyDescent="0.35">
      <c r="A87" s="183">
        <v>31</v>
      </c>
      <c r="B87" s="185" t="s">
        <v>931</v>
      </c>
      <c r="C87" s="185">
        <f>data!D341</f>
        <v>5479760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932</v>
      </c>
      <c r="C89" s="185">
        <f>data!C343</f>
        <v>11743177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933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938</v>
      </c>
      <c r="C102" s="185">
        <f>data!C343+data!C345+data!C346+data!C347+data!C348-data!C349</f>
        <v>11743177</v>
      </c>
    </row>
    <row r="103" spans="1:3" ht="20.149999999999999" customHeight="1" x14ac:dyDescent="0.35">
      <c r="A103" s="183">
        <v>47</v>
      </c>
      <c r="B103" s="185" t="s">
        <v>939</v>
      </c>
      <c r="C103" s="185">
        <f>data!D352</f>
        <v>21201359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940</v>
      </c>
      <c r="B106" s="178"/>
      <c r="C106" s="178"/>
    </row>
    <row r="107" spans="1:3" ht="20.149999999999999" customHeight="1" x14ac:dyDescent="0.35">
      <c r="A107" s="179"/>
      <c r="C107" s="103" t="s">
        <v>941</v>
      </c>
    </row>
    <row r="108" spans="1:3" ht="20.149999999999999" customHeight="1" x14ac:dyDescent="0.35">
      <c r="A108" s="129" t="str">
        <f>"Hospital: "&amp;data!C98</f>
        <v>Hospital: Arbor Health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942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8042273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50037413</v>
      </c>
    </row>
    <row r="113" spans="1:3" ht="20.149999999999999" customHeight="1" x14ac:dyDescent="0.35">
      <c r="A113" s="183">
        <v>4</v>
      </c>
      <c r="B113" s="185" t="s">
        <v>943</v>
      </c>
      <c r="C113" s="185">
        <f>data!D360</f>
        <v>58079686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944</v>
      </c>
      <c r="C115" s="184"/>
    </row>
    <row r="116" spans="1:3" ht="20.149999999999999" customHeight="1" x14ac:dyDescent="0.35">
      <c r="A116" s="183">
        <v>7</v>
      </c>
      <c r="B116" s="197" t="s">
        <v>945</v>
      </c>
      <c r="C116" s="198">
        <f>data!C362</f>
        <v>922831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20839735</v>
      </c>
    </row>
    <row r="118" spans="1:3" ht="20.149999999999999" customHeight="1" x14ac:dyDescent="0.35">
      <c r="A118" s="183">
        <v>9</v>
      </c>
      <c r="B118" s="185" t="s">
        <v>946</v>
      </c>
      <c r="C118" s="198">
        <f>data!C364</f>
        <v>726374</v>
      </c>
    </row>
    <row r="119" spans="1:3" ht="20.149999999999999" customHeight="1" x14ac:dyDescent="0.35">
      <c r="A119" s="183">
        <v>10</v>
      </c>
      <c r="B119" s="185" t="s">
        <v>947</v>
      </c>
      <c r="C119" s="198">
        <f>data!C365</f>
        <v>482454</v>
      </c>
    </row>
    <row r="120" spans="1:3" ht="20.149999999999999" customHeight="1" x14ac:dyDescent="0.35">
      <c r="A120" s="183">
        <v>11</v>
      </c>
      <c r="B120" s="185" t="s">
        <v>891</v>
      </c>
      <c r="C120" s="198">
        <f>data!D366</f>
        <v>22971394</v>
      </c>
    </row>
    <row r="121" spans="1:3" ht="20.149999999999999" customHeight="1" x14ac:dyDescent="0.35">
      <c r="A121" s="183">
        <v>12</v>
      </c>
      <c r="B121" s="185" t="s">
        <v>948</v>
      </c>
      <c r="C121" s="198">
        <f>data!D367</f>
        <v>35108292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949</v>
      </c>
      <c r="B125" s="201" t="s">
        <v>508</v>
      </c>
      <c r="C125" s="200">
        <f>data!C370</f>
        <v>0</v>
      </c>
    </row>
    <row r="126" spans="1:3" ht="20.149999999999999" customHeight="1" x14ac:dyDescent="0.35">
      <c r="A126" s="204" t="s">
        <v>950</v>
      </c>
      <c r="B126" s="201" t="s">
        <v>509</v>
      </c>
      <c r="C126" s="200">
        <f>data!C371</f>
        <v>52872</v>
      </c>
    </row>
    <row r="127" spans="1:3" ht="20.149999999999999" customHeight="1" x14ac:dyDescent="0.35">
      <c r="A127" s="204" t="s">
        <v>951</v>
      </c>
      <c r="B127" s="201" t="s">
        <v>510</v>
      </c>
      <c r="C127" s="200">
        <f>data!C372</f>
        <v>0</v>
      </c>
    </row>
    <row r="128" spans="1:3" ht="20.149999999999999" customHeight="1" x14ac:dyDescent="0.35">
      <c r="A128" s="204" t="s">
        <v>952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953</v>
      </c>
      <c r="B129" s="201" t="s">
        <v>512</v>
      </c>
      <c r="C129" s="200">
        <f>data!C374</f>
        <v>0</v>
      </c>
    </row>
    <row r="130" spans="1:3" ht="20.149999999999999" customHeight="1" x14ac:dyDescent="0.35">
      <c r="A130" s="204" t="s">
        <v>954</v>
      </c>
      <c r="B130" s="201" t="s">
        <v>513</v>
      </c>
      <c r="C130" s="200">
        <f>data!C375</f>
        <v>0</v>
      </c>
    </row>
    <row r="131" spans="1:3" ht="20.149999999999999" customHeight="1" x14ac:dyDescent="0.35">
      <c r="A131" s="204" t="s">
        <v>955</v>
      </c>
      <c r="B131" s="201" t="s">
        <v>514</v>
      </c>
      <c r="C131" s="200">
        <f>data!C376</f>
        <v>422418</v>
      </c>
    </row>
    <row r="132" spans="1:3" ht="20.149999999999999" customHeight="1" x14ac:dyDescent="0.35">
      <c r="A132" s="204" t="s">
        <v>956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957</v>
      </c>
      <c r="B133" s="201" t="s">
        <v>516</v>
      </c>
      <c r="C133" s="200">
        <f>data!C378</f>
        <v>0</v>
      </c>
    </row>
    <row r="134" spans="1:3" ht="20.149999999999999" customHeight="1" x14ac:dyDescent="0.35">
      <c r="A134" s="204" t="s">
        <v>958</v>
      </c>
      <c r="B134" s="201" t="s">
        <v>517</v>
      </c>
      <c r="C134" s="200">
        <f>data!C379</f>
        <v>102095</v>
      </c>
    </row>
    <row r="135" spans="1:3" ht="20.149999999999999" customHeight="1" x14ac:dyDescent="0.35">
      <c r="A135" s="204" t="s">
        <v>959</v>
      </c>
      <c r="B135" s="201" t="s">
        <v>518</v>
      </c>
      <c r="C135" s="200">
        <f>data!C380</f>
        <v>485146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960</v>
      </c>
      <c r="C137" s="198">
        <f>data!D383</f>
        <v>2106475</v>
      </c>
    </row>
    <row r="138" spans="1:3" ht="20.149999999999999" customHeight="1" x14ac:dyDescent="0.35">
      <c r="A138" s="183">
        <v>18</v>
      </c>
      <c r="B138" s="185" t="s">
        <v>961</v>
      </c>
      <c r="C138" s="198">
        <f>data!D384</f>
        <v>37214767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962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22446603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4452888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1453059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3068894</v>
      </c>
    </row>
    <row r="145" spans="1:3" ht="20.149999999999999" customHeight="1" x14ac:dyDescent="0.35">
      <c r="A145" s="183">
        <v>25</v>
      </c>
      <c r="B145" s="185" t="s">
        <v>963</v>
      </c>
      <c r="C145" s="198">
        <f>data!C393</f>
        <v>509276</v>
      </c>
    </row>
    <row r="146" spans="1:3" ht="20.149999999999999" customHeight="1" x14ac:dyDescent="0.35">
      <c r="A146" s="183">
        <v>26</v>
      </c>
      <c r="B146" s="185" t="s">
        <v>964</v>
      </c>
      <c r="C146" s="198">
        <f>data!C394</f>
        <v>4342970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1499968</v>
      </c>
    </row>
    <row r="148" spans="1:3" ht="20.149999999999999" customHeight="1" x14ac:dyDescent="0.35">
      <c r="A148" s="183">
        <v>28</v>
      </c>
      <c r="B148" s="185" t="s">
        <v>965</v>
      </c>
      <c r="C148" s="198">
        <f>data!C396</f>
        <v>0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370404</v>
      </c>
    </row>
    <row r="150" spans="1:3" ht="20.149999999999999" customHeight="1" x14ac:dyDescent="0.35">
      <c r="A150" s="183">
        <v>30</v>
      </c>
      <c r="B150" s="185" t="s">
        <v>966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385929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967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968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969</v>
      </c>
      <c r="B155" s="202" t="s">
        <v>970</v>
      </c>
      <c r="C155" s="198">
        <f>data!C403</f>
        <v>0</v>
      </c>
    </row>
    <row r="156" spans="1:3" ht="20.149999999999999" customHeight="1" x14ac:dyDescent="0.35">
      <c r="A156" s="204" t="s">
        <v>971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972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973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974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975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976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977</v>
      </c>
      <c r="B162" s="202" t="s">
        <v>279</v>
      </c>
      <c r="C162" s="198">
        <f>data!C410</f>
        <v>196279</v>
      </c>
    </row>
    <row r="163" spans="1:3" ht="20.149999999999999" customHeight="1" x14ac:dyDescent="0.35">
      <c r="A163" s="204" t="s">
        <v>978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979</v>
      </c>
      <c r="B164" s="202" t="s">
        <v>281</v>
      </c>
      <c r="C164" s="198">
        <f>data!C412</f>
        <v>362908</v>
      </c>
    </row>
    <row r="165" spans="1:3" ht="20.149999999999999" customHeight="1" x14ac:dyDescent="0.35">
      <c r="A165" s="204" t="s">
        <v>980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981</v>
      </c>
      <c r="B166" s="202" t="s">
        <v>982</v>
      </c>
      <c r="C166" s="198">
        <f>data!C414</f>
        <v>138792</v>
      </c>
    </row>
    <row r="167" spans="1:3" ht="20.149999999999999" customHeight="1" x14ac:dyDescent="0.35">
      <c r="A167" s="183">
        <v>34</v>
      </c>
      <c r="B167" s="185" t="s">
        <v>983</v>
      </c>
      <c r="C167" s="198">
        <f>data!D416</f>
        <v>39227970</v>
      </c>
    </row>
    <row r="168" spans="1:3" ht="20.149999999999999" customHeight="1" x14ac:dyDescent="0.35">
      <c r="A168" s="183">
        <v>35</v>
      </c>
      <c r="B168" s="185" t="s">
        <v>984</v>
      </c>
      <c r="C168" s="198">
        <f>data!D417</f>
        <v>-2013203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985</v>
      </c>
      <c r="C170" s="198">
        <f>data!D420</f>
        <v>521091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986</v>
      </c>
      <c r="C172" s="185">
        <f>data!D421</f>
        <v>-1492112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989</v>
      </c>
      <c r="C177" s="198">
        <f>data!D424</f>
        <v>-1492112</v>
      </c>
    </row>
    <row r="178" spans="1:3" ht="20.149999999999999" customHeight="1" x14ac:dyDescent="0.35">
      <c r="A178" s="188">
        <v>45</v>
      </c>
      <c r="B178" s="187" t="s">
        <v>990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1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BE59-D3E3-4488-9C12-6C88F7DF13BD}">
  <sheetPr codeName="Sheet11"/>
  <dimension ref="A1:N410"/>
  <sheetViews>
    <sheetView showFormulas="1" showGridLines="0" topLeftCell="B1" zoomScale="65" workbookViewId="0">
      <selection activeCell="AS2" sqref="AS2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991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992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Arbor Health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993</v>
      </c>
      <c r="C6" s="295" t="s">
        <v>118</v>
      </c>
      <c r="D6" s="296" t="s">
        <v>994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995</v>
      </c>
      <c r="E7" s="296" t="s">
        <v>190</v>
      </c>
      <c r="F7" s="296" t="s">
        <v>996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997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503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0</v>
      </c>
      <c r="D10" s="297">
        <f>data!D60</f>
        <v>0</v>
      </c>
      <c r="E10" s="297">
        <f>data!E60</f>
        <v>19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0</v>
      </c>
      <c r="D11" s="290">
        <f>data!D61</f>
        <v>0</v>
      </c>
      <c r="E11" s="290">
        <f>data!E61</f>
        <v>2355588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458365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570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0</v>
      </c>
      <c r="D14" s="290">
        <f>data!D64</f>
        <v>0</v>
      </c>
      <c r="E14" s="290">
        <f>data!E64</f>
        <v>78945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526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527</v>
      </c>
      <c r="C16" s="290">
        <f>data!C66</f>
        <v>0</v>
      </c>
      <c r="D16" s="290">
        <f>data!D66</f>
        <v>0</v>
      </c>
      <c r="E16" s="290">
        <f>data!E66</f>
        <v>56502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350573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998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999</v>
      </c>
      <c r="C19" s="290">
        <f>data!C69</f>
        <v>0</v>
      </c>
      <c r="D19" s="290">
        <f>data!D69</f>
        <v>0</v>
      </c>
      <c r="E19" s="290">
        <f>data!E69</f>
        <v>0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1000</v>
      </c>
      <c r="C21" s="290">
        <f>data!C85</f>
        <v>0</v>
      </c>
      <c r="D21" s="290">
        <f>data!D85</f>
        <v>0</v>
      </c>
      <c r="E21" s="290">
        <f>data!E85</f>
        <v>3300543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1001</v>
      </c>
      <c r="C23" s="298">
        <f>+data!M668</f>
        <v>0</v>
      </c>
      <c r="D23" s="298">
        <f>+data!M669</f>
        <v>0</v>
      </c>
      <c r="E23" s="298">
        <f>+data!M670</f>
        <v>3324063</v>
      </c>
      <c r="F23" s="298">
        <f>+data!M671</f>
        <v>0</v>
      </c>
      <c r="G23" s="298">
        <f>+data!M672</f>
        <v>0</v>
      </c>
      <c r="H23" s="298">
        <f>+data!M673</f>
        <v>0</v>
      </c>
      <c r="I23" s="298">
        <f>+data!M674</f>
        <v>0</v>
      </c>
    </row>
    <row r="24" spans="1:9" customFormat="1" ht="20.149999999999999" customHeight="1" x14ac:dyDescent="0.35">
      <c r="A24" s="289">
        <v>19</v>
      </c>
      <c r="B24" s="298" t="s">
        <v>1002</v>
      </c>
      <c r="C24" s="290">
        <f>data!C87</f>
        <v>0</v>
      </c>
      <c r="D24" s="290">
        <f>data!D87</f>
        <v>0</v>
      </c>
      <c r="E24" s="290">
        <f>data!E87</f>
        <v>5497207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1003</v>
      </c>
      <c r="C25" s="290">
        <f>data!C88</f>
        <v>0</v>
      </c>
      <c r="D25" s="290">
        <f>data!D88</f>
        <v>0</v>
      </c>
      <c r="E25" s="290">
        <f>data!E88</f>
        <v>1474483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1004</v>
      </c>
      <c r="C26" s="290">
        <f>data!C89</f>
        <v>0</v>
      </c>
      <c r="D26" s="290">
        <f>data!D89</f>
        <v>0</v>
      </c>
      <c r="E26" s="290">
        <f>data!E89</f>
        <v>6971690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1005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1006</v>
      </c>
      <c r="C28" s="290">
        <f>data!C90</f>
        <v>0</v>
      </c>
      <c r="D28" s="290">
        <f>data!D90</f>
        <v>0</v>
      </c>
      <c r="E28" s="290">
        <f>data!E90</f>
        <v>18333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1007</v>
      </c>
      <c r="C29" s="290">
        <f>data!C91</f>
        <v>0</v>
      </c>
      <c r="D29" s="290">
        <f>data!D91</f>
        <v>0</v>
      </c>
      <c r="E29" s="290">
        <f>data!E91</f>
        <v>4731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1008</v>
      </c>
      <c r="C30" s="290">
        <f>data!C92</f>
        <v>0</v>
      </c>
      <c r="D30" s="290">
        <f>data!D92</f>
        <v>0</v>
      </c>
      <c r="E30" s="290">
        <f>data!E92</f>
        <v>3500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1009</v>
      </c>
      <c r="C31" s="290">
        <f>data!C93</f>
        <v>0</v>
      </c>
      <c r="D31" s="290">
        <f>data!D93</f>
        <v>0</v>
      </c>
      <c r="E31" s="290">
        <f>data!E93</f>
        <v>31000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0</v>
      </c>
      <c r="D32" s="297">
        <f>data!D94</f>
        <v>0</v>
      </c>
      <c r="E32" s="297">
        <f>data!E94</f>
        <v>20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991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1010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Arbor Health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993</v>
      </c>
      <c r="C38" s="296"/>
      <c r="D38" s="296" t="s">
        <v>126</v>
      </c>
      <c r="E38" s="296" t="s">
        <v>127</v>
      </c>
      <c r="F38" s="296" t="s">
        <v>1011</v>
      </c>
      <c r="G38" s="296" t="s">
        <v>129</v>
      </c>
      <c r="H38" s="296" t="s">
        <v>1012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997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902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40501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7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1309426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169811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660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638753</v>
      </c>
    </row>
    <row r="47" spans="1:9" customFormat="1" ht="20.149999999999999" customHeight="1" x14ac:dyDescent="0.35">
      <c r="A47" s="289">
        <v>10</v>
      </c>
      <c r="B47" s="290" t="s">
        <v>526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527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31820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24783</v>
      </c>
    </row>
    <row r="50" spans="1:11" customFormat="1" ht="20.149999999999999" customHeight="1" x14ac:dyDescent="0.35">
      <c r="A50" s="289">
        <v>13</v>
      </c>
      <c r="B50" s="290" t="s">
        <v>998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49999999999999" customHeight="1" x14ac:dyDescent="0.35">
      <c r="A51" s="289">
        <v>14</v>
      </c>
      <c r="B51" s="290" t="s">
        <v>999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0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1000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2175253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1001</v>
      </c>
      <c r="C55" s="298">
        <f>+data!M675</f>
        <v>0</v>
      </c>
      <c r="D55" s="298">
        <f>+data!M676</f>
        <v>0</v>
      </c>
      <c r="E55" s="298">
        <f>+data!M691</f>
        <v>0</v>
      </c>
      <c r="F55" s="298">
        <f>+data!M692</f>
        <v>39075</v>
      </c>
      <c r="G55" s="298">
        <f>+data!M693</f>
        <v>305814</v>
      </c>
      <c r="H55" s="298">
        <f>+data!M680</f>
        <v>0</v>
      </c>
      <c r="I55" s="298">
        <f>+data!M681</f>
        <v>895520</v>
      </c>
    </row>
    <row r="56" spans="1:11" customFormat="1" ht="20.149999999999999" customHeight="1" x14ac:dyDescent="0.35">
      <c r="A56" s="289">
        <v>19</v>
      </c>
      <c r="B56" s="298" t="s">
        <v>1002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297384</v>
      </c>
    </row>
    <row r="57" spans="1:11" customFormat="1" ht="20.149999999999999" customHeight="1" x14ac:dyDescent="0.35">
      <c r="A57" s="289">
        <v>20</v>
      </c>
      <c r="B57" s="298" t="s">
        <v>1003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3385320</v>
      </c>
    </row>
    <row r="58" spans="1:11" customFormat="1" ht="20.149999999999999" customHeight="1" x14ac:dyDescent="0.35">
      <c r="A58" s="289">
        <v>21</v>
      </c>
      <c r="B58" s="298" t="s">
        <v>1004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3682704</v>
      </c>
    </row>
    <row r="59" spans="1:11" customFormat="1" ht="20.149999999999999" customHeight="1" x14ac:dyDescent="0.35">
      <c r="A59" s="289" t="s">
        <v>1005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1006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1296</v>
      </c>
      <c r="K60" s="301"/>
    </row>
    <row r="61" spans="1:11" customFormat="1" ht="20.149999999999999" customHeight="1" x14ac:dyDescent="0.35">
      <c r="A61" s="289">
        <v>23</v>
      </c>
      <c r="B61" s="290" t="s">
        <v>1007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1008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1200</v>
      </c>
    </row>
    <row r="63" spans="1:11" customFormat="1" ht="20.149999999999999" customHeight="1" x14ac:dyDescent="0.35">
      <c r="A63" s="289">
        <v>25</v>
      </c>
      <c r="B63" s="290" t="s">
        <v>1009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10000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4</v>
      </c>
    </row>
    <row r="65" spans="1:9" customFormat="1" ht="20.149999999999999" customHeight="1" x14ac:dyDescent="0.35">
      <c r="A65" s="283" t="s">
        <v>991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1013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Arbor Health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993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1014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997</v>
      </c>
      <c r="C72" s="292" t="s">
        <v>1015</v>
      </c>
      <c r="D72" s="291" t="s">
        <v>1016</v>
      </c>
      <c r="E72" s="302"/>
      <c r="F72" s="302"/>
      <c r="G72" s="291" t="s">
        <v>1017</v>
      </c>
      <c r="H72" s="291" t="s">
        <v>1017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42139</v>
      </c>
      <c r="E73" s="302"/>
      <c r="F73" s="302"/>
      <c r="G73" s="290">
        <f>data!U59</f>
        <v>46906</v>
      </c>
      <c r="H73" s="290">
        <f>data!V59</f>
        <v>0</v>
      </c>
      <c r="I73" s="290">
        <f>data!W59</f>
        <v>417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0</v>
      </c>
      <c r="D74" s="297">
        <f>data!R60</f>
        <v>1</v>
      </c>
      <c r="E74" s="297">
        <f>data!S60</f>
        <v>2</v>
      </c>
      <c r="F74" s="297">
        <f>data!T60</f>
        <v>0</v>
      </c>
      <c r="G74" s="297">
        <f>data!U60</f>
        <v>8</v>
      </c>
      <c r="H74" s="297">
        <f>data!V60</f>
        <v>0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0</v>
      </c>
      <c r="D75" s="290">
        <f>data!R61</f>
        <v>503369</v>
      </c>
      <c r="E75" s="290">
        <f>data!S61</f>
        <v>45770</v>
      </c>
      <c r="F75" s="290">
        <f>data!T61</f>
        <v>0</v>
      </c>
      <c r="G75" s="290">
        <f>data!U61</f>
        <v>988727</v>
      </c>
      <c r="H75" s="290">
        <f>data!V61</f>
        <v>0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0</v>
      </c>
      <c r="D76" s="290">
        <f>data!R62</f>
        <v>113443</v>
      </c>
      <c r="E76" s="290">
        <f>data!S62</f>
        <v>8660</v>
      </c>
      <c r="F76" s="290">
        <f>data!T62</f>
        <v>0</v>
      </c>
      <c r="G76" s="290">
        <f>data!U62</f>
        <v>167292</v>
      </c>
      <c r="H76" s="290">
        <f>data!V62</f>
        <v>0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0</v>
      </c>
      <c r="D78" s="290">
        <f>data!R64</f>
        <v>11809</v>
      </c>
      <c r="E78" s="290">
        <f>data!S64</f>
        <v>22388</v>
      </c>
      <c r="F78" s="290">
        <f>data!T64</f>
        <v>0</v>
      </c>
      <c r="G78" s="290">
        <f>data!U64</f>
        <v>451919</v>
      </c>
      <c r="H78" s="290">
        <f>data!V64</f>
        <v>0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526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527</v>
      </c>
      <c r="C80" s="290">
        <f>data!Q66</f>
        <v>0</v>
      </c>
      <c r="D80" s="290">
        <f>data!R66</f>
        <v>7379</v>
      </c>
      <c r="E80" s="290">
        <f>data!S66</f>
        <v>24456</v>
      </c>
      <c r="F80" s="290">
        <f>data!T66</f>
        <v>0</v>
      </c>
      <c r="G80" s="290">
        <f>data!U66</f>
        <v>341613</v>
      </c>
      <c r="H80" s="290">
        <f>data!V66</f>
        <v>0</v>
      </c>
      <c r="I80" s="290">
        <f>data!W66</f>
        <v>225744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20136</v>
      </c>
      <c r="H81" s="290">
        <f>data!V67</f>
        <v>0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998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999</v>
      </c>
      <c r="C83" s="290">
        <f>data!Q69</f>
        <v>0</v>
      </c>
      <c r="D83" s="290">
        <f>data!R69</f>
        <v>2417</v>
      </c>
      <c r="E83" s="290">
        <f>data!S69</f>
        <v>0</v>
      </c>
      <c r="F83" s="290">
        <f>data!T69</f>
        <v>0</v>
      </c>
      <c r="G83" s="290">
        <f>data!U69</f>
        <v>0</v>
      </c>
      <c r="H83" s="290">
        <f>data!V69</f>
        <v>0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1000</v>
      </c>
      <c r="C85" s="290">
        <f>data!Q85</f>
        <v>0</v>
      </c>
      <c r="D85" s="290">
        <f>data!R85</f>
        <v>638417</v>
      </c>
      <c r="E85" s="290">
        <f>data!S85</f>
        <v>101274</v>
      </c>
      <c r="F85" s="290">
        <f>data!T85</f>
        <v>0</v>
      </c>
      <c r="G85" s="290">
        <f>data!U85</f>
        <v>1969687</v>
      </c>
      <c r="H85" s="290">
        <f>data!V85</f>
        <v>0</v>
      </c>
      <c r="I85" s="290">
        <f>data!W85</f>
        <v>225744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1001</v>
      </c>
      <c r="C87" s="298">
        <f>+data!M682</f>
        <v>0</v>
      </c>
      <c r="D87" s="298">
        <f>+data!M683</f>
        <v>156445</v>
      </c>
      <c r="E87" s="298">
        <f>+data!M684</f>
        <v>272894</v>
      </c>
      <c r="F87" s="298">
        <f>+data!M685</f>
        <v>0</v>
      </c>
      <c r="G87" s="298">
        <f>+data!M686</f>
        <v>930827</v>
      </c>
      <c r="H87" s="298">
        <f>+data!M687</f>
        <v>0</v>
      </c>
      <c r="I87" s="298">
        <f>+data!M688</f>
        <v>94089</v>
      </c>
    </row>
    <row r="88" spans="1:9" customFormat="1" ht="20.149999999999999" customHeight="1" x14ac:dyDescent="0.35">
      <c r="A88" s="289">
        <v>19</v>
      </c>
      <c r="B88" s="298" t="s">
        <v>1002</v>
      </c>
      <c r="C88" s="290">
        <f>data!Q87</f>
        <v>0</v>
      </c>
      <c r="D88" s="290">
        <f>data!R87</f>
        <v>88563</v>
      </c>
      <c r="E88" s="290">
        <f>data!S87</f>
        <v>27539</v>
      </c>
      <c r="F88" s="290">
        <f>data!T87</f>
        <v>0</v>
      </c>
      <c r="G88" s="290">
        <f>data!U87</f>
        <v>352384</v>
      </c>
      <c r="H88" s="290">
        <f>data!V87</f>
        <v>0</v>
      </c>
      <c r="I88" s="290">
        <f>data!W87</f>
        <v>12860</v>
      </c>
    </row>
    <row r="89" spans="1:9" customFormat="1" ht="20.149999999999999" customHeight="1" x14ac:dyDescent="0.35">
      <c r="A89" s="289">
        <v>20</v>
      </c>
      <c r="B89" s="298" t="s">
        <v>1003</v>
      </c>
      <c r="C89" s="290">
        <f>data!Q88</f>
        <v>0</v>
      </c>
      <c r="D89" s="290">
        <f>data!R88</f>
        <v>1060110</v>
      </c>
      <c r="E89" s="290">
        <f>data!S88</f>
        <v>2615000</v>
      </c>
      <c r="F89" s="290">
        <f>data!T88</f>
        <v>0</v>
      </c>
      <c r="G89" s="290">
        <f>data!U88</f>
        <v>5689120</v>
      </c>
      <c r="H89" s="290">
        <f>data!V88</f>
        <v>0</v>
      </c>
      <c r="I89" s="290">
        <f>data!W88</f>
        <v>844234</v>
      </c>
    </row>
    <row r="90" spans="1:9" customFormat="1" ht="20.149999999999999" customHeight="1" x14ac:dyDescent="0.35">
      <c r="A90" s="289">
        <v>21</v>
      </c>
      <c r="B90" s="298" t="s">
        <v>1004</v>
      </c>
      <c r="C90" s="290">
        <f>data!Q89</f>
        <v>0</v>
      </c>
      <c r="D90" s="290">
        <f>data!R89</f>
        <v>1148673</v>
      </c>
      <c r="E90" s="290">
        <f>data!S89</f>
        <v>2642539</v>
      </c>
      <c r="F90" s="290">
        <f>data!T89</f>
        <v>0</v>
      </c>
      <c r="G90" s="290">
        <f>data!U89</f>
        <v>6041504</v>
      </c>
      <c r="H90" s="290">
        <f>data!V89</f>
        <v>0</v>
      </c>
      <c r="I90" s="290">
        <f>data!W89</f>
        <v>857094</v>
      </c>
    </row>
    <row r="91" spans="1:9" customFormat="1" ht="20.149999999999999" customHeight="1" x14ac:dyDescent="0.35">
      <c r="A91" s="289" t="s">
        <v>1005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1006</v>
      </c>
      <c r="C92" s="290">
        <f>data!Q90</f>
        <v>0</v>
      </c>
      <c r="D92" s="290">
        <f>data!R90</f>
        <v>0</v>
      </c>
      <c r="E92" s="290">
        <f>data!S90</f>
        <v>0</v>
      </c>
      <c r="F92" s="290">
        <f>data!T90</f>
        <v>0</v>
      </c>
      <c r="G92" s="290">
        <f>data!U90</f>
        <v>1053</v>
      </c>
      <c r="H92" s="290">
        <f>data!V90</f>
        <v>0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1007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1008</v>
      </c>
      <c r="C94" s="290">
        <f>data!Q92</f>
        <v>0</v>
      </c>
      <c r="D94" s="290">
        <f>data!R92</f>
        <v>0</v>
      </c>
      <c r="E94" s="290">
        <f>data!S92</f>
        <v>0</v>
      </c>
      <c r="F94" s="290">
        <f>data!T92</f>
        <v>0</v>
      </c>
      <c r="G94" s="290">
        <f>data!U92</f>
        <v>1100</v>
      </c>
      <c r="H94" s="290">
        <f>data!V92</f>
        <v>0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1009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991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1018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Arbor Health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993</v>
      </c>
      <c r="C102" s="296" t="s">
        <v>1019</v>
      </c>
      <c r="D102" s="296" t="s">
        <v>1020</v>
      </c>
      <c r="E102" s="296" t="s">
        <v>1020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997</v>
      </c>
      <c r="C104" s="291" t="s">
        <v>251</v>
      </c>
      <c r="D104" s="292" t="s">
        <v>1021</v>
      </c>
      <c r="E104" s="292" t="s">
        <v>1021</v>
      </c>
      <c r="F104" s="292" t="s">
        <v>1021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2534</v>
      </c>
      <c r="D105" s="290">
        <f>data!Y59</f>
        <v>5267</v>
      </c>
      <c r="E105" s="290">
        <f>data!Z59</f>
        <v>0</v>
      </c>
      <c r="F105" s="290">
        <f>data!AA59</f>
        <v>53</v>
      </c>
      <c r="G105" s="302"/>
      <c r="H105" s="290">
        <f>data!AC59</f>
        <v>3815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10</v>
      </c>
      <c r="E106" s="297">
        <f>data!Z60</f>
        <v>0</v>
      </c>
      <c r="F106" s="297">
        <f>data!AA60</f>
        <v>0</v>
      </c>
      <c r="G106" s="297">
        <f>data!AB60</f>
        <v>0</v>
      </c>
      <c r="H106" s="297">
        <f>data!AC60</f>
        <v>3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1266485</v>
      </c>
      <c r="E107" s="290">
        <f>data!Z61</f>
        <v>0</v>
      </c>
      <c r="F107" s="290">
        <f>data!AA61</f>
        <v>0</v>
      </c>
      <c r="G107" s="290">
        <f>data!AB61</f>
        <v>363556</v>
      </c>
      <c r="H107" s="290">
        <f>data!AC61</f>
        <v>330689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252880</v>
      </c>
      <c r="E108" s="290">
        <f>data!Z62</f>
        <v>0</v>
      </c>
      <c r="F108" s="290">
        <f>data!AA62</f>
        <v>0</v>
      </c>
      <c r="G108" s="290">
        <f>data!AB62</f>
        <v>68966</v>
      </c>
      <c r="H108" s="290">
        <f>data!AC62</f>
        <v>60402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20310</v>
      </c>
      <c r="H109" s="290">
        <f>data!AC63</f>
        <v>4575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27522</v>
      </c>
      <c r="D110" s="290">
        <f>data!Y64</f>
        <v>11179</v>
      </c>
      <c r="E110" s="290">
        <f>data!Z64</f>
        <v>0</v>
      </c>
      <c r="F110" s="290">
        <f>data!AA64</f>
        <v>17802</v>
      </c>
      <c r="G110" s="290">
        <f>data!AB64</f>
        <v>307082</v>
      </c>
      <c r="H110" s="290">
        <f>data!AC64</f>
        <v>10999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526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527</v>
      </c>
      <c r="C112" s="290">
        <f>data!X66</f>
        <v>83258</v>
      </c>
      <c r="D112" s="290">
        <f>data!Y66</f>
        <v>62309</v>
      </c>
      <c r="E112" s="290">
        <f>data!Z66</f>
        <v>0</v>
      </c>
      <c r="F112" s="290">
        <f>data!AA66</f>
        <v>100331</v>
      </c>
      <c r="G112" s="290">
        <f>data!AB66</f>
        <v>101147</v>
      </c>
      <c r="H112" s="290">
        <f>data!AC66</f>
        <v>6136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46907</v>
      </c>
      <c r="E113" s="290">
        <f>data!Z67</f>
        <v>0</v>
      </c>
      <c r="F113" s="290">
        <f>data!AA67</f>
        <v>0</v>
      </c>
      <c r="G113" s="290">
        <f>data!AB67</f>
        <v>9523</v>
      </c>
      <c r="H113" s="290">
        <f>data!AC67</f>
        <v>18970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998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0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999</v>
      </c>
      <c r="C115" s="290">
        <f>data!X69</f>
        <v>0</v>
      </c>
      <c r="D115" s="290">
        <f>data!Y69</f>
        <v>0</v>
      </c>
      <c r="E115" s="290">
        <f>data!Z69</f>
        <v>0</v>
      </c>
      <c r="F115" s="290">
        <f>data!AA69</f>
        <v>0</v>
      </c>
      <c r="G115" s="290">
        <f>data!AB69</f>
        <v>0</v>
      </c>
      <c r="H115" s="290">
        <f>data!AC69</f>
        <v>0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1000</v>
      </c>
      <c r="C117" s="290">
        <f>data!X85</f>
        <v>110780</v>
      </c>
      <c r="D117" s="290">
        <f>data!Y85</f>
        <v>1639760</v>
      </c>
      <c r="E117" s="290">
        <f>data!Z85</f>
        <v>0</v>
      </c>
      <c r="F117" s="290">
        <f>data!AA85</f>
        <v>118133</v>
      </c>
      <c r="G117" s="290">
        <f>data!AB85</f>
        <v>870584</v>
      </c>
      <c r="H117" s="290">
        <f>data!AC85</f>
        <v>431771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1001</v>
      </c>
      <c r="C119" s="298">
        <f>+data!M689</f>
        <v>601623</v>
      </c>
      <c r="D119" s="298">
        <f>+data!M690</f>
        <v>851049</v>
      </c>
      <c r="E119" s="298">
        <f>+data!M691</f>
        <v>0</v>
      </c>
      <c r="F119" s="298">
        <f>+data!M692</f>
        <v>39075</v>
      </c>
      <c r="G119" s="298">
        <f>+data!M693</f>
        <v>305814</v>
      </c>
      <c r="H119" s="298">
        <f>+data!M694</f>
        <v>277850</v>
      </c>
      <c r="I119" s="298">
        <f>+data!M695</f>
        <v>0</v>
      </c>
    </row>
    <row r="120" spans="1:9" customFormat="1" ht="20.149999999999999" customHeight="1" x14ac:dyDescent="0.35">
      <c r="A120" s="289">
        <v>19</v>
      </c>
      <c r="B120" s="298" t="s">
        <v>1002</v>
      </c>
      <c r="C120" s="290">
        <f>data!X87</f>
        <v>223561</v>
      </c>
      <c r="D120" s="290">
        <f>data!Y87</f>
        <v>159752</v>
      </c>
      <c r="E120" s="290">
        <f>data!Z87</f>
        <v>0</v>
      </c>
      <c r="F120" s="290">
        <f>data!AA87</f>
        <v>0</v>
      </c>
      <c r="G120" s="290">
        <f>data!AB87</f>
        <v>420101</v>
      </c>
      <c r="H120" s="290">
        <f>data!AC87</f>
        <v>149899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1003</v>
      </c>
      <c r="C121" s="290">
        <f>data!X88</f>
        <v>6100194</v>
      </c>
      <c r="D121" s="290">
        <f>data!Y88</f>
        <v>3851090</v>
      </c>
      <c r="E121" s="290">
        <f>data!Z88</f>
        <v>0</v>
      </c>
      <c r="F121" s="290">
        <f>data!AA88</f>
        <v>320034</v>
      </c>
      <c r="G121" s="290">
        <f>data!AB88</f>
        <v>901000</v>
      </c>
      <c r="H121" s="290">
        <f>data!AC88</f>
        <v>804364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1004</v>
      </c>
      <c r="C122" s="290">
        <f>data!X89</f>
        <v>6323755</v>
      </c>
      <c r="D122" s="290">
        <f>data!Y89</f>
        <v>4010842</v>
      </c>
      <c r="E122" s="290">
        <f>data!Z89</f>
        <v>0</v>
      </c>
      <c r="F122" s="290">
        <f>data!AA89</f>
        <v>320034</v>
      </c>
      <c r="G122" s="290">
        <f>data!AB89</f>
        <v>1321101</v>
      </c>
      <c r="H122" s="290">
        <f>data!AC89</f>
        <v>954263</v>
      </c>
      <c r="I122" s="290">
        <f>data!AD89</f>
        <v>0</v>
      </c>
    </row>
    <row r="123" spans="1:9" customFormat="1" ht="20.149999999999999" customHeight="1" x14ac:dyDescent="0.35">
      <c r="A123" s="289" t="s">
        <v>1005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1006</v>
      </c>
      <c r="C124" s="290">
        <f>data!X90</f>
        <v>0</v>
      </c>
      <c r="D124" s="290">
        <f>data!Y90</f>
        <v>2453</v>
      </c>
      <c r="E124" s="290">
        <f>data!Z90</f>
        <v>0</v>
      </c>
      <c r="F124" s="290">
        <f>data!AA90</f>
        <v>0</v>
      </c>
      <c r="G124" s="290">
        <f>data!AB90</f>
        <v>498</v>
      </c>
      <c r="H124" s="290">
        <f>data!AC90</f>
        <v>992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1007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1008</v>
      </c>
      <c r="C126" s="290">
        <f>data!X92</f>
        <v>0</v>
      </c>
      <c r="D126" s="290">
        <f>data!Y92</f>
        <v>2100</v>
      </c>
      <c r="E126" s="290">
        <f>data!Z92</f>
        <v>0</v>
      </c>
      <c r="F126" s="290">
        <f>data!AA92</f>
        <v>0</v>
      </c>
      <c r="G126" s="290">
        <f>data!AB92</f>
        <v>1200</v>
      </c>
      <c r="H126" s="290">
        <f>data!AC92</f>
        <v>1300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1009</v>
      </c>
      <c r="C127" s="290">
        <f>data!X93</f>
        <v>0</v>
      </c>
      <c r="D127" s="290">
        <f>data!Y93</f>
        <v>7000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991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1022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Arbor Health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993</v>
      </c>
      <c r="C134" s="296" t="s">
        <v>122</v>
      </c>
      <c r="D134" s="296" t="s">
        <v>123</v>
      </c>
      <c r="E134" s="296" t="s">
        <v>145</v>
      </c>
      <c r="F134" s="296"/>
      <c r="G134" s="296" t="s">
        <v>1023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997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1024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26935</v>
      </c>
      <c r="D137" s="290">
        <f>data!AF59</f>
        <v>0</v>
      </c>
      <c r="E137" s="290">
        <f>data!AG59</f>
        <v>5474</v>
      </c>
      <c r="F137" s="290">
        <f>data!AH59</f>
        <v>0</v>
      </c>
      <c r="G137" s="290">
        <f>data!AI59</f>
        <v>0</v>
      </c>
      <c r="H137" s="290">
        <f>data!AJ59</f>
        <v>26228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13</v>
      </c>
      <c r="D138" s="297">
        <f>data!AF60</f>
        <v>0</v>
      </c>
      <c r="E138" s="297">
        <f>data!AG60</f>
        <v>16</v>
      </c>
      <c r="F138" s="297">
        <f>data!AH60</f>
        <v>0</v>
      </c>
      <c r="G138" s="297">
        <f>data!AI60</f>
        <v>0</v>
      </c>
      <c r="H138" s="297">
        <f>data!AJ60</f>
        <v>47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1383919</v>
      </c>
      <c r="D139" s="290">
        <f>data!AF61</f>
        <v>0</v>
      </c>
      <c r="E139" s="290">
        <f>data!AG61</f>
        <v>2832800</v>
      </c>
      <c r="F139" s="290">
        <f>data!AH61</f>
        <v>0</v>
      </c>
      <c r="G139" s="290">
        <f>data!AI61</f>
        <v>0</v>
      </c>
      <c r="H139" s="290">
        <f>data!AJ61</f>
        <v>4863660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256645</v>
      </c>
      <c r="D140" s="290">
        <f>data!AF62</f>
        <v>0</v>
      </c>
      <c r="E140" s="290">
        <f>data!AG62</f>
        <v>541391</v>
      </c>
      <c r="F140" s="290">
        <f>data!AH62</f>
        <v>0</v>
      </c>
      <c r="G140" s="290">
        <f>data!AI62</f>
        <v>0</v>
      </c>
      <c r="H140" s="290">
        <f>data!AJ62</f>
        <v>976331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705252</v>
      </c>
      <c r="F141" s="290">
        <f>data!AH63</f>
        <v>0</v>
      </c>
      <c r="G141" s="290">
        <f>data!AI63</f>
        <v>0</v>
      </c>
      <c r="H141" s="290">
        <f>data!AJ63</f>
        <v>259928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23188</v>
      </c>
      <c r="D142" s="290">
        <f>data!AF64</f>
        <v>0</v>
      </c>
      <c r="E142" s="290">
        <f>data!AG64</f>
        <v>158869</v>
      </c>
      <c r="F142" s="290">
        <f>data!AH64</f>
        <v>0</v>
      </c>
      <c r="G142" s="290">
        <f>data!AI64</f>
        <v>0</v>
      </c>
      <c r="H142" s="290">
        <f>data!AJ64</f>
        <v>353871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526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28176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527</v>
      </c>
      <c r="C144" s="290">
        <f>data!AE66</f>
        <v>20960</v>
      </c>
      <c r="D144" s="290">
        <f>data!AF66</f>
        <v>0</v>
      </c>
      <c r="E144" s="290">
        <f>data!AG66</f>
        <v>31114</v>
      </c>
      <c r="F144" s="290">
        <f>data!AH66</f>
        <v>483337</v>
      </c>
      <c r="G144" s="290">
        <f>data!AI66</f>
        <v>0</v>
      </c>
      <c r="H144" s="290">
        <f>data!AJ66</f>
        <v>141010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54040</v>
      </c>
      <c r="D145" s="290">
        <f>data!AF67</f>
        <v>0</v>
      </c>
      <c r="E145" s="290">
        <f>data!AG67</f>
        <v>67655</v>
      </c>
      <c r="F145" s="290">
        <f>data!AH67</f>
        <v>0</v>
      </c>
      <c r="G145" s="290">
        <f>data!AI67</f>
        <v>0</v>
      </c>
      <c r="H145" s="290">
        <f>data!AJ67</f>
        <v>154357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998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999</v>
      </c>
      <c r="C147" s="290">
        <f>data!AE69</f>
        <v>0</v>
      </c>
      <c r="D147" s="290">
        <f>data!AF69</f>
        <v>0</v>
      </c>
      <c r="E147" s="290">
        <f>data!AG69</f>
        <v>10412</v>
      </c>
      <c r="F147" s="290">
        <f>data!AH69</f>
        <v>0</v>
      </c>
      <c r="G147" s="290">
        <f>data!AI69</f>
        <v>0</v>
      </c>
      <c r="H147" s="290">
        <f>data!AJ69</f>
        <v>24443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1000</v>
      </c>
      <c r="C149" s="290">
        <f>data!AE85</f>
        <v>1738752</v>
      </c>
      <c r="D149" s="290">
        <f>data!AF85</f>
        <v>0</v>
      </c>
      <c r="E149" s="290">
        <f>data!AG85</f>
        <v>4347493</v>
      </c>
      <c r="F149" s="290">
        <f>data!AH85</f>
        <v>483337</v>
      </c>
      <c r="G149" s="290">
        <f>data!AI85</f>
        <v>0</v>
      </c>
      <c r="H149" s="290">
        <f>data!AJ85</f>
        <v>6801776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1001</v>
      </c>
      <c r="C151" s="298">
        <f>+data!M696</f>
        <v>962219</v>
      </c>
      <c r="D151" s="298">
        <f>+data!M697</f>
        <v>0</v>
      </c>
      <c r="E151" s="298">
        <f>+data!M698</f>
        <v>2170014</v>
      </c>
      <c r="F151" s="298">
        <f>+data!M699</f>
        <v>29677</v>
      </c>
      <c r="G151" s="298">
        <f>+data!M700</f>
        <v>10156</v>
      </c>
      <c r="H151" s="298">
        <f>+data!M701</f>
        <v>2207150</v>
      </c>
      <c r="I151" s="298">
        <f>+data!M702</f>
        <v>0</v>
      </c>
    </row>
    <row r="152" spans="1:9" customFormat="1" ht="20.149999999999999" customHeight="1" x14ac:dyDescent="0.35">
      <c r="A152" s="289">
        <v>19</v>
      </c>
      <c r="B152" s="298" t="s">
        <v>1002</v>
      </c>
      <c r="C152" s="290">
        <f>data!AE87</f>
        <v>352539</v>
      </c>
      <c r="D152" s="290">
        <f>data!AF87</f>
        <v>0</v>
      </c>
      <c r="E152" s="290">
        <f>data!AG87</f>
        <v>412191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1003</v>
      </c>
      <c r="C153" s="290">
        <f>data!AE88</f>
        <v>3926254</v>
      </c>
      <c r="D153" s="290">
        <f>data!AF88</f>
        <v>0</v>
      </c>
      <c r="E153" s="290">
        <f>data!AG88</f>
        <v>12385691</v>
      </c>
      <c r="F153" s="290">
        <f>data!AH88</f>
        <v>0</v>
      </c>
      <c r="G153" s="290">
        <f>data!AI88</f>
        <v>108500</v>
      </c>
      <c r="H153" s="290">
        <f>data!AJ88</f>
        <v>6620312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1004</v>
      </c>
      <c r="C154" s="290">
        <f>data!AE89</f>
        <v>4278793</v>
      </c>
      <c r="D154" s="290">
        <f>data!AF89</f>
        <v>0</v>
      </c>
      <c r="E154" s="290">
        <f>data!AG89</f>
        <v>12797882</v>
      </c>
      <c r="F154" s="290">
        <f>data!AH89</f>
        <v>0</v>
      </c>
      <c r="G154" s="290">
        <f>data!AI89</f>
        <v>108500</v>
      </c>
      <c r="H154" s="290">
        <f>data!AJ89</f>
        <v>6620312</v>
      </c>
      <c r="I154" s="290">
        <f>data!AK89</f>
        <v>0</v>
      </c>
    </row>
    <row r="155" spans="1:9" customFormat="1" ht="20.149999999999999" customHeight="1" x14ac:dyDescent="0.35">
      <c r="A155" s="289" t="s">
        <v>1005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1006</v>
      </c>
      <c r="C156" s="290">
        <f>data!AE90</f>
        <v>2826</v>
      </c>
      <c r="D156" s="290">
        <f>data!AF90</f>
        <v>0</v>
      </c>
      <c r="E156" s="290">
        <f>data!AG90</f>
        <v>3538</v>
      </c>
      <c r="F156" s="290">
        <f>data!AH90</f>
        <v>0</v>
      </c>
      <c r="G156" s="290">
        <f>data!AI90</f>
        <v>0</v>
      </c>
      <c r="H156" s="290">
        <f>data!AJ90</f>
        <v>8072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1007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1008</v>
      </c>
      <c r="C158" s="290">
        <f>data!AE92</f>
        <v>2300</v>
      </c>
      <c r="D158" s="290">
        <f>data!AF92</f>
        <v>0</v>
      </c>
      <c r="E158" s="290">
        <f>data!AG92</f>
        <v>1900</v>
      </c>
      <c r="F158" s="290">
        <f>data!AH92</f>
        <v>0</v>
      </c>
      <c r="G158" s="290">
        <f>data!AI92</f>
        <v>0</v>
      </c>
      <c r="H158" s="290">
        <f>data!AJ92</f>
        <v>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1009</v>
      </c>
      <c r="C159" s="290">
        <f>data!AE93</f>
        <v>17000</v>
      </c>
      <c r="D159" s="290">
        <f>data!AF93</f>
        <v>0</v>
      </c>
      <c r="E159" s="290">
        <f>data!AG93</f>
        <v>34000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5</v>
      </c>
      <c r="F160" s="297">
        <f>data!AH94</f>
        <v>0</v>
      </c>
      <c r="G160" s="297">
        <f>data!AI94</f>
        <v>0</v>
      </c>
      <c r="H160" s="297">
        <f>data!AJ94</f>
        <v>6</v>
      </c>
      <c r="I160" s="297">
        <f>data!AK94</f>
        <v>0</v>
      </c>
    </row>
    <row r="161" spans="1:9" customFormat="1" ht="20.149999999999999" customHeight="1" x14ac:dyDescent="0.35">
      <c r="A161" s="283" t="s">
        <v>991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1025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Arbor Health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993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1026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1027</v>
      </c>
      <c r="F167" s="296" t="s">
        <v>209</v>
      </c>
      <c r="G167" s="296" t="s">
        <v>148</v>
      </c>
      <c r="H167" s="295" t="s">
        <v>1028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997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526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527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998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999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1000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1001</v>
      </c>
      <c r="C183" s="298">
        <f>+data!M703</f>
        <v>0</v>
      </c>
      <c r="D183" s="298">
        <f>+data!M704</f>
        <v>0</v>
      </c>
      <c r="E183" s="298">
        <f>+data!M705</f>
        <v>0</v>
      </c>
      <c r="F183" s="298">
        <f>+data!M706</f>
        <v>0</v>
      </c>
      <c r="G183" s="298">
        <f>+data!M707</f>
        <v>0</v>
      </c>
      <c r="H183" s="298">
        <f>+data!M708</f>
        <v>0</v>
      </c>
      <c r="I183" s="298">
        <f>+data!M709</f>
        <v>0</v>
      </c>
    </row>
    <row r="184" spans="1:9" customFormat="1" ht="20.149999999999999" customHeight="1" x14ac:dyDescent="0.35">
      <c r="A184" s="289">
        <v>19</v>
      </c>
      <c r="B184" s="298" t="s">
        <v>1002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1003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1004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1005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1006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1007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1008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1009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991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1029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Arbor Health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993</v>
      </c>
      <c r="C198" s="296"/>
      <c r="D198" s="296" t="s">
        <v>157</v>
      </c>
      <c r="E198" s="296" t="s">
        <v>158</v>
      </c>
      <c r="F198" s="296" t="s">
        <v>159</v>
      </c>
      <c r="G198" s="296" t="s">
        <v>1030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1031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997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22575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8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271561</v>
      </c>
      <c r="G203" s="290">
        <f>data!AW61</f>
        <v>0</v>
      </c>
      <c r="H203" s="290">
        <f>data!AX61</f>
        <v>0</v>
      </c>
      <c r="I203" s="290">
        <f>data!AY61</f>
        <v>394705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50761</v>
      </c>
      <c r="G204" s="290">
        <f>data!AW62</f>
        <v>0</v>
      </c>
      <c r="H204" s="290">
        <f>data!AX62</f>
        <v>0</v>
      </c>
      <c r="I204" s="290">
        <f>data!AY62</f>
        <v>87888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489273</v>
      </c>
      <c r="G206" s="290">
        <f>data!AW64</f>
        <v>0</v>
      </c>
      <c r="H206" s="290">
        <f>data!AX64</f>
        <v>0</v>
      </c>
      <c r="I206" s="290">
        <f>data!AY64</f>
        <v>147170</v>
      </c>
    </row>
    <row r="207" spans="1:9" customFormat="1" ht="20.149999999999999" customHeight="1" x14ac:dyDescent="0.35">
      <c r="A207" s="289">
        <v>10</v>
      </c>
      <c r="B207" s="290" t="s">
        <v>526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527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23321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63353</v>
      </c>
      <c r="G209" s="290">
        <f>data!AW67</f>
        <v>0</v>
      </c>
      <c r="H209" s="290">
        <f>data!AX67</f>
        <v>0</v>
      </c>
      <c r="I209" s="290">
        <f>data!AY67</f>
        <v>53849</v>
      </c>
    </row>
    <row r="210" spans="1:9" customFormat="1" ht="20.149999999999999" customHeight="1" x14ac:dyDescent="0.35">
      <c r="A210" s="289">
        <v>13</v>
      </c>
      <c r="B210" s="290" t="s">
        <v>998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999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0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49999999999999" customHeight="1" x14ac:dyDescent="0.35">
      <c r="A213" s="289">
        <v>16</v>
      </c>
      <c r="B213" s="298" t="s">
        <v>1000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874948</v>
      </c>
      <c r="G213" s="290">
        <f>data!AW85</f>
        <v>0</v>
      </c>
      <c r="H213" s="290">
        <f>data!AX85</f>
        <v>0</v>
      </c>
      <c r="I213" s="290">
        <f>data!AY85</f>
        <v>706933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1001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330718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1002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1003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1004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1005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1006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3313</v>
      </c>
      <c r="G220" s="290">
        <f>data!AW90</f>
        <v>0</v>
      </c>
      <c r="H220" s="290">
        <f>data!AX90</f>
        <v>0</v>
      </c>
      <c r="I220" s="290">
        <f>data!AY90</f>
        <v>2816</v>
      </c>
    </row>
    <row r="221" spans="1:9" customFormat="1" ht="20.149999999999999" customHeight="1" x14ac:dyDescent="0.35">
      <c r="A221" s="289">
        <v>23</v>
      </c>
      <c r="B221" s="290" t="s">
        <v>1007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1008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1009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991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1032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Arbor Health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993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1033</v>
      </c>
      <c r="F231" s="296" t="s">
        <v>1034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997</v>
      </c>
      <c r="C232" s="292" t="s">
        <v>1035</v>
      </c>
      <c r="D232" s="292" t="s">
        <v>1036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78440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1</v>
      </c>
      <c r="E234" s="297">
        <f>data!BB60</f>
        <v>0</v>
      </c>
      <c r="F234" s="297">
        <f>data!BC60</f>
        <v>0</v>
      </c>
      <c r="G234" s="297">
        <f>data!BD60</f>
        <v>4</v>
      </c>
      <c r="H234" s="297">
        <f>data!BE60</f>
        <v>6</v>
      </c>
      <c r="I234" s="297">
        <f>data!BF60</f>
        <v>10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42455</v>
      </c>
      <c r="E235" s="290">
        <f>data!BB61</f>
        <v>0</v>
      </c>
      <c r="F235" s="290">
        <f>data!BC61</f>
        <v>0</v>
      </c>
      <c r="G235" s="290">
        <f>data!BD61</f>
        <v>179358</v>
      </c>
      <c r="H235" s="290">
        <f>data!BE61</f>
        <v>467118</v>
      </c>
      <c r="I235" s="290">
        <f>data!BF61</f>
        <v>433989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9115</v>
      </c>
      <c r="E236" s="290">
        <f>data!BB62</f>
        <v>0</v>
      </c>
      <c r="F236" s="290">
        <f>data!BC62</f>
        <v>0</v>
      </c>
      <c r="G236" s="290">
        <f>data!BD62</f>
        <v>38103</v>
      </c>
      <c r="H236" s="290">
        <f>data!BE62</f>
        <v>99675</v>
      </c>
      <c r="I236" s="290">
        <f>data!BF62</f>
        <v>91978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434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30734</v>
      </c>
      <c r="E238" s="290">
        <f>data!BB64</f>
        <v>0</v>
      </c>
      <c r="F238" s="290">
        <f>data!BC64</f>
        <v>0</v>
      </c>
      <c r="G238" s="290">
        <f>data!BD64</f>
        <v>3594</v>
      </c>
      <c r="H238" s="290">
        <f>data!BE64</f>
        <v>55919</v>
      </c>
      <c r="I238" s="290">
        <f>data!BF64</f>
        <v>64695</v>
      </c>
    </row>
    <row r="239" spans="1:9" customFormat="1" ht="20.149999999999999" customHeight="1" x14ac:dyDescent="0.35">
      <c r="A239" s="289">
        <v>10</v>
      </c>
      <c r="B239" s="290" t="s">
        <v>526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6616</v>
      </c>
      <c r="H239" s="290">
        <f>data!BE65</f>
        <v>268941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527</v>
      </c>
      <c r="C240" s="290">
        <f>data!AZ66</f>
        <v>0</v>
      </c>
      <c r="D240" s="290">
        <f>data!BA66</f>
        <v>12958</v>
      </c>
      <c r="E240" s="290">
        <f>data!BB66</f>
        <v>0</v>
      </c>
      <c r="F240" s="290">
        <f>data!BC66</f>
        <v>0</v>
      </c>
      <c r="G240" s="290">
        <f>data!BD66</f>
        <v>0</v>
      </c>
      <c r="H240" s="290">
        <f>data!BE66</f>
        <v>647733</v>
      </c>
      <c r="I240" s="290">
        <f>data!BF66</f>
        <v>7240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12946</v>
      </c>
      <c r="E241" s="290">
        <f>data!BB67</f>
        <v>0</v>
      </c>
      <c r="F241" s="290">
        <f>data!BC67</f>
        <v>0</v>
      </c>
      <c r="G241" s="290">
        <f>data!BD67</f>
        <v>14418</v>
      </c>
      <c r="H241" s="290">
        <f>data!BE67</f>
        <v>463414</v>
      </c>
      <c r="I241" s="290">
        <f>data!BF67</f>
        <v>7630</v>
      </c>
    </row>
    <row r="242" spans="1:9" customFormat="1" ht="20.149999999999999" customHeight="1" x14ac:dyDescent="0.35">
      <c r="A242" s="289">
        <v>13</v>
      </c>
      <c r="B242" s="290" t="s">
        <v>998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999</v>
      </c>
      <c r="C243" s="290">
        <f>data!AZ69</f>
        <v>0</v>
      </c>
      <c r="D243" s="290">
        <f>data!BA69</f>
        <v>0</v>
      </c>
      <c r="E243" s="290">
        <f>data!BB69</f>
        <v>0</v>
      </c>
      <c r="F243" s="290">
        <f>data!BC69</f>
        <v>0</v>
      </c>
      <c r="G243" s="290">
        <f>data!BD69</f>
        <v>0</v>
      </c>
      <c r="H243" s="290">
        <f>data!BE69</f>
        <v>0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1000</v>
      </c>
      <c r="C245" s="290">
        <f>data!AZ85</f>
        <v>0</v>
      </c>
      <c r="D245" s="290">
        <f>data!BA85</f>
        <v>108208</v>
      </c>
      <c r="E245" s="290">
        <f>data!BB85</f>
        <v>0</v>
      </c>
      <c r="F245" s="290">
        <f>data!BC85</f>
        <v>0</v>
      </c>
      <c r="G245" s="290">
        <f>data!BD85</f>
        <v>242089</v>
      </c>
      <c r="H245" s="290">
        <f>data!BE85</f>
        <v>2003234</v>
      </c>
      <c r="I245" s="290">
        <f>data!BF85</f>
        <v>605532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1001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1002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1003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1004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1005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1006</v>
      </c>
      <c r="C252" s="306">
        <f>data!AZ90</f>
        <v>0</v>
      </c>
      <c r="D252" s="306">
        <f>data!BA90</f>
        <v>677</v>
      </c>
      <c r="E252" s="306">
        <f>data!BB90</f>
        <v>0</v>
      </c>
      <c r="F252" s="306">
        <f>data!BC90</f>
        <v>0</v>
      </c>
      <c r="G252" s="306">
        <f>data!BD90</f>
        <v>754</v>
      </c>
      <c r="H252" s="306">
        <f>data!BE90</f>
        <v>24234</v>
      </c>
      <c r="I252" s="306">
        <f>data!BF90</f>
        <v>399</v>
      </c>
    </row>
    <row r="253" spans="1:9" customFormat="1" ht="20.149999999999999" customHeight="1" x14ac:dyDescent="0.35">
      <c r="A253" s="289">
        <v>23</v>
      </c>
      <c r="B253" s="290" t="s">
        <v>1007</v>
      </c>
      <c r="C253" s="306">
        <f>data!AZ91</f>
        <v>17844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1008</v>
      </c>
      <c r="C254" s="305" t="str">
        <f>IF(data!AZ92&gt;0,data!AZ92,"")</f>
        <v>x</v>
      </c>
      <c r="D254" s="306">
        <f>data!BA92</f>
        <v>0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1009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991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1037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Arbor Health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993</v>
      </c>
      <c r="C262" s="296" t="s">
        <v>1038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1039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1040</v>
      </c>
    </row>
    <row r="264" spans="1:9" customFormat="1" ht="20.149999999999999" customHeight="1" x14ac:dyDescent="0.35">
      <c r="A264" s="289">
        <v>3</v>
      </c>
      <c r="B264" s="290" t="s">
        <v>997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1</v>
      </c>
      <c r="D266" s="297">
        <f>data!BH60</f>
        <v>6</v>
      </c>
      <c r="E266" s="297">
        <f>data!BI60</f>
        <v>0</v>
      </c>
      <c r="F266" s="297">
        <f>data!BJ60</f>
        <v>3</v>
      </c>
      <c r="G266" s="297">
        <f>data!BK60</f>
        <v>10</v>
      </c>
      <c r="H266" s="297">
        <f>data!BL60</f>
        <v>9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90345</v>
      </c>
      <c r="D267" s="290">
        <f>data!BH61</f>
        <v>571017</v>
      </c>
      <c r="E267" s="290">
        <f>data!BI61</f>
        <v>0</v>
      </c>
      <c r="F267" s="290">
        <f>data!BJ61</f>
        <v>258695</v>
      </c>
      <c r="G267" s="290">
        <f>data!BK61</f>
        <v>624403</v>
      </c>
      <c r="H267" s="290">
        <f>data!BL61</f>
        <v>436740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23651</v>
      </c>
      <c r="D268" s="290">
        <f>data!BH62</f>
        <v>123932</v>
      </c>
      <c r="E268" s="290">
        <f>data!BI62</f>
        <v>0</v>
      </c>
      <c r="F268" s="290">
        <f>data!BJ62</f>
        <v>62139</v>
      </c>
      <c r="G268" s="290">
        <f>data!BK62</f>
        <v>144172</v>
      </c>
      <c r="H268" s="290">
        <f>data!BL62</f>
        <v>95391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63893</v>
      </c>
      <c r="G269" s="290">
        <f>data!BK63</f>
        <v>305864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31472</v>
      </c>
      <c r="D270" s="290">
        <f>data!BH64</f>
        <v>78368</v>
      </c>
      <c r="E270" s="290">
        <f>data!BI64</f>
        <v>0</v>
      </c>
      <c r="F270" s="290">
        <f>data!BJ64</f>
        <v>1514</v>
      </c>
      <c r="G270" s="290">
        <f>data!BK64</f>
        <v>2659</v>
      </c>
      <c r="H270" s="290">
        <f>data!BL64</f>
        <v>4616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526</v>
      </c>
      <c r="C271" s="290">
        <f>data!BG65</f>
        <v>0</v>
      </c>
      <c r="D271" s="290">
        <f>data!BH65</f>
        <v>193039</v>
      </c>
      <c r="E271" s="290">
        <f>data!BI65</f>
        <v>0</v>
      </c>
      <c r="F271" s="290">
        <f>data!BJ65</f>
        <v>0</v>
      </c>
      <c r="G271" s="290">
        <f>data!BK65</f>
        <v>7336</v>
      </c>
      <c r="H271" s="290">
        <f>data!BL65</f>
        <v>5168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527</v>
      </c>
      <c r="C272" s="290">
        <f>data!BG66</f>
        <v>0</v>
      </c>
      <c r="D272" s="290">
        <f>data!BH66</f>
        <v>1330014</v>
      </c>
      <c r="E272" s="290">
        <f>data!BI66</f>
        <v>0</v>
      </c>
      <c r="F272" s="290">
        <f>data!BJ66</f>
        <v>64873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8720</v>
      </c>
      <c r="D273" s="290">
        <f>data!BH67</f>
        <v>1530</v>
      </c>
      <c r="E273" s="290">
        <f>data!BI67</f>
        <v>0</v>
      </c>
      <c r="F273" s="290">
        <f>data!BJ67</f>
        <v>26198</v>
      </c>
      <c r="G273" s="290">
        <f>data!BK67</f>
        <v>26198</v>
      </c>
      <c r="H273" s="290">
        <f>data!BL67</f>
        <v>11779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998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999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1000</v>
      </c>
      <c r="C277" s="290">
        <f>data!BG85</f>
        <v>154188</v>
      </c>
      <c r="D277" s="290">
        <f>data!BH85</f>
        <v>2297900</v>
      </c>
      <c r="E277" s="290">
        <f>data!BI85</f>
        <v>0</v>
      </c>
      <c r="F277" s="290">
        <f>data!BJ85</f>
        <v>477312</v>
      </c>
      <c r="G277" s="290">
        <f>data!BK85</f>
        <v>1110632</v>
      </c>
      <c r="H277" s="290">
        <f>data!BL85</f>
        <v>553694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1001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1002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1003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1004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1005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1006</v>
      </c>
      <c r="C284" s="306">
        <f>data!BG90</f>
        <v>456</v>
      </c>
      <c r="D284" s="306">
        <f>data!BH90</f>
        <v>80</v>
      </c>
      <c r="E284" s="306">
        <f>data!BI90</f>
        <v>0</v>
      </c>
      <c r="F284" s="306">
        <f>data!BJ90</f>
        <v>1370</v>
      </c>
      <c r="G284" s="306">
        <f>data!BK90</f>
        <v>1370</v>
      </c>
      <c r="H284" s="306">
        <f>data!BL90</f>
        <v>616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1007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1008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1009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991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1041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Arbor Health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993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1042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997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4</v>
      </c>
      <c r="D298" s="297">
        <f>data!BO60</f>
        <v>1</v>
      </c>
      <c r="E298" s="297">
        <f>data!BP60</f>
        <v>0</v>
      </c>
      <c r="F298" s="297">
        <f>data!BQ60</f>
        <v>0</v>
      </c>
      <c r="G298" s="297">
        <f>data!BR60</f>
        <v>4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768616</v>
      </c>
      <c r="D299" s="290">
        <f>data!BO61</f>
        <v>63320</v>
      </c>
      <c r="E299" s="290">
        <f>data!BP61</f>
        <v>0</v>
      </c>
      <c r="F299" s="290">
        <f>data!BQ61</f>
        <v>0</v>
      </c>
      <c r="G299" s="290">
        <f>data!BR61</f>
        <v>369504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180804</v>
      </c>
      <c r="D300" s="290">
        <f>data!BO62</f>
        <v>15923</v>
      </c>
      <c r="E300" s="290">
        <f>data!BP62</f>
        <v>0</v>
      </c>
      <c r="F300" s="290">
        <f>data!BQ62</f>
        <v>0</v>
      </c>
      <c r="G300" s="290">
        <f>data!BR62</f>
        <v>95356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55524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16884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4888</v>
      </c>
      <c r="D302" s="290">
        <f>data!BO64</f>
        <v>7193</v>
      </c>
      <c r="E302" s="290">
        <f>data!BP64</f>
        <v>0</v>
      </c>
      <c r="F302" s="290">
        <f>data!BQ64</f>
        <v>0</v>
      </c>
      <c r="G302" s="290">
        <f>data!BR64</f>
        <v>2184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526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527</v>
      </c>
      <c r="C304" s="290">
        <f>data!BN66</f>
        <v>248471</v>
      </c>
      <c r="D304" s="290">
        <f>data!BO66</f>
        <v>12122</v>
      </c>
      <c r="E304" s="290">
        <f>data!BP66</f>
        <v>0</v>
      </c>
      <c r="F304" s="290">
        <f>data!BQ66</f>
        <v>0</v>
      </c>
      <c r="G304" s="290">
        <f>data!BR66</f>
        <v>39988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17038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10747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998</v>
      </c>
      <c r="C306" s="290">
        <f>data!BN68</f>
        <v>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999</v>
      </c>
      <c r="C307" s="290">
        <f>data!BN69</f>
        <v>0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1000</v>
      </c>
      <c r="C309" s="290">
        <f>data!BN85</f>
        <v>1275341</v>
      </c>
      <c r="D309" s="290">
        <f>data!BO85</f>
        <v>98558</v>
      </c>
      <c r="E309" s="290">
        <f>data!BP85</f>
        <v>0</v>
      </c>
      <c r="F309" s="290">
        <f>data!BQ85</f>
        <v>0</v>
      </c>
      <c r="G309" s="290">
        <f>data!BR85</f>
        <v>534663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1001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1002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1003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1004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1005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1006</v>
      </c>
      <c r="C316" s="306">
        <f>data!BN90</f>
        <v>891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562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1007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1008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1009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991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1043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Arbor Health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993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1042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997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4</v>
      </c>
      <c r="E330" s="297">
        <f>data!BW60</f>
        <v>0</v>
      </c>
      <c r="F330" s="297">
        <f>data!BX60</f>
        <v>2</v>
      </c>
      <c r="G330" s="297">
        <f>data!BY60</f>
        <v>5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194470</v>
      </c>
      <c r="E331" s="309">
        <f>data!BW61</f>
        <v>0</v>
      </c>
      <c r="F331" s="309">
        <f>data!BX61</f>
        <v>272360</v>
      </c>
      <c r="G331" s="309">
        <f>data!BY61</f>
        <v>712259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38815</v>
      </c>
      <c r="E332" s="309">
        <f>data!BW62</f>
        <v>0</v>
      </c>
      <c r="F332" s="309">
        <f>data!BX62</f>
        <v>68589</v>
      </c>
      <c r="G332" s="309">
        <f>data!BY62</f>
        <v>141235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5755</v>
      </c>
      <c r="G333" s="309">
        <f>data!BY63</f>
        <v>13410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1715</v>
      </c>
      <c r="E334" s="309">
        <f>data!BW64</f>
        <v>0</v>
      </c>
      <c r="F334" s="309">
        <f>data!BX64</f>
        <v>0</v>
      </c>
      <c r="G334" s="309">
        <f>data!BY64</f>
        <v>0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526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527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94525</v>
      </c>
      <c r="G336" s="309">
        <f>data!BY66</f>
        <v>44609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21685</v>
      </c>
      <c r="E337" s="309">
        <f>data!BW67</f>
        <v>0</v>
      </c>
      <c r="F337" s="309">
        <f>data!BX67</f>
        <v>0</v>
      </c>
      <c r="G337" s="309">
        <f>data!BY67</f>
        <v>13520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998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999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0</v>
      </c>
      <c r="H339" s="309">
        <f>data!BZ69</f>
        <v>0</v>
      </c>
      <c r="I339" s="309">
        <f>data!CA69</f>
        <v>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1000</v>
      </c>
      <c r="C341" s="290">
        <f>data!BU85</f>
        <v>0</v>
      </c>
      <c r="D341" s="290">
        <f>data!BV85</f>
        <v>256685</v>
      </c>
      <c r="E341" s="290">
        <f>data!BW85</f>
        <v>0</v>
      </c>
      <c r="F341" s="290">
        <f>data!BX85</f>
        <v>441229</v>
      </c>
      <c r="G341" s="290">
        <f>data!BY85</f>
        <v>925033</v>
      </c>
      <c r="H341" s="290">
        <f>data!BZ85</f>
        <v>0</v>
      </c>
      <c r="I341" s="290">
        <f>data!CA85</f>
        <v>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1001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1002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1003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1004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1005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1006</v>
      </c>
      <c r="C348" s="306">
        <f>data!BU90</f>
        <v>0</v>
      </c>
      <c r="D348" s="306">
        <f>data!BV90</f>
        <v>1134</v>
      </c>
      <c r="E348" s="306">
        <f>data!BW90</f>
        <v>0</v>
      </c>
      <c r="F348" s="306">
        <f>data!BX90</f>
        <v>0</v>
      </c>
      <c r="G348" s="306">
        <f>data!BY90</f>
        <v>707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1007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1008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0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1009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991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1044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Arbor Health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993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1045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997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1</v>
      </c>
      <c r="E362" s="312"/>
      <c r="F362" s="300"/>
      <c r="G362" s="300"/>
      <c r="H362" s="300"/>
      <c r="I362" s="313">
        <f>data!CE60</f>
        <v>205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51699</v>
      </c>
      <c r="E363" s="314"/>
      <c r="F363" s="314"/>
      <c r="G363" s="314"/>
      <c r="H363" s="314"/>
      <c r="I363" s="309">
        <f>data!CE61</f>
        <v>22446603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11174</v>
      </c>
      <c r="E364" s="314"/>
      <c r="F364" s="314"/>
      <c r="G364" s="314"/>
      <c r="H364" s="314"/>
      <c r="I364" s="309">
        <f>data!CE62</f>
        <v>4452887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1453059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28574</v>
      </c>
      <c r="E366" s="314"/>
      <c r="F366" s="314"/>
      <c r="G366" s="314"/>
      <c r="H366" s="314"/>
      <c r="I366" s="309">
        <f>data!CE64</f>
        <v>3068894</v>
      </c>
    </row>
    <row r="367" spans="1:9" customFormat="1" ht="20.149999999999999" customHeight="1" x14ac:dyDescent="0.35">
      <c r="A367" s="289">
        <v>10</v>
      </c>
      <c r="B367" s="290" t="s">
        <v>526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509276</v>
      </c>
    </row>
    <row r="368" spans="1:9" customFormat="1" ht="20.149999999999999" customHeight="1" x14ac:dyDescent="0.35">
      <c r="A368" s="289">
        <v>11</v>
      </c>
      <c r="B368" s="290" t="s">
        <v>527</v>
      </c>
      <c r="C368" s="309">
        <f>data!CB66</f>
        <v>0</v>
      </c>
      <c r="D368" s="309">
        <f>data!CC66</f>
        <v>100000</v>
      </c>
      <c r="E368" s="314"/>
      <c r="F368" s="314"/>
      <c r="G368" s="314"/>
      <c r="H368" s="314"/>
      <c r="I368" s="309">
        <f>data!CE66</f>
        <v>4342970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1499969</v>
      </c>
    </row>
    <row r="370" spans="1:9" customFormat="1" ht="20.149999999999999" customHeight="1" x14ac:dyDescent="0.35">
      <c r="A370" s="289">
        <v>13</v>
      </c>
      <c r="B370" s="290" t="s">
        <v>998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0</v>
      </c>
    </row>
    <row r="371" spans="1:9" customFormat="1" ht="20.149999999999999" customHeight="1" x14ac:dyDescent="0.35">
      <c r="A371" s="289">
        <v>14</v>
      </c>
      <c r="B371" s="290" t="s">
        <v>999</v>
      </c>
      <c r="C371" s="309">
        <f>data!CB69</f>
        <v>0</v>
      </c>
      <c r="D371" s="309">
        <f>data!CC69</f>
        <v>0</v>
      </c>
      <c r="E371" s="309">
        <f>data!CD69</f>
        <v>1476506</v>
      </c>
      <c r="F371" s="314"/>
      <c r="G371" s="314"/>
      <c r="H371" s="314"/>
      <c r="I371" s="309">
        <f>data!CE69</f>
        <v>1513778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49999999999999" customHeight="1" x14ac:dyDescent="0.35">
      <c r="A373" s="289">
        <v>16</v>
      </c>
      <c r="B373" s="298" t="s">
        <v>1000</v>
      </c>
      <c r="C373" s="309">
        <f>data!CB85</f>
        <v>0</v>
      </c>
      <c r="D373" s="309">
        <f>data!CC85</f>
        <v>191447</v>
      </c>
      <c r="E373" s="309">
        <f>data!CD85</f>
        <v>1476506</v>
      </c>
      <c r="F373" s="314"/>
      <c r="G373" s="314"/>
      <c r="H373" s="314"/>
      <c r="I373" s="290">
        <f>data!CE85</f>
        <v>39287436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1001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1002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7993980</v>
      </c>
    </row>
    <row r="377" spans="1:9" customFormat="1" ht="20.149999999999999" customHeight="1" x14ac:dyDescent="0.35">
      <c r="A377" s="289">
        <v>20</v>
      </c>
      <c r="B377" s="298" t="s">
        <v>1003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50085706</v>
      </c>
    </row>
    <row r="378" spans="1:9" customFormat="1" ht="20.149999999999999" customHeight="1" x14ac:dyDescent="0.35">
      <c r="A378" s="289">
        <v>21</v>
      </c>
      <c r="B378" s="298" t="s">
        <v>1004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58079686</v>
      </c>
    </row>
    <row r="379" spans="1:9" customFormat="1" ht="20.149999999999999" customHeight="1" x14ac:dyDescent="0.35">
      <c r="A379" s="289" t="s">
        <v>1005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1006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78440</v>
      </c>
    </row>
    <row r="381" spans="1:9" customFormat="1" ht="20.149999999999999" customHeight="1" x14ac:dyDescent="0.35">
      <c r="A381" s="289">
        <v>23</v>
      </c>
      <c r="B381" s="290" t="s">
        <v>1007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22575</v>
      </c>
    </row>
    <row r="382" spans="1:9" customFormat="1" ht="20.149999999999999" customHeight="1" x14ac:dyDescent="0.35">
      <c r="A382" s="289">
        <v>24</v>
      </c>
      <c r="B382" s="290" t="s">
        <v>1008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14600</v>
      </c>
    </row>
    <row r="383" spans="1:9" customFormat="1" ht="20.149999999999999" customHeight="1" x14ac:dyDescent="0.35">
      <c r="A383" s="289">
        <v>25</v>
      </c>
      <c r="B383" s="290" t="s">
        <v>1009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99000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35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1076C-C740-4966-9164-7E04A9326A57}">
  <sheetPr syncVertical="1" syncRef="A28" transitionEvaluation="1" transitionEntry="1" codeName="Sheet12">
    <tabColor rgb="FF92D050"/>
    <pageSetUpPr autoPageBreaks="0" fitToPage="1"/>
  </sheetPr>
  <dimension ref="A1:CF717"/>
  <sheetViews>
    <sheetView topLeftCell="A28" zoomScaleNormal="100" workbookViewId="0">
      <selection activeCell="C94" sqref="C94:AU9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211245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17457</v>
      </c>
      <c r="Q47" s="20">
        <v>0</v>
      </c>
      <c r="R47" s="20">
        <v>49316</v>
      </c>
      <c r="S47" s="20">
        <v>3046</v>
      </c>
      <c r="T47" s="20">
        <v>0</v>
      </c>
      <c r="U47" s="20">
        <v>57092</v>
      </c>
      <c r="V47" s="20">
        <v>0</v>
      </c>
      <c r="W47" s="20">
        <v>0</v>
      </c>
      <c r="X47" s="20">
        <v>0</v>
      </c>
      <c r="Y47" s="20">
        <v>75196</v>
      </c>
      <c r="Z47" s="20">
        <v>0</v>
      </c>
      <c r="AA47" s="20">
        <v>0</v>
      </c>
      <c r="AB47" s="20">
        <v>12631</v>
      </c>
      <c r="AC47" s="20">
        <v>15739</v>
      </c>
      <c r="AD47" s="20">
        <v>0</v>
      </c>
      <c r="AE47" s="20">
        <v>106628</v>
      </c>
      <c r="AF47" s="20">
        <v>0</v>
      </c>
      <c r="AG47" s="20">
        <v>178914</v>
      </c>
      <c r="AH47" s="20">
        <v>0</v>
      </c>
      <c r="AI47" s="20">
        <v>0</v>
      </c>
      <c r="AJ47" s="20">
        <v>402082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46899</v>
      </c>
      <c r="AZ47" s="20">
        <v>0</v>
      </c>
      <c r="BA47" s="20">
        <v>6507</v>
      </c>
      <c r="BB47" s="20">
        <v>0</v>
      </c>
      <c r="BC47" s="20">
        <v>3045</v>
      </c>
      <c r="BD47" s="20">
        <v>11371</v>
      </c>
      <c r="BE47" s="20">
        <v>39234</v>
      </c>
      <c r="BF47" s="20">
        <v>35926</v>
      </c>
      <c r="BG47" s="20">
        <v>12010</v>
      </c>
      <c r="BH47" s="20">
        <v>44958</v>
      </c>
      <c r="BI47" s="20">
        <v>0</v>
      </c>
      <c r="BJ47" s="20">
        <v>33720</v>
      </c>
      <c r="BK47" s="20">
        <v>60279</v>
      </c>
      <c r="BL47" s="20">
        <v>42284</v>
      </c>
      <c r="BM47" s="20">
        <v>0</v>
      </c>
      <c r="BN47" s="20">
        <v>80254</v>
      </c>
      <c r="BO47" s="20">
        <v>7759</v>
      </c>
      <c r="BP47" s="20">
        <v>0</v>
      </c>
      <c r="BQ47" s="20">
        <v>0</v>
      </c>
      <c r="BR47" s="20">
        <v>55926</v>
      </c>
      <c r="BS47" s="20">
        <v>0</v>
      </c>
      <c r="BT47" s="20">
        <v>0</v>
      </c>
      <c r="BU47" s="20">
        <v>0</v>
      </c>
      <c r="BV47" s="20">
        <v>15331</v>
      </c>
      <c r="BW47" s="20">
        <v>0</v>
      </c>
      <c r="BX47" s="20">
        <v>17033</v>
      </c>
      <c r="BY47" s="20">
        <v>61205</v>
      </c>
      <c r="BZ47" s="20">
        <v>0</v>
      </c>
      <c r="CA47" s="20">
        <v>0</v>
      </c>
      <c r="CB47" s="20">
        <v>0</v>
      </c>
      <c r="CC47" s="20">
        <v>19049</v>
      </c>
      <c r="CD47" s="16"/>
      <c r="CE47" s="28">
        <v>1722136</v>
      </c>
    </row>
    <row r="48" spans="1:83" x14ac:dyDescent="0.35">
      <c r="A48" s="28" t="s">
        <v>232</v>
      </c>
      <c r="B48" s="242">
        <v>2192357</v>
      </c>
      <c r="C48" s="28">
        <v>0</v>
      </c>
      <c r="D48" s="28">
        <v>0</v>
      </c>
      <c r="E48" s="28">
        <v>286016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123980</v>
      </c>
      <c r="Q48" s="28">
        <v>0</v>
      </c>
      <c r="R48" s="28">
        <v>51523</v>
      </c>
      <c r="S48" s="28">
        <v>4333</v>
      </c>
      <c r="T48" s="28">
        <v>0</v>
      </c>
      <c r="U48" s="28">
        <v>100073</v>
      </c>
      <c r="V48" s="28">
        <v>0</v>
      </c>
      <c r="W48" s="28">
        <v>0</v>
      </c>
      <c r="X48" s="28">
        <v>0</v>
      </c>
      <c r="Y48" s="28">
        <v>108837</v>
      </c>
      <c r="Z48" s="28">
        <v>0</v>
      </c>
      <c r="AA48" s="28">
        <v>0</v>
      </c>
      <c r="AB48" s="28">
        <v>54759</v>
      </c>
      <c r="AC48" s="28">
        <v>38122</v>
      </c>
      <c r="AD48" s="28">
        <v>0</v>
      </c>
      <c r="AE48" s="28">
        <v>117623</v>
      </c>
      <c r="AF48" s="28">
        <v>0</v>
      </c>
      <c r="AG48" s="28">
        <v>260945</v>
      </c>
      <c r="AH48" s="28">
        <v>0</v>
      </c>
      <c r="AI48" s="28">
        <v>0</v>
      </c>
      <c r="AJ48" s="28">
        <v>479206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42660</v>
      </c>
      <c r="AZ48" s="28">
        <v>0</v>
      </c>
      <c r="BA48" s="28">
        <v>6656</v>
      </c>
      <c r="BB48" s="28">
        <v>0</v>
      </c>
      <c r="BC48" s="28">
        <v>3583</v>
      </c>
      <c r="BD48" s="28">
        <v>11002</v>
      </c>
      <c r="BE48" s="28">
        <v>39309</v>
      </c>
      <c r="BF48" s="28">
        <v>39691</v>
      </c>
      <c r="BG48" s="28">
        <v>8175</v>
      </c>
      <c r="BH48" s="28">
        <v>50092</v>
      </c>
      <c r="BI48" s="28">
        <v>0</v>
      </c>
      <c r="BJ48" s="28">
        <v>25787</v>
      </c>
      <c r="BK48" s="28">
        <v>57265</v>
      </c>
      <c r="BL48" s="28">
        <v>44457</v>
      </c>
      <c r="BM48" s="28">
        <v>0</v>
      </c>
      <c r="BN48" s="28">
        <v>64447</v>
      </c>
      <c r="BO48" s="28">
        <v>6131</v>
      </c>
      <c r="BP48" s="28">
        <v>0</v>
      </c>
      <c r="BQ48" s="28">
        <v>0</v>
      </c>
      <c r="BR48" s="28">
        <v>38306</v>
      </c>
      <c r="BS48" s="28">
        <v>0</v>
      </c>
      <c r="BT48" s="28">
        <v>0</v>
      </c>
      <c r="BU48" s="28">
        <v>0</v>
      </c>
      <c r="BV48" s="28">
        <v>19269</v>
      </c>
      <c r="BW48" s="28">
        <v>0</v>
      </c>
      <c r="BX48" s="28">
        <v>13328</v>
      </c>
      <c r="BY48" s="28">
        <v>59416</v>
      </c>
      <c r="BZ48" s="28">
        <v>0</v>
      </c>
      <c r="CA48" s="28">
        <v>0</v>
      </c>
      <c r="CB48" s="28">
        <v>0</v>
      </c>
      <c r="CC48" s="28">
        <v>37369</v>
      </c>
      <c r="CD48" s="28" t="s">
        <v>1046</v>
      </c>
      <c r="CE48" s="28" t="s">
        <v>1046</v>
      </c>
    </row>
    <row r="49" spans="1:83" x14ac:dyDescent="0.35">
      <c r="A49" s="16" t="s">
        <v>233</v>
      </c>
      <c r="B49" s="28">
        <v>2192357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1573152</v>
      </c>
      <c r="C52" s="28">
        <v>0</v>
      </c>
      <c r="D52" s="28">
        <v>0</v>
      </c>
      <c r="E52" s="28">
        <v>367677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25992</v>
      </c>
      <c r="Q52" s="28">
        <v>0</v>
      </c>
      <c r="R52" s="28">
        <v>0</v>
      </c>
      <c r="S52" s="28">
        <v>0</v>
      </c>
      <c r="T52" s="28">
        <v>0</v>
      </c>
      <c r="U52" s="28">
        <v>21118</v>
      </c>
      <c r="V52" s="28">
        <v>0</v>
      </c>
      <c r="W52" s="28">
        <v>0</v>
      </c>
      <c r="X52" s="28">
        <v>0</v>
      </c>
      <c r="Y52" s="28">
        <v>49196</v>
      </c>
      <c r="Z52" s="28">
        <v>0</v>
      </c>
      <c r="AA52" s="28">
        <v>0</v>
      </c>
      <c r="AB52" s="28">
        <v>9988</v>
      </c>
      <c r="AC52" s="28">
        <v>19895</v>
      </c>
      <c r="AD52" s="28">
        <v>0</v>
      </c>
      <c r="AE52" s="28">
        <v>56677</v>
      </c>
      <c r="AF52" s="28">
        <v>0</v>
      </c>
      <c r="AG52" s="28">
        <v>70956</v>
      </c>
      <c r="AH52" s="28">
        <v>0</v>
      </c>
      <c r="AI52" s="28">
        <v>0</v>
      </c>
      <c r="AJ52" s="28">
        <v>161888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66444</v>
      </c>
      <c r="AW52" s="28">
        <v>0</v>
      </c>
      <c r="AX52" s="28">
        <v>0</v>
      </c>
      <c r="AY52" s="28">
        <v>56476</v>
      </c>
      <c r="AZ52" s="28">
        <v>0</v>
      </c>
      <c r="BA52" s="28">
        <v>13578</v>
      </c>
      <c r="BB52" s="28">
        <v>0</v>
      </c>
      <c r="BC52" s="28">
        <v>0</v>
      </c>
      <c r="BD52" s="28">
        <v>15122</v>
      </c>
      <c r="BE52" s="28">
        <v>486025</v>
      </c>
      <c r="BF52" s="28">
        <v>8002</v>
      </c>
      <c r="BG52" s="28">
        <v>9145</v>
      </c>
      <c r="BH52" s="28">
        <v>1604</v>
      </c>
      <c r="BI52" s="28">
        <v>0</v>
      </c>
      <c r="BJ52" s="28">
        <v>27476</v>
      </c>
      <c r="BK52" s="28">
        <v>27476</v>
      </c>
      <c r="BL52" s="28">
        <v>12354</v>
      </c>
      <c r="BM52" s="28">
        <v>0</v>
      </c>
      <c r="BN52" s="28">
        <v>17869</v>
      </c>
      <c r="BO52" s="28">
        <v>0</v>
      </c>
      <c r="BP52" s="28">
        <v>0</v>
      </c>
      <c r="BQ52" s="28">
        <v>0</v>
      </c>
      <c r="BR52" s="28">
        <v>11271</v>
      </c>
      <c r="BS52" s="28">
        <v>0</v>
      </c>
      <c r="BT52" s="28">
        <v>0</v>
      </c>
      <c r="BU52" s="28">
        <v>0</v>
      </c>
      <c r="BV52" s="28">
        <v>22743</v>
      </c>
      <c r="BW52" s="28">
        <v>0</v>
      </c>
      <c r="BX52" s="28">
        <v>0</v>
      </c>
      <c r="BY52" s="28">
        <v>14179</v>
      </c>
      <c r="BZ52" s="28">
        <v>0</v>
      </c>
      <c r="CA52" s="28">
        <v>0</v>
      </c>
      <c r="CB52" s="28">
        <v>0</v>
      </c>
      <c r="CC52" s="28">
        <v>0</v>
      </c>
      <c r="CD52" s="28" t="s">
        <v>1046</v>
      </c>
      <c r="CE52" s="28" t="s">
        <v>1046</v>
      </c>
    </row>
    <row r="53" spans="1:83" x14ac:dyDescent="0.35">
      <c r="A53" s="16" t="s">
        <v>233</v>
      </c>
      <c r="B53" s="28">
        <v>1573152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642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1145</v>
      </c>
      <c r="M59" s="20">
        <v>0</v>
      </c>
      <c r="N59" s="20">
        <v>0</v>
      </c>
      <c r="O59" s="20">
        <v>0</v>
      </c>
      <c r="P59" s="26">
        <v>36284</v>
      </c>
      <c r="Q59" s="26">
        <v>0</v>
      </c>
      <c r="R59" s="26">
        <v>36284</v>
      </c>
      <c r="S59" s="244">
        <v>0</v>
      </c>
      <c r="T59" s="244">
        <v>0</v>
      </c>
      <c r="U59" s="27">
        <v>49368</v>
      </c>
      <c r="V59" s="26">
        <v>0</v>
      </c>
      <c r="W59" s="26">
        <v>349</v>
      </c>
      <c r="X59" s="26">
        <v>2275</v>
      </c>
      <c r="Y59" s="26">
        <v>4958</v>
      </c>
      <c r="Z59" s="26">
        <v>0</v>
      </c>
      <c r="AA59" s="26">
        <v>21</v>
      </c>
      <c r="AB59" s="244">
        <v>0</v>
      </c>
      <c r="AC59" s="26">
        <v>3944</v>
      </c>
      <c r="AD59" s="26">
        <v>0</v>
      </c>
      <c r="AE59" s="26">
        <v>24240</v>
      </c>
      <c r="AF59" s="26">
        <v>0</v>
      </c>
      <c r="AG59" s="26">
        <v>5299</v>
      </c>
      <c r="AH59" s="26">
        <v>0</v>
      </c>
      <c r="AI59" s="26">
        <v>0</v>
      </c>
      <c r="AJ59" s="26">
        <v>24660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22166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78440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20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4.7</v>
      </c>
      <c r="Q60" s="246">
        <v>0</v>
      </c>
      <c r="R60" s="246">
        <v>1.1000000000000001</v>
      </c>
      <c r="S60" s="247">
        <v>0</v>
      </c>
      <c r="T60" s="247">
        <v>0</v>
      </c>
      <c r="U60" s="248">
        <v>8.5</v>
      </c>
      <c r="V60" s="246">
        <v>0</v>
      </c>
      <c r="W60" s="246">
        <v>0</v>
      </c>
      <c r="X60" s="246">
        <v>0</v>
      </c>
      <c r="Y60" s="246">
        <v>8</v>
      </c>
      <c r="Z60" s="246">
        <v>0</v>
      </c>
      <c r="AA60" s="246">
        <v>0</v>
      </c>
      <c r="AB60" s="247">
        <v>2.9</v>
      </c>
      <c r="AC60" s="246">
        <v>2.5</v>
      </c>
      <c r="AD60" s="246">
        <v>0</v>
      </c>
      <c r="AE60" s="246">
        <v>12.4</v>
      </c>
      <c r="AF60" s="246">
        <v>0</v>
      </c>
      <c r="AG60" s="246">
        <v>11.3</v>
      </c>
      <c r="AH60" s="246">
        <v>0</v>
      </c>
      <c r="AI60" s="246">
        <v>0</v>
      </c>
      <c r="AJ60" s="246">
        <v>42.4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8.8000000000000007</v>
      </c>
      <c r="AZ60" s="246">
        <v>0</v>
      </c>
      <c r="BA60" s="247">
        <v>1.7</v>
      </c>
      <c r="BB60" s="247">
        <v>0</v>
      </c>
      <c r="BC60" s="247">
        <v>1</v>
      </c>
      <c r="BD60" s="247">
        <v>2.2000000000000002</v>
      </c>
      <c r="BE60" s="246">
        <v>5</v>
      </c>
      <c r="BF60" s="247">
        <v>9.4</v>
      </c>
      <c r="BG60" s="247">
        <v>1</v>
      </c>
      <c r="BH60" s="247">
        <v>5.6</v>
      </c>
      <c r="BI60" s="247">
        <v>0</v>
      </c>
      <c r="BJ60" s="247">
        <v>3</v>
      </c>
      <c r="BK60" s="247">
        <v>9.9</v>
      </c>
      <c r="BL60" s="247">
        <v>10.5</v>
      </c>
      <c r="BM60" s="247">
        <v>0</v>
      </c>
      <c r="BN60" s="247">
        <v>3.6</v>
      </c>
      <c r="BO60" s="247">
        <v>1</v>
      </c>
      <c r="BP60" s="247">
        <v>0</v>
      </c>
      <c r="BQ60" s="247">
        <v>0</v>
      </c>
      <c r="BR60" s="247">
        <v>4.2</v>
      </c>
      <c r="BS60" s="247">
        <v>0</v>
      </c>
      <c r="BT60" s="247">
        <v>0</v>
      </c>
      <c r="BU60" s="247">
        <v>0</v>
      </c>
      <c r="BV60" s="247">
        <v>4.0999999999999996</v>
      </c>
      <c r="BW60" s="247">
        <v>0</v>
      </c>
      <c r="BX60" s="247">
        <v>1.2</v>
      </c>
      <c r="BY60" s="247">
        <v>4.9000000000000004</v>
      </c>
      <c r="BZ60" s="247">
        <v>0</v>
      </c>
      <c r="CA60" s="247">
        <v>0</v>
      </c>
      <c r="CB60" s="247">
        <v>0</v>
      </c>
      <c r="CC60" s="247">
        <v>10</v>
      </c>
      <c r="CD60" s="219" t="s">
        <v>248</v>
      </c>
      <c r="CE60" s="237">
        <v>200.89999999999998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2795421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1211739</v>
      </c>
      <c r="Q61" s="26">
        <v>0</v>
      </c>
      <c r="R61" s="26">
        <v>503565</v>
      </c>
      <c r="S61" s="249">
        <v>42345</v>
      </c>
      <c r="T61" s="249">
        <v>0</v>
      </c>
      <c r="U61" s="27">
        <v>978077</v>
      </c>
      <c r="V61" s="26">
        <v>0</v>
      </c>
      <c r="W61" s="26">
        <v>0</v>
      </c>
      <c r="X61" s="26">
        <v>0</v>
      </c>
      <c r="Y61" s="26">
        <v>1063736</v>
      </c>
      <c r="Z61" s="26">
        <v>0</v>
      </c>
      <c r="AA61" s="26">
        <v>0</v>
      </c>
      <c r="AB61" s="250">
        <v>535194</v>
      </c>
      <c r="AC61" s="26">
        <v>372594</v>
      </c>
      <c r="AD61" s="26">
        <v>0</v>
      </c>
      <c r="AE61" s="26">
        <v>1149612</v>
      </c>
      <c r="AF61" s="26">
        <v>0</v>
      </c>
      <c r="AG61" s="26">
        <v>2550389</v>
      </c>
      <c r="AH61" s="26">
        <v>0</v>
      </c>
      <c r="AI61" s="26">
        <v>0</v>
      </c>
      <c r="AJ61" s="26">
        <v>4683597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416948</v>
      </c>
      <c r="AZ61" s="26">
        <v>0</v>
      </c>
      <c r="BA61" s="249">
        <v>65058</v>
      </c>
      <c r="BB61" s="249">
        <v>0</v>
      </c>
      <c r="BC61" s="249">
        <v>35017</v>
      </c>
      <c r="BD61" s="249">
        <v>107531</v>
      </c>
      <c r="BE61" s="26">
        <v>384197</v>
      </c>
      <c r="BF61" s="249">
        <v>387922</v>
      </c>
      <c r="BG61" s="249">
        <v>79900</v>
      </c>
      <c r="BH61" s="249">
        <v>489579</v>
      </c>
      <c r="BI61" s="249">
        <v>0</v>
      </c>
      <c r="BJ61" s="249">
        <v>252031</v>
      </c>
      <c r="BK61" s="249">
        <v>559687</v>
      </c>
      <c r="BL61" s="249">
        <v>434508</v>
      </c>
      <c r="BM61" s="249">
        <v>0</v>
      </c>
      <c r="BN61" s="249">
        <v>629879</v>
      </c>
      <c r="BO61" s="249">
        <v>59920</v>
      </c>
      <c r="BP61" s="249">
        <v>0</v>
      </c>
      <c r="BQ61" s="249">
        <v>0</v>
      </c>
      <c r="BR61" s="249">
        <v>374390</v>
      </c>
      <c r="BS61" s="249">
        <v>0</v>
      </c>
      <c r="BT61" s="249">
        <v>0</v>
      </c>
      <c r="BU61" s="249">
        <v>0</v>
      </c>
      <c r="BV61" s="249">
        <v>188328</v>
      </c>
      <c r="BW61" s="249">
        <v>0</v>
      </c>
      <c r="BX61" s="249">
        <v>130265</v>
      </c>
      <c r="BY61" s="249">
        <v>580709</v>
      </c>
      <c r="BZ61" s="249">
        <v>0</v>
      </c>
      <c r="CA61" s="249">
        <v>0</v>
      </c>
      <c r="CB61" s="249">
        <v>0</v>
      </c>
      <c r="CC61" s="249">
        <v>365233</v>
      </c>
      <c r="CD61" s="25" t="s">
        <v>248</v>
      </c>
      <c r="CE61" s="28">
        <v>21427371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497261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141437</v>
      </c>
      <c r="Q62" s="28">
        <v>0</v>
      </c>
      <c r="R62" s="28">
        <v>100839</v>
      </c>
      <c r="S62" s="28">
        <v>7379</v>
      </c>
      <c r="T62" s="28">
        <v>0</v>
      </c>
      <c r="U62" s="28">
        <v>157165</v>
      </c>
      <c r="V62" s="28">
        <v>0</v>
      </c>
      <c r="W62" s="28">
        <v>0</v>
      </c>
      <c r="X62" s="28">
        <v>0</v>
      </c>
      <c r="Y62" s="28">
        <v>184033</v>
      </c>
      <c r="Z62" s="28">
        <v>0</v>
      </c>
      <c r="AA62" s="28">
        <v>0</v>
      </c>
      <c r="AB62" s="28">
        <v>67390</v>
      </c>
      <c r="AC62" s="28">
        <v>53861</v>
      </c>
      <c r="AD62" s="28">
        <v>0</v>
      </c>
      <c r="AE62" s="28">
        <v>224251</v>
      </c>
      <c r="AF62" s="28">
        <v>0</v>
      </c>
      <c r="AG62" s="28">
        <v>439859</v>
      </c>
      <c r="AH62" s="28">
        <v>0</v>
      </c>
      <c r="AI62" s="28">
        <v>0</v>
      </c>
      <c r="AJ62" s="28">
        <v>881288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89559</v>
      </c>
      <c r="AZ62" s="28">
        <v>0</v>
      </c>
      <c r="BA62" s="28">
        <v>13163</v>
      </c>
      <c r="BB62" s="28">
        <v>0</v>
      </c>
      <c r="BC62" s="28">
        <v>6628</v>
      </c>
      <c r="BD62" s="28">
        <v>22373</v>
      </c>
      <c r="BE62" s="28">
        <v>78543</v>
      </c>
      <c r="BF62" s="28">
        <v>75617</v>
      </c>
      <c r="BG62" s="28">
        <v>20185</v>
      </c>
      <c r="BH62" s="28">
        <v>95050</v>
      </c>
      <c r="BI62" s="28">
        <v>0</v>
      </c>
      <c r="BJ62" s="28">
        <v>59507</v>
      </c>
      <c r="BK62" s="28">
        <v>117544</v>
      </c>
      <c r="BL62" s="28">
        <v>86741</v>
      </c>
      <c r="BM62" s="28">
        <v>0</v>
      </c>
      <c r="BN62" s="28">
        <v>144701</v>
      </c>
      <c r="BO62" s="28">
        <v>13890</v>
      </c>
      <c r="BP62" s="28">
        <v>0</v>
      </c>
      <c r="BQ62" s="28">
        <v>0</v>
      </c>
      <c r="BR62" s="28">
        <v>94232</v>
      </c>
      <c r="BS62" s="28">
        <v>0</v>
      </c>
      <c r="BT62" s="28">
        <v>0</v>
      </c>
      <c r="BU62" s="28">
        <v>0</v>
      </c>
      <c r="BV62" s="28">
        <v>34600</v>
      </c>
      <c r="BW62" s="28">
        <v>0</v>
      </c>
      <c r="BX62" s="28">
        <v>30361</v>
      </c>
      <c r="BY62" s="28">
        <v>120621</v>
      </c>
      <c r="BZ62" s="28">
        <v>0</v>
      </c>
      <c r="CA62" s="28">
        <v>0</v>
      </c>
      <c r="CB62" s="28">
        <v>0</v>
      </c>
      <c r="CC62" s="28">
        <v>56418</v>
      </c>
      <c r="CD62" s="25" t="s">
        <v>248</v>
      </c>
      <c r="CE62" s="28">
        <v>3914496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1100</v>
      </c>
      <c r="Q63" s="26">
        <v>0</v>
      </c>
      <c r="R63" s="26">
        <v>0</v>
      </c>
      <c r="S63" s="249">
        <v>0</v>
      </c>
      <c r="T63" s="249">
        <v>0</v>
      </c>
      <c r="U63" s="27">
        <v>7091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828683</v>
      </c>
      <c r="AH63" s="26">
        <v>0</v>
      </c>
      <c r="AI63" s="26">
        <v>0</v>
      </c>
      <c r="AJ63" s="26">
        <v>315985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1810</v>
      </c>
      <c r="BI63" s="249">
        <v>0</v>
      </c>
      <c r="BJ63" s="249">
        <v>83606</v>
      </c>
      <c r="BK63" s="249">
        <v>265515</v>
      </c>
      <c r="BL63" s="249">
        <v>0</v>
      </c>
      <c r="BM63" s="249">
        <v>0</v>
      </c>
      <c r="BN63" s="249">
        <v>61037</v>
      </c>
      <c r="BO63" s="249">
        <v>0</v>
      </c>
      <c r="BP63" s="249">
        <v>0</v>
      </c>
      <c r="BQ63" s="249">
        <v>0</v>
      </c>
      <c r="BR63" s="249">
        <v>66619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16984</v>
      </c>
      <c r="CD63" s="25" t="s">
        <v>248</v>
      </c>
      <c r="CE63" s="28">
        <v>1648430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218747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560753</v>
      </c>
      <c r="Q64" s="26">
        <v>0</v>
      </c>
      <c r="R64" s="26">
        <v>12175</v>
      </c>
      <c r="S64" s="249">
        <v>26178</v>
      </c>
      <c r="T64" s="249">
        <v>0</v>
      </c>
      <c r="U64" s="27">
        <v>462088</v>
      </c>
      <c r="V64" s="26">
        <v>0</v>
      </c>
      <c r="W64" s="26">
        <v>0</v>
      </c>
      <c r="X64" s="26">
        <v>28856</v>
      </c>
      <c r="Y64" s="26">
        <v>39886</v>
      </c>
      <c r="Z64" s="26">
        <v>0</v>
      </c>
      <c r="AA64" s="26">
        <v>5379</v>
      </c>
      <c r="AB64" s="250">
        <v>335190</v>
      </c>
      <c r="AC64" s="26">
        <v>12095</v>
      </c>
      <c r="AD64" s="26">
        <v>0</v>
      </c>
      <c r="AE64" s="26">
        <v>28978</v>
      </c>
      <c r="AF64" s="26">
        <v>0</v>
      </c>
      <c r="AG64" s="26">
        <v>156758</v>
      </c>
      <c r="AH64" s="26">
        <v>0</v>
      </c>
      <c r="AI64" s="26">
        <v>10183</v>
      </c>
      <c r="AJ64" s="26">
        <v>321298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126798</v>
      </c>
      <c r="AZ64" s="26">
        <v>0</v>
      </c>
      <c r="BA64" s="249">
        <v>20020</v>
      </c>
      <c r="BB64" s="249">
        <v>0</v>
      </c>
      <c r="BC64" s="249">
        <v>124</v>
      </c>
      <c r="BD64" s="249">
        <v>5851</v>
      </c>
      <c r="BE64" s="26">
        <v>56916</v>
      </c>
      <c r="BF64" s="249">
        <v>50818</v>
      </c>
      <c r="BG64" s="249">
        <v>28862</v>
      </c>
      <c r="BH64" s="249">
        <v>103540</v>
      </c>
      <c r="BI64" s="249">
        <v>0</v>
      </c>
      <c r="BJ64" s="249">
        <v>1589</v>
      </c>
      <c r="BK64" s="249">
        <v>1190</v>
      </c>
      <c r="BL64" s="249">
        <v>5367</v>
      </c>
      <c r="BM64" s="249">
        <v>0</v>
      </c>
      <c r="BN64" s="249">
        <v>63810</v>
      </c>
      <c r="BO64" s="249">
        <v>4776</v>
      </c>
      <c r="BP64" s="249">
        <v>0</v>
      </c>
      <c r="BQ64" s="249">
        <v>0</v>
      </c>
      <c r="BR64" s="249">
        <v>2503</v>
      </c>
      <c r="BS64" s="249">
        <v>44728</v>
      </c>
      <c r="BT64" s="249">
        <v>0</v>
      </c>
      <c r="BU64" s="249">
        <v>0</v>
      </c>
      <c r="BV64" s="249">
        <v>2330</v>
      </c>
      <c r="BW64" s="249">
        <v>0</v>
      </c>
      <c r="BX64" s="249">
        <v>0</v>
      </c>
      <c r="BY64" s="249">
        <v>365</v>
      </c>
      <c r="BZ64" s="249">
        <v>0</v>
      </c>
      <c r="CA64" s="249">
        <v>0</v>
      </c>
      <c r="CB64" s="249">
        <v>0</v>
      </c>
      <c r="CC64" s="249">
        <v>33589</v>
      </c>
      <c r="CD64" s="25" t="s">
        <v>248</v>
      </c>
      <c r="CE64" s="28">
        <v>2771740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32654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280</v>
      </c>
      <c r="AZ65" s="26">
        <v>0</v>
      </c>
      <c r="BA65" s="249">
        <v>0</v>
      </c>
      <c r="BB65" s="249">
        <v>0</v>
      </c>
      <c r="BC65" s="249">
        <v>6532</v>
      </c>
      <c r="BD65" s="249">
        <v>0</v>
      </c>
      <c r="BE65" s="26">
        <v>295810</v>
      </c>
      <c r="BF65" s="249">
        <v>0</v>
      </c>
      <c r="BG65" s="249">
        <v>0</v>
      </c>
      <c r="BH65" s="249">
        <v>245883</v>
      </c>
      <c r="BI65" s="249">
        <v>0</v>
      </c>
      <c r="BJ65" s="249">
        <v>7849</v>
      </c>
      <c r="BK65" s="249">
        <v>254</v>
      </c>
      <c r="BL65" s="249">
        <v>3997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-2</v>
      </c>
      <c r="CD65" s="25" t="s">
        <v>248</v>
      </c>
      <c r="CE65" s="28">
        <v>593257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45122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30877</v>
      </c>
      <c r="Q66" s="26">
        <v>0</v>
      </c>
      <c r="R66" s="26">
        <v>6141</v>
      </c>
      <c r="S66" s="249">
        <v>21591</v>
      </c>
      <c r="T66" s="249">
        <v>0</v>
      </c>
      <c r="U66" s="27">
        <v>248107</v>
      </c>
      <c r="V66" s="26">
        <v>0</v>
      </c>
      <c r="W66" s="26">
        <v>208097</v>
      </c>
      <c r="X66" s="26">
        <v>67413</v>
      </c>
      <c r="Y66" s="26">
        <v>150582</v>
      </c>
      <c r="Z66" s="26">
        <v>0</v>
      </c>
      <c r="AA66" s="26">
        <v>55333</v>
      </c>
      <c r="AB66" s="250">
        <v>110164</v>
      </c>
      <c r="AC66" s="26">
        <v>11844</v>
      </c>
      <c r="AD66" s="26">
        <v>0</v>
      </c>
      <c r="AE66" s="26">
        <v>13790</v>
      </c>
      <c r="AF66" s="26">
        <v>0</v>
      </c>
      <c r="AG66" s="26">
        <v>28312</v>
      </c>
      <c r="AH66" s="26">
        <v>299194</v>
      </c>
      <c r="AI66" s="26">
        <v>0</v>
      </c>
      <c r="AJ66" s="26">
        <v>197381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16526</v>
      </c>
      <c r="AZ66" s="26">
        <v>0</v>
      </c>
      <c r="BA66" s="249">
        <v>9002</v>
      </c>
      <c r="BB66" s="249">
        <v>0</v>
      </c>
      <c r="BC66" s="249">
        <v>7</v>
      </c>
      <c r="BD66" s="249">
        <v>16030</v>
      </c>
      <c r="BE66" s="26">
        <v>397997</v>
      </c>
      <c r="BF66" s="249">
        <v>4127</v>
      </c>
      <c r="BG66" s="249">
        <v>316811</v>
      </c>
      <c r="BH66" s="249">
        <v>1175083</v>
      </c>
      <c r="BI66" s="249">
        <v>0</v>
      </c>
      <c r="BJ66" s="249">
        <v>15204</v>
      </c>
      <c r="BK66" s="249">
        <v>84798</v>
      </c>
      <c r="BL66" s="249">
        <v>528</v>
      </c>
      <c r="BM66" s="249">
        <v>0</v>
      </c>
      <c r="BN66" s="249">
        <v>247643</v>
      </c>
      <c r="BO66" s="249">
        <v>12024</v>
      </c>
      <c r="BP66" s="249">
        <v>0</v>
      </c>
      <c r="BQ66" s="249">
        <v>0</v>
      </c>
      <c r="BR66" s="249">
        <v>49162</v>
      </c>
      <c r="BS66" s="249">
        <v>6358</v>
      </c>
      <c r="BT66" s="249">
        <v>0</v>
      </c>
      <c r="BU66" s="249">
        <v>0</v>
      </c>
      <c r="BV66" s="249">
        <v>28099</v>
      </c>
      <c r="BW66" s="249">
        <v>0</v>
      </c>
      <c r="BX66" s="249">
        <v>3158</v>
      </c>
      <c r="BY66" s="249">
        <v>137357</v>
      </c>
      <c r="BZ66" s="249">
        <v>0</v>
      </c>
      <c r="CA66" s="249">
        <v>0</v>
      </c>
      <c r="CB66" s="249">
        <v>4432</v>
      </c>
      <c r="CC66" s="249">
        <v>159160</v>
      </c>
      <c r="CD66" s="25" t="s">
        <v>248</v>
      </c>
      <c r="CE66" s="28">
        <v>4177454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367677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25992</v>
      </c>
      <c r="Q67" s="28">
        <v>0</v>
      </c>
      <c r="R67" s="28">
        <v>0</v>
      </c>
      <c r="S67" s="28">
        <v>0</v>
      </c>
      <c r="T67" s="28">
        <v>0</v>
      </c>
      <c r="U67" s="28">
        <v>21118</v>
      </c>
      <c r="V67" s="28">
        <v>0</v>
      </c>
      <c r="W67" s="28">
        <v>0</v>
      </c>
      <c r="X67" s="28">
        <v>0</v>
      </c>
      <c r="Y67" s="28">
        <v>49196</v>
      </c>
      <c r="Z67" s="28">
        <v>0</v>
      </c>
      <c r="AA67" s="28">
        <v>0</v>
      </c>
      <c r="AB67" s="28">
        <v>9988</v>
      </c>
      <c r="AC67" s="28">
        <v>19895</v>
      </c>
      <c r="AD67" s="28">
        <v>0</v>
      </c>
      <c r="AE67" s="28">
        <v>56677</v>
      </c>
      <c r="AF67" s="28">
        <v>0</v>
      </c>
      <c r="AG67" s="28">
        <v>70956</v>
      </c>
      <c r="AH67" s="28">
        <v>0</v>
      </c>
      <c r="AI67" s="28">
        <v>0</v>
      </c>
      <c r="AJ67" s="28">
        <v>161888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66444</v>
      </c>
      <c r="AW67" s="28">
        <v>0</v>
      </c>
      <c r="AX67" s="28">
        <v>0</v>
      </c>
      <c r="AY67" s="28">
        <v>56476</v>
      </c>
      <c r="AZ67" s="28">
        <v>0</v>
      </c>
      <c r="BA67" s="28">
        <v>13578</v>
      </c>
      <c r="BB67" s="28">
        <v>0</v>
      </c>
      <c r="BC67" s="28">
        <v>0</v>
      </c>
      <c r="BD67" s="28">
        <v>15122</v>
      </c>
      <c r="BE67" s="28">
        <v>486025</v>
      </c>
      <c r="BF67" s="28">
        <v>8002</v>
      </c>
      <c r="BG67" s="28">
        <v>9145</v>
      </c>
      <c r="BH67" s="28">
        <v>1604</v>
      </c>
      <c r="BI67" s="28">
        <v>0</v>
      </c>
      <c r="BJ67" s="28">
        <v>27476</v>
      </c>
      <c r="BK67" s="28">
        <v>27476</v>
      </c>
      <c r="BL67" s="28">
        <v>12354</v>
      </c>
      <c r="BM67" s="28">
        <v>0</v>
      </c>
      <c r="BN67" s="28">
        <v>17869</v>
      </c>
      <c r="BO67" s="28">
        <v>0</v>
      </c>
      <c r="BP67" s="28">
        <v>0</v>
      </c>
      <c r="BQ67" s="28">
        <v>0</v>
      </c>
      <c r="BR67" s="28">
        <v>11271</v>
      </c>
      <c r="BS67" s="28">
        <v>0</v>
      </c>
      <c r="BT67" s="28">
        <v>0</v>
      </c>
      <c r="BU67" s="28">
        <v>0</v>
      </c>
      <c r="BV67" s="28">
        <v>22743</v>
      </c>
      <c r="BW67" s="28">
        <v>0</v>
      </c>
      <c r="BX67" s="28">
        <v>0</v>
      </c>
      <c r="BY67" s="28">
        <v>14179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1573151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0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0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0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0</v>
      </c>
      <c r="CD69" s="28">
        <v>2958216</v>
      </c>
      <c r="CE69" s="28">
        <v>2958216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2958216</v>
      </c>
      <c r="CE83" s="28">
        <v>2958216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3924228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1971898</v>
      </c>
      <c r="Q85" s="28">
        <v>0</v>
      </c>
      <c r="R85" s="28">
        <v>622720</v>
      </c>
      <c r="S85" s="28">
        <v>97493</v>
      </c>
      <c r="T85" s="28">
        <v>0</v>
      </c>
      <c r="U85" s="28">
        <v>1873646</v>
      </c>
      <c r="V85" s="28">
        <v>0</v>
      </c>
      <c r="W85" s="28">
        <v>208097</v>
      </c>
      <c r="X85" s="28">
        <v>96269</v>
      </c>
      <c r="Y85" s="28">
        <v>1487433</v>
      </c>
      <c r="Z85" s="28">
        <v>0</v>
      </c>
      <c r="AA85" s="28">
        <v>60712</v>
      </c>
      <c r="AB85" s="28">
        <v>1057926</v>
      </c>
      <c r="AC85" s="28">
        <v>470289</v>
      </c>
      <c r="AD85" s="28">
        <v>0</v>
      </c>
      <c r="AE85" s="28">
        <v>1473308</v>
      </c>
      <c r="AF85" s="28">
        <v>0</v>
      </c>
      <c r="AG85" s="28">
        <v>4074957</v>
      </c>
      <c r="AH85" s="28">
        <v>299194</v>
      </c>
      <c r="AI85" s="28">
        <v>10183</v>
      </c>
      <c r="AJ85" s="28">
        <v>6594091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66444</v>
      </c>
      <c r="AW85" s="28">
        <v>0</v>
      </c>
      <c r="AX85" s="28">
        <v>0</v>
      </c>
      <c r="AY85" s="28">
        <v>706587</v>
      </c>
      <c r="AZ85" s="28">
        <v>0</v>
      </c>
      <c r="BA85" s="28">
        <v>120821</v>
      </c>
      <c r="BB85" s="28">
        <v>0</v>
      </c>
      <c r="BC85" s="28">
        <v>48308</v>
      </c>
      <c r="BD85" s="28">
        <v>166907</v>
      </c>
      <c r="BE85" s="28">
        <v>1699488</v>
      </c>
      <c r="BF85" s="28">
        <v>526486</v>
      </c>
      <c r="BG85" s="28">
        <v>454903</v>
      </c>
      <c r="BH85" s="28">
        <v>2112549</v>
      </c>
      <c r="BI85" s="28">
        <v>0</v>
      </c>
      <c r="BJ85" s="28">
        <v>447262</v>
      </c>
      <c r="BK85" s="28">
        <v>1056464</v>
      </c>
      <c r="BL85" s="28">
        <v>543495</v>
      </c>
      <c r="BM85" s="28">
        <v>0</v>
      </c>
      <c r="BN85" s="28">
        <v>1164939</v>
      </c>
      <c r="BO85" s="28">
        <v>90610</v>
      </c>
      <c r="BP85" s="28">
        <v>0</v>
      </c>
      <c r="BQ85" s="28">
        <v>0</v>
      </c>
      <c r="BR85" s="28">
        <v>598177</v>
      </c>
      <c r="BS85" s="28">
        <v>51086</v>
      </c>
      <c r="BT85" s="28">
        <v>0</v>
      </c>
      <c r="BU85" s="28">
        <v>0</v>
      </c>
      <c r="BV85" s="28">
        <v>276100</v>
      </c>
      <c r="BW85" s="28">
        <v>0</v>
      </c>
      <c r="BX85" s="28">
        <v>163784</v>
      </c>
      <c r="BY85" s="28">
        <v>853231</v>
      </c>
      <c r="BZ85" s="28">
        <v>0</v>
      </c>
      <c r="CA85" s="28">
        <v>0</v>
      </c>
      <c r="CB85" s="28">
        <v>4432</v>
      </c>
      <c r="CC85" s="28">
        <v>631382</v>
      </c>
      <c r="CD85" s="28">
        <v>2958216</v>
      </c>
      <c r="CE85" s="28">
        <v>39064115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0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4490328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1215073</v>
      </c>
      <c r="M88" s="20">
        <v>0</v>
      </c>
      <c r="N88" s="20">
        <v>0</v>
      </c>
      <c r="O88" s="20">
        <v>0</v>
      </c>
      <c r="P88" s="20">
        <v>3007818</v>
      </c>
      <c r="Q88" s="20">
        <v>276259</v>
      </c>
      <c r="R88" s="20">
        <v>1234956</v>
      </c>
      <c r="S88" s="20">
        <v>1240656</v>
      </c>
      <c r="T88" s="20">
        <v>0</v>
      </c>
      <c r="U88" s="20">
        <v>6018957</v>
      </c>
      <c r="V88" s="20">
        <v>0</v>
      </c>
      <c r="W88" s="20">
        <v>0</v>
      </c>
      <c r="X88" s="20">
        <v>0</v>
      </c>
      <c r="Y88" s="20">
        <v>9774660</v>
      </c>
      <c r="Z88" s="20">
        <v>0</v>
      </c>
      <c r="AA88" s="20">
        <v>0</v>
      </c>
      <c r="AB88" s="20">
        <v>1850397</v>
      </c>
      <c r="AC88" s="20">
        <v>937313</v>
      </c>
      <c r="AD88" s="20">
        <v>0</v>
      </c>
      <c r="AE88" s="20">
        <v>3872838</v>
      </c>
      <c r="AF88" s="20">
        <v>0</v>
      </c>
      <c r="AG88" s="20">
        <v>11604143</v>
      </c>
      <c r="AH88" s="20">
        <v>0</v>
      </c>
      <c r="AI88" s="20">
        <v>73646</v>
      </c>
      <c r="AJ88" s="20">
        <v>5557962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51155006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4490328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1215073</v>
      </c>
      <c r="M89" s="28">
        <v>0</v>
      </c>
      <c r="N89" s="28">
        <v>0</v>
      </c>
      <c r="O89" s="28">
        <v>0</v>
      </c>
      <c r="P89" s="28">
        <v>3007818</v>
      </c>
      <c r="Q89" s="28">
        <v>276259</v>
      </c>
      <c r="R89" s="28">
        <v>1234956</v>
      </c>
      <c r="S89" s="28">
        <v>1240656</v>
      </c>
      <c r="T89" s="28">
        <v>0</v>
      </c>
      <c r="U89" s="28">
        <v>6018957</v>
      </c>
      <c r="V89" s="28">
        <v>0</v>
      </c>
      <c r="W89" s="28">
        <v>0</v>
      </c>
      <c r="X89" s="28">
        <v>0</v>
      </c>
      <c r="Y89" s="28">
        <v>9774660</v>
      </c>
      <c r="Z89" s="28">
        <v>0</v>
      </c>
      <c r="AA89" s="28">
        <v>0</v>
      </c>
      <c r="AB89" s="28">
        <v>1850397</v>
      </c>
      <c r="AC89" s="28">
        <v>937313</v>
      </c>
      <c r="AD89" s="28">
        <v>0</v>
      </c>
      <c r="AE89" s="28">
        <v>3872838</v>
      </c>
      <c r="AF89" s="28">
        <v>0</v>
      </c>
      <c r="AG89" s="28">
        <v>11604143</v>
      </c>
      <c r="AH89" s="28">
        <v>0</v>
      </c>
      <c r="AI89" s="28">
        <v>73646</v>
      </c>
      <c r="AJ89" s="28">
        <v>5557962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51155006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18333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1296</v>
      </c>
      <c r="Q90" s="20">
        <v>0</v>
      </c>
      <c r="R90" s="20">
        <v>0</v>
      </c>
      <c r="S90" s="20">
        <v>0</v>
      </c>
      <c r="T90" s="20">
        <v>0</v>
      </c>
      <c r="U90" s="20">
        <v>1053</v>
      </c>
      <c r="V90" s="20">
        <v>0</v>
      </c>
      <c r="W90" s="20">
        <v>0</v>
      </c>
      <c r="X90" s="20">
        <v>0</v>
      </c>
      <c r="Y90" s="20">
        <v>2453</v>
      </c>
      <c r="Z90" s="20">
        <v>0</v>
      </c>
      <c r="AA90" s="20">
        <v>0</v>
      </c>
      <c r="AB90" s="20">
        <v>498</v>
      </c>
      <c r="AC90" s="20">
        <v>992</v>
      </c>
      <c r="AD90" s="20">
        <v>0</v>
      </c>
      <c r="AE90" s="20">
        <v>2826</v>
      </c>
      <c r="AF90" s="20">
        <v>0</v>
      </c>
      <c r="AG90" s="20">
        <v>3538</v>
      </c>
      <c r="AH90" s="20">
        <v>0</v>
      </c>
      <c r="AI90" s="20">
        <v>0</v>
      </c>
      <c r="AJ90" s="20">
        <v>8072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3313</v>
      </c>
      <c r="AW90" s="20">
        <v>0</v>
      </c>
      <c r="AX90" s="20">
        <v>0</v>
      </c>
      <c r="AY90" s="20">
        <v>2816</v>
      </c>
      <c r="AZ90" s="20">
        <v>0</v>
      </c>
      <c r="BA90" s="20">
        <v>677</v>
      </c>
      <c r="BB90" s="20">
        <v>0</v>
      </c>
      <c r="BC90" s="20">
        <v>0</v>
      </c>
      <c r="BD90" s="20">
        <v>754</v>
      </c>
      <c r="BE90" s="20">
        <v>24234</v>
      </c>
      <c r="BF90" s="20">
        <v>399</v>
      </c>
      <c r="BG90" s="20">
        <v>456</v>
      </c>
      <c r="BH90" s="20">
        <v>80</v>
      </c>
      <c r="BI90" s="20">
        <v>0</v>
      </c>
      <c r="BJ90" s="20">
        <v>1370</v>
      </c>
      <c r="BK90" s="20">
        <v>1370</v>
      </c>
      <c r="BL90" s="20">
        <v>616</v>
      </c>
      <c r="BM90" s="20">
        <v>0</v>
      </c>
      <c r="BN90" s="20">
        <v>891</v>
      </c>
      <c r="BO90" s="20">
        <v>0</v>
      </c>
      <c r="BP90" s="20">
        <v>0</v>
      </c>
      <c r="BQ90" s="20">
        <v>0</v>
      </c>
      <c r="BR90" s="20">
        <v>562</v>
      </c>
      <c r="BS90" s="20">
        <v>0</v>
      </c>
      <c r="BT90" s="20">
        <v>0</v>
      </c>
      <c r="BU90" s="20">
        <v>0</v>
      </c>
      <c r="BV90" s="20">
        <v>1134</v>
      </c>
      <c r="BW90" s="20">
        <v>0</v>
      </c>
      <c r="BX90" s="20">
        <v>0</v>
      </c>
      <c r="BY90" s="20">
        <v>707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78440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5590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5590</v>
      </c>
      <c r="CF91" s="28">
        <v>16576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3500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1200</v>
      </c>
      <c r="Q92" s="20">
        <v>0</v>
      </c>
      <c r="R92" s="20">
        <v>0</v>
      </c>
      <c r="S92" s="20">
        <v>0</v>
      </c>
      <c r="T92" s="20">
        <v>0</v>
      </c>
      <c r="U92" s="20">
        <v>1100</v>
      </c>
      <c r="V92" s="20">
        <v>0</v>
      </c>
      <c r="W92" s="20">
        <v>0</v>
      </c>
      <c r="X92" s="20">
        <v>0</v>
      </c>
      <c r="Y92" s="20">
        <v>2100</v>
      </c>
      <c r="Z92" s="20">
        <v>0</v>
      </c>
      <c r="AA92" s="20">
        <v>0</v>
      </c>
      <c r="AB92" s="20">
        <v>1200</v>
      </c>
      <c r="AC92" s="20">
        <v>0</v>
      </c>
      <c r="AD92" s="20">
        <v>0</v>
      </c>
      <c r="AE92" s="20">
        <v>1300</v>
      </c>
      <c r="AF92" s="20">
        <v>0</v>
      </c>
      <c r="AG92" s="20">
        <v>2300</v>
      </c>
      <c r="AH92" s="20">
        <v>0</v>
      </c>
      <c r="AI92" s="20">
        <v>0</v>
      </c>
      <c r="AJ92" s="20">
        <v>1900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14600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28092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206</v>
      </c>
      <c r="L93" s="20">
        <v>0</v>
      </c>
      <c r="M93" s="20">
        <v>0</v>
      </c>
      <c r="N93" s="20">
        <v>0</v>
      </c>
      <c r="O93" s="20">
        <v>0</v>
      </c>
      <c r="P93" s="20">
        <v>8550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5981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16376</v>
      </c>
      <c r="AF93" s="20">
        <v>0</v>
      </c>
      <c r="AG93" s="20">
        <v>31392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90597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20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4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5</v>
      </c>
      <c r="AH94" s="246">
        <v>0</v>
      </c>
      <c r="AI94" s="246">
        <v>0</v>
      </c>
      <c r="AJ94" s="246">
        <v>6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35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98356</v>
      </c>
      <c r="D102" s="38"/>
      <c r="E102" s="39"/>
      <c r="F102" s="12"/>
    </row>
    <row r="103" spans="1:6" ht="15.75" customHeight="1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151</v>
      </c>
      <c r="D127" s="46">
        <v>642</v>
      </c>
      <c r="E127" s="16"/>
    </row>
    <row r="128" spans="1:5" x14ac:dyDescent="0.35">
      <c r="A128" s="16" t="s">
        <v>339</v>
      </c>
      <c r="B128" s="42" t="s">
        <v>299</v>
      </c>
      <c r="C128" s="43">
        <v>66</v>
      </c>
      <c r="D128" s="46">
        <v>1145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10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15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25</v>
      </c>
    </row>
    <row r="144" spans="1:5" x14ac:dyDescent="0.35">
      <c r="A144" s="16" t="s">
        <v>353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1220706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80</v>
      </c>
      <c r="C154" s="46">
        <v>33</v>
      </c>
      <c r="D154" s="46">
        <v>38</v>
      </c>
      <c r="E154" s="28">
        <v>151</v>
      </c>
    </row>
    <row r="155" spans="1:6" x14ac:dyDescent="0.35">
      <c r="A155" s="16" t="s">
        <v>242</v>
      </c>
      <c r="B155" s="46">
        <v>340</v>
      </c>
      <c r="C155" s="46">
        <v>140</v>
      </c>
      <c r="D155" s="46">
        <v>162</v>
      </c>
      <c r="E155" s="28">
        <v>642</v>
      </c>
    </row>
    <row r="156" spans="1:6" x14ac:dyDescent="0.35">
      <c r="A156" s="16" t="s">
        <v>360</v>
      </c>
      <c r="B156" s="46">
        <v>7246</v>
      </c>
      <c r="C156" s="46">
        <v>3008</v>
      </c>
      <c r="D156" s="46">
        <v>3417</v>
      </c>
      <c r="E156" s="28">
        <v>13671</v>
      </c>
    </row>
    <row r="157" spans="1:6" x14ac:dyDescent="0.35">
      <c r="A157" s="16" t="s">
        <v>287</v>
      </c>
      <c r="B157" s="46">
        <v>3562451</v>
      </c>
      <c r="C157" s="46">
        <v>1507191</v>
      </c>
      <c r="D157" s="46">
        <v>1781226</v>
      </c>
      <c r="E157" s="28">
        <v>6850868</v>
      </c>
      <c r="F157" s="14"/>
    </row>
    <row r="158" spans="1:6" x14ac:dyDescent="0.35">
      <c r="A158" s="16" t="s">
        <v>288</v>
      </c>
      <c r="B158" s="46">
        <v>20216815</v>
      </c>
      <c r="C158" s="46">
        <v>8574989</v>
      </c>
      <c r="D158" s="46">
        <v>10185417</v>
      </c>
      <c r="E158" s="28">
        <v>38977221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60</v>
      </c>
      <c r="C160" s="46">
        <v>0</v>
      </c>
      <c r="D160" s="46">
        <v>6</v>
      </c>
      <c r="E160" s="28">
        <v>66</v>
      </c>
    </row>
    <row r="161" spans="1:5" x14ac:dyDescent="0.35">
      <c r="A161" s="16" t="s">
        <v>242</v>
      </c>
      <c r="B161" s="46">
        <v>1030</v>
      </c>
      <c r="C161" s="46">
        <v>0</v>
      </c>
      <c r="D161" s="46">
        <v>115</v>
      </c>
      <c r="E161" s="28">
        <v>1145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1093565</v>
      </c>
      <c r="C163" s="46">
        <v>0</v>
      </c>
      <c r="D163" s="46">
        <v>121508</v>
      </c>
      <c r="E163" s="28">
        <v>1215073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2322592</v>
      </c>
      <c r="C173" s="46">
        <v>2792380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885307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34763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227183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1640188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125894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566337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434824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3914496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72323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72323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142074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166901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308975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22441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279296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301737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440937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440937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998600</v>
      </c>
      <c r="C211" s="43">
        <v>0</v>
      </c>
      <c r="D211" s="46">
        <v>0</v>
      </c>
      <c r="E211" s="28">
        <v>998600</v>
      </c>
    </row>
    <row r="212" spans="1:5" x14ac:dyDescent="0.35">
      <c r="A212" s="16" t="s">
        <v>395</v>
      </c>
      <c r="B212" s="46">
        <v>1426739</v>
      </c>
      <c r="C212" s="43">
        <v>0</v>
      </c>
      <c r="D212" s="46">
        <v>0</v>
      </c>
      <c r="E212" s="28">
        <v>1426739</v>
      </c>
    </row>
    <row r="213" spans="1:5" x14ac:dyDescent="0.35">
      <c r="A213" s="16" t="s">
        <v>396</v>
      </c>
      <c r="B213" s="46">
        <v>20685975</v>
      </c>
      <c r="C213" s="43">
        <v>238207</v>
      </c>
      <c r="D213" s="46">
        <v>0</v>
      </c>
      <c r="E213" s="28">
        <v>20924182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2614419</v>
      </c>
      <c r="C215" s="43">
        <v>102221</v>
      </c>
      <c r="D215" s="46">
        <v>0</v>
      </c>
      <c r="E215" s="28">
        <v>2716640</v>
      </c>
    </row>
    <row r="216" spans="1:5" x14ac:dyDescent="0.35">
      <c r="A216" s="16" t="s">
        <v>399</v>
      </c>
      <c r="B216" s="46">
        <v>8849710</v>
      </c>
      <c r="C216" s="43">
        <v>216762</v>
      </c>
      <c r="D216" s="46">
        <v>0</v>
      </c>
      <c r="E216" s="28">
        <v>9066472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112334</v>
      </c>
      <c r="C219" s="43">
        <v>8516318</v>
      </c>
      <c r="D219" s="46">
        <v>2783220</v>
      </c>
      <c r="E219" s="28">
        <v>5845432</v>
      </c>
    </row>
    <row r="220" spans="1:5" x14ac:dyDescent="0.35">
      <c r="A220" s="16" t="s">
        <v>230</v>
      </c>
      <c r="B220" s="28">
        <v>34687777</v>
      </c>
      <c r="C220" s="235">
        <v>9073508</v>
      </c>
      <c r="D220" s="28">
        <v>2783220</v>
      </c>
      <c r="E220" s="28">
        <v>40978065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1159395</v>
      </c>
      <c r="C225" s="43">
        <v>43977</v>
      </c>
      <c r="D225" s="46">
        <v>0</v>
      </c>
      <c r="E225" s="28">
        <v>1203372</v>
      </c>
    </row>
    <row r="226" spans="1:6" x14ac:dyDescent="0.35">
      <c r="A226" s="16" t="s">
        <v>396</v>
      </c>
      <c r="B226" s="46">
        <v>13048211</v>
      </c>
      <c r="C226" s="43">
        <v>611510</v>
      </c>
      <c r="D226" s="46">
        <v>0</v>
      </c>
      <c r="E226" s="28">
        <v>13659721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1886958</v>
      </c>
      <c r="C228" s="43">
        <v>102484</v>
      </c>
      <c r="D228" s="46">
        <v>0</v>
      </c>
      <c r="E228" s="28">
        <v>1989442</v>
      </c>
    </row>
    <row r="229" spans="1:6" x14ac:dyDescent="0.35">
      <c r="A229" s="16" t="s">
        <v>399</v>
      </c>
      <c r="B229" s="46">
        <v>7087863</v>
      </c>
      <c r="C229" s="43">
        <v>550665</v>
      </c>
      <c r="D229" s="46">
        <v>0</v>
      </c>
      <c r="E229" s="28">
        <v>7638528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23182427</v>
      </c>
      <c r="C233" s="235">
        <v>1308636</v>
      </c>
      <c r="D233" s="28">
        <v>0</v>
      </c>
      <c r="E233" s="28">
        <v>24491063</v>
      </c>
    </row>
    <row r="234" spans="1:6" x14ac:dyDescent="0.35">
      <c r="A234" s="16"/>
      <c r="B234" s="16"/>
      <c r="C234" s="23"/>
      <c r="D234" s="16"/>
      <c r="E234" s="16"/>
      <c r="F234" s="11">
        <v>16487002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3" t="s">
        <v>405</v>
      </c>
      <c r="C236" s="343"/>
      <c r="D236" s="34"/>
      <c r="E236" s="34"/>
    </row>
    <row r="237" spans="1:6" x14ac:dyDescent="0.35">
      <c r="A237" s="52" t="s">
        <v>405</v>
      </c>
      <c r="B237" s="34"/>
      <c r="C237" s="43">
        <v>490237</v>
      </c>
      <c r="D237" s="36">
        <v>490237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43">
        <v>10957669</v>
      </c>
      <c r="D239" s="16"/>
      <c r="E239" s="16"/>
    </row>
    <row r="240" spans="1:6" x14ac:dyDescent="0.35">
      <c r="A240" s="16" t="s">
        <v>408</v>
      </c>
      <c r="B240" s="42" t="s">
        <v>299</v>
      </c>
      <c r="C240" s="43">
        <v>4207153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334494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151090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15650406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718583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718583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929634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929634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17788860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5055656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7508625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3362569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41002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180416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253658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324031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 t="s">
        <v>435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10000819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1711559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43" t="s">
        <v>435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1711559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998600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1426739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20755410</v>
      </c>
      <c r="D285" s="16"/>
      <c r="E285" s="16"/>
    </row>
    <row r="286" spans="1:5" x14ac:dyDescent="0.35">
      <c r="A286" s="16" t="s">
        <v>441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442</v>
      </c>
      <c r="B287" s="42" t="s">
        <v>299</v>
      </c>
      <c r="C287" s="43">
        <v>2716640</v>
      </c>
      <c r="D287" s="16"/>
      <c r="E287" s="16"/>
    </row>
    <row r="288" spans="1:5" x14ac:dyDescent="0.35">
      <c r="A288" s="16" t="s">
        <v>443</v>
      </c>
      <c r="B288" s="42" t="s">
        <v>299</v>
      </c>
      <c r="C288" s="43">
        <v>9066472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0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34963861</v>
      </c>
      <c r="E291" s="16"/>
    </row>
    <row r="292" spans="1:5" x14ac:dyDescent="0.35">
      <c r="A292" s="16" t="s">
        <v>445</v>
      </c>
      <c r="B292" s="42" t="s">
        <v>299</v>
      </c>
      <c r="C292" s="43">
        <v>24491062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10472799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43">
        <v>848578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848578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456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v>23033755</v>
      </c>
      <c r="E308" s="16"/>
    </row>
    <row r="309" spans="1:6" x14ac:dyDescent="0.35">
      <c r="A309" s="16"/>
      <c r="B309" s="16"/>
      <c r="C309" s="23"/>
      <c r="D309" s="16"/>
      <c r="E309" s="16"/>
      <c r="F309" s="11">
        <v>23033755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462</v>
      </c>
      <c r="B315" s="42" t="s">
        <v>299</v>
      </c>
      <c r="C315" s="43">
        <v>697151</v>
      </c>
      <c r="D315" s="16"/>
      <c r="E315" s="16"/>
    </row>
    <row r="316" spans="1:6" x14ac:dyDescent="0.35">
      <c r="A316" s="16" t="s">
        <v>463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464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465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466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467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43">
        <v>26555</v>
      </c>
      <c r="D322" s="16"/>
      <c r="E322" s="16"/>
    </row>
    <row r="323" spans="1:5" x14ac:dyDescent="0.35">
      <c r="A323" s="16" t="s">
        <v>470</v>
      </c>
      <c r="B323" s="42" t="s">
        <v>299</v>
      </c>
      <c r="C323" s="43">
        <v>865842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6939235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43">
        <v>1086048</v>
      </c>
      <c r="D333" s="16"/>
      <c r="E333" s="16"/>
    </row>
    <row r="334" spans="1:5" x14ac:dyDescent="0.35">
      <c r="A334" s="22" t="s">
        <v>481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482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483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8879106</v>
      </c>
      <c r="E339" s="16"/>
    </row>
    <row r="340" spans="1:5" x14ac:dyDescent="0.35">
      <c r="A340" s="16" t="s">
        <v>486</v>
      </c>
      <c r="B340" s="16"/>
      <c r="C340" s="23"/>
      <c r="D340" s="28">
        <v>865842</v>
      </c>
      <c r="E340" s="16"/>
    </row>
    <row r="341" spans="1:5" x14ac:dyDescent="0.35">
      <c r="A341" s="16" t="s">
        <v>487</v>
      </c>
      <c r="B341" s="16"/>
      <c r="C341" s="23"/>
      <c r="D341" s="28">
        <v>8013264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257">
        <v>13235289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28187788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23033755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213">
        <v>6859180</v>
      </c>
      <c r="D358" s="16"/>
      <c r="E358" s="16"/>
    </row>
    <row r="359" spans="1:5" x14ac:dyDescent="0.35">
      <c r="A359" s="16" t="s">
        <v>499</v>
      </c>
      <c r="B359" s="42" t="s">
        <v>299</v>
      </c>
      <c r="C359" s="213">
        <v>44295825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51155005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490237</v>
      </c>
      <c r="D362" s="16"/>
      <c r="E362" s="41"/>
    </row>
    <row r="363" spans="1:5" x14ac:dyDescent="0.35">
      <c r="A363" s="16" t="s">
        <v>502</v>
      </c>
      <c r="B363" s="42" t="s">
        <v>299</v>
      </c>
      <c r="C363" s="43">
        <v>15650406</v>
      </c>
      <c r="D363" s="16"/>
      <c r="E363" s="16"/>
    </row>
    <row r="364" spans="1:5" x14ac:dyDescent="0.35">
      <c r="A364" s="16" t="s">
        <v>503</v>
      </c>
      <c r="B364" s="42" t="s">
        <v>299</v>
      </c>
      <c r="C364" s="43">
        <v>718583</v>
      </c>
      <c r="D364" s="16"/>
      <c r="E364" s="16"/>
    </row>
    <row r="365" spans="1:5" x14ac:dyDescent="0.35">
      <c r="A365" s="16" t="s">
        <v>504</v>
      </c>
      <c r="B365" s="42" t="s">
        <v>299</v>
      </c>
      <c r="C365" s="43">
        <v>929634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17788860</v>
      </c>
      <c r="E366" s="16"/>
    </row>
    <row r="367" spans="1:5" x14ac:dyDescent="0.35">
      <c r="A367" s="16" t="s">
        <v>505</v>
      </c>
      <c r="B367" s="16"/>
      <c r="C367" s="23"/>
      <c r="D367" s="28">
        <v>33366145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238">
        <v>53879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238">
        <v>85345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214">
        <v>2418181</v>
      </c>
      <c r="D380" s="28">
        <v>0</v>
      </c>
      <c r="E380" s="215" t="s">
        <v>1047</v>
      </c>
      <c r="F380" s="56"/>
    </row>
    <row r="381" spans="1:6" x14ac:dyDescent="0.35">
      <c r="A381" s="57" t="s">
        <v>519</v>
      </c>
      <c r="B381" s="42"/>
      <c r="C381" s="42"/>
      <c r="D381" s="28">
        <v>2557405</v>
      </c>
      <c r="E381" s="28"/>
      <c r="F381" s="56"/>
    </row>
    <row r="382" spans="1:6" x14ac:dyDescent="0.35">
      <c r="A382" s="52" t="s">
        <v>520</v>
      </c>
      <c r="B382" s="42" t="s">
        <v>299</v>
      </c>
      <c r="C382" s="43">
        <v>1957693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4515098</v>
      </c>
      <c r="E383" s="16"/>
    </row>
    <row r="384" spans="1:6" x14ac:dyDescent="0.35">
      <c r="A384" s="16" t="s">
        <v>522</v>
      </c>
      <c r="B384" s="16"/>
      <c r="C384" s="23"/>
      <c r="D384" s="28">
        <v>37881243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43">
        <v>21427371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3914496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1648430</v>
      </c>
      <c r="D391" s="16"/>
      <c r="E391" s="16"/>
    </row>
    <row r="392" spans="1:5" x14ac:dyDescent="0.35">
      <c r="A392" s="16" t="s">
        <v>525</v>
      </c>
      <c r="B392" s="42" t="s">
        <v>299</v>
      </c>
      <c r="C392" s="43">
        <v>2771740</v>
      </c>
      <c r="D392" s="16"/>
      <c r="E392" s="16"/>
    </row>
    <row r="393" spans="1:5" x14ac:dyDescent="0.35">
      <c r="A393" s="16" t="s">
        <v>526</v>
      </c>
      <c r="B393" s="42" t="s">
        <v>299</v>
      </c>
      <c r="C393" s="43">
        <v>593257</v>
      </c>
      <c r="D393" s="16"/>
      <c r="E393" s="16"/>
    </row>
    <row r="394" spans="1:5" x14ac:dyDescent="0.35">
      <c r="A394" s="16" t="s">
        <v>527</v>
      </c>
      <c r="B394" s="42" t="s">
        <v>299</v>
      </c>
      <c r="C394" s="43">
        <v>4177454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1573152</v>
      </c>
      <c r="D395" s="16"/>
      <c r="E395" s="16"/>
    </row>
    <row r="396" spans="1:5" x14ac:dyDescent="0.35">
      <c r="A396" s="16" t="s">
        <v>528</v>
      </c>
      <c r="B396" s="42" t="s">
        <v>299</v>
      </c>
      <c r="C396" s="43">
        <v>0</v>
      </c>
      <c r="D396" s="16"/>
      <c r="E396" s="16"/>
    </row>
    <row r="397" spans="1:5" x14ac:dyDescent="0.35">
      <c r="A397" s="16" t="s">
        <v>529</v>
      </c>
      <c r="B397" s="42" t="s">
        <v>299</v>
      </c>
      <c r="C397" s="43">
        <v>308975</v>
      </c>
      <c r="D397" s="16"/>
      <c r="E397" s="16"/>
    </row>
    <row r="398" spans="1:5" x14ac:dyDescent="0.35">
      <c r="A398" s="16" t="s">
        <v>530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531</v>
      </c>
      <c r="B399" s="42" t="s">
        <v>299</v>
      </c>
      <c r="C399" s="43">
        <v>440937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246241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300737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88174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635152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37490964</v>
      </c>
      <c r="E416" s="28"/>
    </row>
    <row r="417" spans="1:13" x14ac:dyDescent="0.35">
      <c r="A417" s="28" t="s">
        <v>536</v>
      </c>
      <c r="B417" s="16"/>
      <c r="C417" s="23"/>
      <c r="D417" s="28">
        <v>390279</v>
      </c>
      <c r="E417" s="28"/>
    </row>
    <row r="418" spans="1:13" x14ac:dyDescent="0.35">
      <c r="A418" s="28" t="s">
        <v>537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0</v>
      </c>
      <c r="E420" s="28"/>
      <c r="F420" s="11">
        <v>-440937</v>
      </c>
    </row>
    <row r="421" spans="1:13" x14ac:dyDescent="0.35">
      <c r="A421" s="28" t="s">
        <v>540</v>
      </c>
      <c r="B421" s="16"/>
      <c r="C421" s="23"/>
      <c r="D421" s="28">
        <v>390279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390279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544</v>
      </c>
      <c r="D613" s="227">
        <f>CE91-(BE91+CD91)</f>
        <v>5590</v>
      </c>
      <c r="E613" s="229">
        <f>SUM(C625:D648)+SUM(C669:D714)</f>
        <v>-2958215.9999999995</v>
      </c>
      <c r="F613" s="229">
        <f>CE65-(AX65+BD65+BE65+BG65+BJ65+BN65+BP65+BQ65+CB65+CC65+CD65)</f>
        <v>289600</v>
      </c>
      <c r="G613" s="227">
        <f>CE92-(AX92+AY92+BD92+BE92+BG92+BJ92+BN92+BP92+BQ92+CB92+CC92+CD92)</f>
        <v>14600</v>
      </c>
      <c r="H613" s="232">
        <f>CE61-(AX61+AY61+AZ61+BD61+BE61+BG61+BJ61+BN61+BO61+BP61+BQ61+BR61+CB61+CC61+CD61)</f>
        <v>18757342</v>
      </c>
      <c r="I613" s="227">
        <f>CE93-(AX93+AY93+AZ93+BD93+BE93+BF93+BG93+BJ93+BN93+BO93+BP93+BQ93+BR93+CB93+CC93+CD93)</f>
        <v>90597</v>
      </c>
      <c r="J613" s="227">
        <f>CE94-(AX94+AY94+AZ94+BA94+BD94+BE94+BF94+BG94+BJ94+BN94+BO94+BP94+BQ94+BR94+CB94+CC94+CD94)</f>
        <v>35</v>
      </c>
      <c r="K613" s="227">
        <f>CE90-(AW90+AX90+AY90+AZ90+BA90+BB90+BC90+BD90+BE90+BF90+BG90+BH90+BI90+BJ90+BK90+BL90+BM90+BN90+BO90+BP90+BQ90+BR90+BS90+BT90+BU90+BV90+BW90+BX90+CB90+CC90+CD90)</f>
        <v>43081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545</v>
      </c>
      <c r="D614" s="228" t="s">
        <v>546</v>
      </c>
      <c r="E614" s="230" t="s">
        <v>547</v>
      </c>
      <c r="F614" s="231" t="s">
        <v>548</v>
      </c>
      <c r="G614" s="228" t="s">
        <v>549</v>
      </c>
      <c r="H614" s="231" t="s">
        <v>550</v>
      </c>
      <c r="I614" s="228" t="s">
        <v>551</v>
      </c>
      <c r="J614" s="228" t="s">
        <v>552</v>
      </c>
      <c r="K614" s="220" t="s">
        <v>553</v>
      </c>
      <c r="L614" s="221" t="s">
        <v>554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/>
      <c r="B616" s="221" t="s">
        <v>556</v>
      </c>
      <c r="C616" s="227">
        <f>CD70-CD85</f>
        <v>-2958216</v>
      </c>
      <c r="D616" s="227">
        <f>SUM(C615:C616)</f>
        <v>-2958216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8310</v>
      </c>
      <c r="B617" s="226" t="s">
        <v>558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8470</v>
      </c>
      <c r="B619" s="226" t="s">
        <v>561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8610</v>
      </c>
      <c r="B620" s="226" t="s">
        <v>563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8790</v>
      </c>
      <c r="B621" s="226" t="s">
        <v>565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8630</v>
      </c>
      <c r="B622" s="226" t="s">
        <v>567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8770</v>
      </c>
      <c r="B623" s="221" t="s">
        <v>569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8640</v>
      </c>
      <c r="B624" s="226" t="s">
        <v>571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>
        <f>(E624/E613)*SUM(C625:D625)</f>
        <v>0</v>
      </c>
      <c r="F625" s="229">
        <f>SUM(C625:E625)</f>
        <v>0</v>
      </c>
      <c r="G625" s="227"/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>
        <f>(E624/E613)*SUM(C626:D626)</f>
        <v>0</v>
      </c>
      <c r="F626" s="229">
        <f>(F625/F613)*AY65</f>
        <v>0</v>
      </c>
      <c r="G626" s="227">
        <f>SUM(C626:F626)</f>
        <v>0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>
        <f>(E624/E613)*SUM(C627:D627)</f>
        <v>0</v>
      </c>
      <c r="F627" s="229">
        <f>(F625/F613)*BR65</f>
        <v>0</v>
      </c>
      <c r="G627" s="227">
        <f>(G626/G613)*BR92</f>
        <v>0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8620</v>
      </c>
      <c r="B628" s="221" t="s">
        <v>576</v>
      </c>
      <c r="C628" s="227" t="str">
        <f>BO86</f>
        <v>x</v>
      </c>
      <c r="D628" s="227">
        <f>(D616/D613)*BO91</f>
        <v>0</v>
      </c>
      <c r="E628" s="229">
        <f>(E624/E613)*SUM(C628:D628)</f>
        <v>0</v>
      </c>
      <c r="F628" s="229">
        <f>(F625/F613)*BO65</f>
        <v>0</v>
      </c>
      <c r="G628" s="227">
        <f>(G626/G613)*BO92</f>
        <v>0</v>
      </c>
      <c r="H628" s="229"/>
      <c r="I628" s="227"/>
      <c r="J628" s="227"/>
      <c r="N628" s="223" t="s">
        <v>577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>
        <f>(E624/E613)*SUM(C629:D629)</f>
        <v>0</v>
      </c>
      <c r="F629" s="229">
        <f>(F625/F613)*AZ65</f>
        <v>0</v>
      </c>
      <c r="G629" s="227">
        <f>(G626/G613)*AZ92</f>
        <v>0</v>
      </c>
      <c r="H629" s="229">
        <f>SUM(C627:G629)</f>
        <v>0</v>
      </c>
      <c r="I629" s="227"/>
      <c r="J629" s="227"/>
      <c r="N629" s="223" t="s">
        <v>578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>
        <f>(E624/E613)*SUM(C630:D630)</f>
        <v>0</v>
      </c>
      <c r="F630" s="229">
        <f>(F625/F613)*BF65</f>
        <v>0</v>
      </c>
      <c r="G630" s="227">
        <f>(G626/G613)*BF92</f>
        <v>0</v>
      </c>
      <c r="H630" s="229">
        <f>(H629/H613)*BF61</f>
        <v>0</v>
      </c>
      <c r="I630" s="227">
        <f>SUM(C630:H630)</f>
        <v>0</v>
      </c>
      <c r="J630" s="227"/>
      <c r="N630" s="223" t="s">
        <v>579</v>
      </c>
    </row>
    <row r="631" spans="1:14" s="211" customFormat="1" ht="12.65" customHeight="1" x14ac:dyDescent="0.3">
      <c r="A631" s="222">
        <v>8350</v>
      </c>
      <c r="B631" s="226" t="s">
        <v>580</v>
      </c>
      <c r="C631" s="227" t="str">
        <f>BA86</f>
        <v>x</v>
      </c>
      <c r="D631" s="227">
        <f>(D616/D613)*BA91</f>
        <v>0</v>
      </c>
      <c r="E631" s="229">
        <f>(E624/E613)*SUM(C631:D631)</f>
        <v>0</v>
      </c>
      <c r="F631" s="229">
        <f>(F625/F613)*BA65</f>
        <v>0</v>
      </c>
      <c r="G631" s="227">
        <f>(G626/G613)*BA92</f>
        <v>0</v>
      </c>
      <c r="H631" s="229">
        <f>(H629/H613)*BA61</f>
        <v>0</v>
      </c>
      <c r="I631" s="227">
        <f>(I630/I613)*BA93</f>
        <v>0</v>
      </c>
      <c r="J631" s="227">
        <f>SUM(C631:I631)</f>
        <v>0</v>
      </c>
      <c r="N631" s="223" t="s">
        <v>581</v>
      </c>
    </row>
    <row r="632" spans="1:14" s="211" customFormat="1" ht="12.65" customHeight="1" x14ac:dyDescent="0.3">
      <c r="A632" s="222">
        <v>8200</v>
      </c>
      <c r="B632" s="226" t="s">
        <v>582</v>
      </c>
      <c r="C632" s="227" t="str">
        <f>AW86</f>
        <v>x</v>
      </c>
      <c r="D632" s="227">
        <f>(D616/D613)*AW91</f>
        <v>0</v>
      </c>
      <c r="E632" s="229">
        <f>(E624/E613)*SUM(C632:D632)</f>
        <v>0</v>
      </c>
      <c r="F632" s="229">
        <f>(F625/F613)*AW65</f>
        <v>0</v>
      </c>
      <c r="G632" s="227">
        <f>(G626/G613)*AW92</f>
        <v>0</v>
      </c>
      <c r="H632" s="229">
        <f>(H629/H613)*AW61</f>
        <v>0</v>
      </c>
      <c r="I632" s="227">
        <f>(I630/I613)*AW93</f>
        <v>0</v>
      </c>
      <c r="J632" s="227">
        <f>(J631/J613)*AW94</f>
        <v>0</v>
      </c>
      <c r="N632" s="223" t="s">
        <v>583</v>
      </c>
    </row>
    <row r="633" spans="1:14" s="211" customFormat="1" ht="12.65" customHeight="1" x14ac:dyDescent="0.3">
      <c r="A633" s="222">
        <v>8360</v>
      </c>
      <c r="B633" s="226" t="s">
        <v>584</v>
      </c>
      <c r="C633" s="227" t="str">
        <f>BB86</f>
        <v>x</v>
      </c>
      <c r="D633" s="227">
        <f>(D616/D613)*BB91</f>
        <v>0</v>
      </c>
      <c r="E633" s="229">
        <f>(E624/E613)*SUM(C633:D633)</f>
        <v>0</v>
      </c>
      <c r="F633" s="229">
        <f>(F625/F613)*BB65</f>
        <v>0</v>
      </c>
      <c r="G633" s="227">
        <f>(G626/G613)*BB92</f>
        <v>0</v>
      </c>
      <c r="H633" s="229">
        <f>(H629/H613)*BB61</f>
        <v>0</v>
      </c>
      <c r="I633" s="227">
        <f>(I630/I613)*BB93</f>
        <v>0</v>
      </c>
      <c r="J633" s="227">
        <f>(J631/J613)*BB94</f>
        <v>0</v>
      </c>
      <c r="N633" s="223" t="s">
        <v>585</v>
      </c>
    </row>
    <row r="634" spans="1:14" s="211" customFormat="1" ht="12.65" customHeight="1" x14ac:dyDescent="0.3">
      <c r="A634" s="222">
        <v>8370</v>
      </c>
      <c r="B634" s="226" t="s">
        <v>586</v>
      </c>
      <c r="C634" s="227" t="str">
        <f>BC86</f>
        <v>x</v>
      </c>
      <c r="D634" s="227">
        <f>(D616/D613)*BC91</f>
        <v>0</v>
      </c>
      <c r="E634" s="229">
        <f>(E624/E613)*SUM(C634:D634)</f>
        <v>0</v>
      </c>
      <c r="F634" s="229">
        <f>(F625/F613)*BC65</f>
        <v>0</v>
      </c>
      <c r="G634" s="227">
        <f>(G626/G613)*BC92</f>
        <v>0</v>
      </c>
      <c r="H634" s="229">
        <f>(H629/H613)*BC61</f>
        <v>0</v>
      </c>
      <c r="I634" s="227">
        <f>(I630/I613)*BC93</f>
        <v>0</v>
      </c>
      <c r="J634" s="227">
        <f>(J631/J613)*BC94</f>
        <v>0</v>
      </c>
      <c r="N634" s="223" t="s">
        <v>587</v>
      </c>
    </row>
    <row r="635" spans="1:14" s="211" customFormat="1" ht="12.65" customHeight="1" x14ac:dyDescent="0.3">
      <c r="A635" s="222">
        <v>8490</v>
      </c>
      <c r="B635" s="226" t="s">
        <v>588</v>
      </c>
      <c r="C635" s="227" t="str">
        <f>BI86</f>
        <v>x</v>
      </c>
      <c r="D635" s="227">
        <f>(D616/D613)*BI91</f>
        <v>0</v>
      </c>
      <c r="E635" s="229">
        <f>(E624/E613)*SUM(C635:D635)</f>
        <v>0</v>
      </c>
      <c r="F635" s="229">
        <f>(F625/F613)*BI65</f>
        <v>0</v>
      </c>
      <c r="G635" s="227">
        <f>(G626/G613)*BI92</f>
        <v>0</v>
      </c>
      <c r="H635" s="229">
        <f>(H629/H613)*BI61</f>
        <v>0</v>
      </c>
      <c r="I635" s="227">
        <f>(I630/I613)*BI93</f>
        <v>0</v>
      </c>
      <c r="J635" s="227">
        <f>(J631/J613)*BI94</f>
        <v>0</v>
      </c>
      <c r="N635" s="223" t="s">
        <v>589</v>
      </c>
    </row>
    <row r="636" spans="1:14" s="211" customFormat="1" ht="12.65" customHeight="1" x14ac:dyDescent="0.3">
      <c r="A636" s="222">
        <v>8530</v>
      </c>
      <c r="B636" s="226" t="s">
        <v>590</v>
      </c>
      <c r="C636" s="227" t="str">
        <f>BK86</f>
        <v>x</v>
      </c>
      <c r="D636" s="227">
        <f>(D616/D613)*BK91</f>
        <v>0</v>
      </c>
      <c r="E636" s="229">
        <f>(E624/E613)*SUM(C636:D636)</f>
        <v>0</v>
      </c>
      <c r="F636" s="229">
        <f>(F625/F613)*BK65</f>
        <v>0</v>
      </c>
      <c r="G636" s="227">
        <f>(G626/G613)*BK92</f>
        <v>0</v>
      </c>
      <c r="H636" s="229">
        <f>(H629/H613)*BK61</f>
        <v>0</v>
      </c>
      <c r="I636" s="227">
        <f>(I630/I613)*BK93</f>
        <v>0</v>
      </c>
      <c r="J636" s="227">
        <f>(J631/J613)*BK94</f>
        <v>0</v>
      </c>
      <c r="N636" s="223" t="s">
        <v>591</v>
      </c>
    </row>
    <row r="637" spans="1:14" s="211" customFormat="1" ht="12.65" customHeight="1" x14ac:dyDescent="0.3">
      <c r="A637" s="222">
        <v>8480</v>
      </c>
      <c r="B637" s="226" t="s">
        <v>592</v>
      </c>
      <c r="C637" s="227" t="str">
        <f>BH86</f>
        <v>x</v>
      </c>
      <c r="D637" s="227">
        <f>(D616/D613)*BH91</f>
        <v>0</v>
      </c>
      <c r="E637" s="229">
        <f>(E624/E613)*SUM(C637:D637)</f>
        <v>0</v>
      </c>
      <c r="F637" s="229">
        <f>(F625/F613)*BH65</f>
        <v>0</v>
      </c>
      <c r="G637" s="227">
        <f>(G626/G613)*BH92</f>
        <v>0</v>
      </c>
      <c r="H637" s="229">
        <f>(H629/H613)*BH61</f>
        <v>0</v>
      </c>
      <c r="I637" s="227">
        <f>(I630/I613)*BH93</f>
        <v>0</v>
      </c>
      <c r="J637" s="227">
        <f>(J631/J613)*BH94</f>
        <v>0</v>
      </c>
      <c r="N637" s="223" t="s">
        <v>593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>
        <f>(E624/E613)*SUM(C638:D638)</f>
        <v>0</v>
      </c>
      <c r="F638" s="229">
        <f>(F625/F613)*BL65</f>
        <v>0</v>
      </c>
      <c r="G638" s="227">
        <f>(G626/G613)*BL92</f>
        <v>0</v>
      </c>
      <c r="H638" s="229">
        <f>(H629/H613)*BL61</f>
        <v>0</v>
      </c>
      <c r="I638" s="227">
        <f>(I630/I613)*BL93</f>
        <v>0</v>
      </c>
      <c r="J638" s="227">
        <f>(J631/J613)*BL94</f>
        <v>0</v>
      </c>
      <c r="N638" s="223" t="s">
        <v>594</v>
      </c>
    </row>
    <row r="639" spans="1:14" s="211" customFormat="1" ht="12.65" customHeight="1" x14ac:dyDescent="0.3">
      <c r="A639" s="222">
        <v>8590</v>
      </c>
      <c r="B639" s="226" t="s">
        <v>595</v>
      </c>
      <c r="C639" s="227" t="str">
        <f>BM86</f>
        <v>x</v>
      </c>
      <c r="D639" s="227">
        <f>(D616/D613)*BM91</f>
        <v>0</v>
      </c>
      <c r="E639" s="229">
        <f>(E624/E613)*SUM(C639:D639)</f>
        <v>0</v>
      </c>
      <c r="F639" s="229">
        <f>(F625/F613)*BM65</f>
        <v>0</v>
      </c>
      <c r="G639" s="227">
        <f>(G626/G613)*BM92</f>
        <v>0</v>
      </c>
      <c r="H639" s="229">
        <f>(H629/H613)*BM61</f>
        <v>0</v>
      </c>
      <c r="I639" s="227">
        <f>(I630/I613)*BM93</f>
        <v>0</v>
      </c>
      <c r="J639" s="227">
        <f>(J631/J613)*BM94</f>
        <v>0</v>
      </c>
      <c r="N639" s="223" t="s">
        <v>596</v>
      </c>
    </row>
    <row r="640" spans="1:14" s="211" customFormat="1" ht="12.65" customHeight="1" x14ac:dyDescent="0.3">
      <c r="A640" s="222">
        <v>8660</v>
      </c>
      <c r="B640" s="226" t="s">
        <v>597</v>
      </c>
      <c r="C640" s="227" t="str">
        <f>BS86</f>
        <v>x</v>
      </c>
      <c r="D640" s="227">
        <f>(D616/D613)*BS91</f>
        <v>0</v>
      </c>
      <c r="E640" s="229">
        <f>(E624/E613)*SUM(C640:D640)</f>
        <v>0</v>
      </c>
      <c r="F640" s="229">
        <f>(F625/F613)*BS65</f>
        <v>0</v>
      </c>
      <c r="G640" s="227">
        <f>(G626/G613)*BS92</f>
        <v>0</v>
      </c>
      <c r="H640" s="229">
        <f>(H629/H613)*BS61</f>
        <v>0</v>
      </c>
      <c r="I640" s="227">
        <f>(I630/I613)*BS93</f>
        <v>0</v>
      </c>
      <c r="J640" s="227">
        <f>(J631/J613)*BS94</f>
        <v>0</v>
      </c>
      <c r="N640" s="223" t="s">
        <v>598</v>
      </c>
    </row>
    <row r="641" spans="1:14" s="211" customFormat="1" ht="12.65" customHeight="1" x14ac:dyDescent="0.3">
      <c r="A641" s="222">
        <v>8670</v>
      </c>
      <c r="B641" s="226" t="s">
        <v>599</v>
      </c>
      <c r="C641" s="227" t="str">
        <f>BT86</f>
        <v>x</v>
      </c>
      <c r="D641" s="227">
        <f>(D616/D613)*BT91</f>
        <v>0</v>
      </c>
      <c r="E641" s="229">
        <f>(E624/E613)*SUM(C641:D641)</f>
        <v>0</v>
      </c>
      <c r="F641" s="229">
        <f>(F625/F613)*BT65</f>
        <v>0</v>
      </c>
      <c r="G641" s="227">
        <f>(G626/G613)*BT92</f>
        <v>0</v>
      </c>
      <c r="H641" s="229">
        <f>(H629/H613)*BT61</f>
        <v>0</v>
      </c>
      <c r="I641" s="227">
        <f>(I630/I613)*BT93</f>
        <v>0</v>
      </c>
      <c r="J641" s="227">
        <f>(J631/J613)*BT94</f>
        <v>0</v>
      </c>
      <c r="N641" s="223" t="s">
        <v>600</v>
      </c>
    </row>
    <row r="642" spans="1:14" s="211" customFormat="1" ht="12.65" customHeight="1" x14ac:dyDescent="0.3">
      <c r="A642" s="222">
        <v>8680</v>
      </c>
      <c r="B642" s="226" t="s">
        <v>601</v>
      </c>
      <c r="C642" s="227" t="str">
        <f>BU86</f>
        <v>x</v>
      </c>
      <c r="D642" s="227">
        <f>(D616/D613)*BU91</f>
        <v>0</v>
      </c>
      <c r="E642" s="229">
        <f>(E624/E613)*SUM(C642:D642)</f>
        <v>0</v>
      </c>
      <c r="F642" s="229">
        <f>(F625/F613)*BU65</f>
        <v>0</v>
      </c>
      <c r="G642" s="227">
        <f>(G626/G613)*BU92</f>
        <v>0</v>
      </c>
      <c r="H642" s="229">
        <f>(H629/H613)*BU61</f>
        <v>0</v>
      </c>
      <c r="I642" s="227">
        <f>(I630/I613)*BU93</f>
        <v>0</v>
      </c>
      <c r="J642" s="227">
        <f>(J631/J613)*BU94</f>
        <v>0</v>
      </c>
      <c r="N642" s="223" t="s">
        <v>602</v>
      </c>
    </row>
    <row r="643" spans="1:14" s="211" customFormat="1" ht="12.65" customHeight="1" x14ac:dyDescent="0.3">
      <c r="A643" s="222">
        <v>8690</v>
      </c>
      <c r="B643" s="226" t="s">
        <v>603</v>
      </c>
      <c r="C643" s="227" t="str">
        <f>BV86</f>
        <v>x</v>
      </c>
      <c r="D643" s="227">
        <f>(D616/D613)*BV91</f>
        <v>0</v>
      </c>
      <c r="E643" s="229">
        <f>(E624/E613)*SUM(C643:D643)</f>
        <v>0</v>
      </c>
      <c r="F643" s="229">
        <f>(F625/F613)*BV65</f>
        <v>0</v>
      </c>
      <c r="G643" s="227">
        <f>(G626/G613)*BV92</f>
        <v>0</v>
      </c>
      <c r="H643" s="229">
        <f>(H629/H613)*BV61</f>
        <v>0</v>
      </c>
      <c r="I643" s="227">
        <f>(I630/I613)*BV93</f>
        <v>0</v>
      </c>
      <c r="J643" s="227">
        <f>(J631/J613)*BV94</f>
        <v>0</v>
      </c>
      <c r="N643" s="223" t="s">
        <v>604</v>
      </c>
    </row>
    <row r="644" spans="1:14" s="211" customFormat="1" ht="12.65" customHeight="1" x14ac:dyDescent="0.3">
      <c r="A644" s="222">
        <v>8700</v>
      </c>
      <c r="B644" s="226" t="s">
        <v>605</v>
      </c>
      <c r="C644" s="227" t="str">
        <f>BW86</f>
        <v>x</v>
      </c>
      <c r="D644" s="227">
        <f>(D616/D613)*BW91</f>
        <v>0</v>
      </c>
      <c r="E644" s="229">
        <f>(E624/E613)*SUM(C644:D644)</f>
        <v>0</v>
      </c>
      <c r="F644" s="229">
        <f>(F625/F613)*BW65</f>
        <v>0</v>
      </c>
      <c r="G644" s="227">
        <f>(G626/G613)*BW92</f>
        <v>0</v>
      </c>
      <c r="H644" s="229">
        <f>(H629/H613)*BW61</f>
        <v>0</v>
      </c>
      <c r="I644" s="227">
        <f>(I630/I613)*BW93</f>
        <v>0</v>
      </c>
      <c r="J644" s="227">
        <f>(J631/J613)*BW94</f>
        <v>0</v>
      </c>
      <c r="N644" s="223" t="s">
        <v>606</v>
      </c>
    </row>
    <row r="645" spans="1:14" s="211" customFormat="1" ht="12.65" customHeight="1" x14ac:dyDescent="0.3">
      <c r="A645" s="222">
        <v>8710</v>
      </c>
      <c r="B645" s="226" t="s">
        <v>607</v>
      </c>
      <c r="C645" s="227" t="str">
        <f>BX86</f>
        <v>x</v>
      </c>
      <c r="D645" s="227">
        <f>(D616/D613)*BX91</f>
        <v>0</v>
      </c>
      <c r="E645" s="229">
        <f>(E624/E613)*SUM(C645:D645)</f>
        <v>0</v>
      </c>
      <c r="F645" s="229">
        <f>(F625/F613)*BX65</f>
        <v>0</v>
      </c>
      <c r="G645" s="227">
        <f>(G626/G613)*BX92</f>
        <v>0</v>
      </c>
      <c r="H645" s="229">
        <f>(H629/H613)*BX61</f>
        <v>0</v>
      </c>
      <c r="I645" s="227">
        <f>(I630/I613)*BX93</f>
        <v>0</v>
      </c>
      <c r="J645" s="227">
        <f>(J631/J613)*BX94</f>
        <v>0</v>
      </c>
      <c r="K645" s="229">
        <f>SUM(C632:J645)</f>
        <v>0</v>
      </c>
      <c r="L645" s="229"/>
      <c r="N645" s="223" t="s">
        <v>608</v>
      </c>
    </row>
    <row r="646" spans="1:14" s="211" customFormat="1" ht="12.65" customHeight="1" x14ac:dyDescent="0.3">
      <c r="A646" s="222">
        <v>8720</v>
      </c>
      <c r="B646" s="226" t="s">
        <v>609</v>
      </c>
      <c r="C646" s="227" t="str">
        <f>BY86</f>
        <v>x</v>
      </c>
      <c r="D646" s="227">
        <f>(D616/D613)*BY91</f>
        <v>0</v>
      </c>
      <c r="E646" s="229">
        <f>(E624/E613)*SUM(C646:D646)</f>
        <v>0</v>
      </c>
      <c r="F646" s="229">
        <f>(F625/F613)*BY65</f>
        <v>0</v>
      </c>
      <c r="G646" s="227">
        <f>(G626/G613)*BY92</f>
        <v>0</v>
      </c>
      <c r="H646" s="229">
        <f>(H629/H613)*BY61</f>
        <v>0</v>
      </c>
      <c r="I646" s="227">
        <f>(I630/I613)*BY93</f>
        <v>0</v>
      </c>
      <c r="J646" s="227">
        <f>(J631/J613)*BY94</f>
        <v>0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8730</v>
      </c>
      <c r="B647" s="226" t="s">
        <v>611</v>
      </c>
      <c r="C647" s="227" t="str">
        <f>BZ86</f>
        <v>x</v>
      </c>
      <c r="D647" s="227">
        <f>(D616/D613)*BZ91</f>
        <v>0</v>
      </c>
      <c r="E647" s="229">
        <f>(E624/E613)*SUM(C647:D647)</f>
        <v>0</v>
      </c>
      <c r="F647" s="229">
        <f>(F625/F613)*BZ65</f>
        <v>0</v>
      </c>
      <c r="G647" s="227">
        <f>(G626/G613)*BZ92</f>
        <v>0</v>
      </c>
      <c r="H647" s="229">
        <f>(H629/H613)*BZ61</f>
        <v>0</v>
      </c>
      <c r="I647" s="227">
        <f>(I630/I613)*BZ93</f>
        <v>0</v>
      </c>
      <c r="J647" s="227">
        <f>(J631/J613)*BZ94</f>
        <v>0</v>
      </c>
      <c r="K647" s="229">
        <v>0</v>
      </c>
      <c r="L647" s="229"/>
      <c r="N647" s="223" t="s">
        <v>612</v>
      </c>
    </row>
    <row r="648" spans="1:14" s="211" customFormat="1" ht="12.65" customHeight="1" x14ac:dyDescent="0.3">
      <c r="A648" s="222">
        <v>8740</v>
      </c>
      <c r="B648" s="226" t="s">
        <v>613</v>
      </c>
      <c r="C648" s="227" t="str">
        <f>CA86</f>
        <v>x</v>
      </c>
      <c r="D648" s="227">
        <f>(D616/D613)*CA91</f>
        <v>0</v>
      </c>
      <c r="E648" s="229">
        <f>(E624/E613)*SUM(C648:D648)</f>
        <v>0</v>
      </c>
      <c r="F648" s="229">
        <f>(F625/F613)*CA65</f>
        <v>0</v>
      </c>
      <c r="G648" s="227">
        <f>(G626/G613)*CA92</f>
        <v>0</v>
      </c>
      <c r="H648" s="229">
        <f>(H629/H613)*CA61</f>
        <v>0</v>
      </c>
      <c r="I648" s="227">
        <f>(I630/I613)*CA93</f>
        <v>0</v>
      </c>
      <c r="J648" s="227">
        <f>(J631/J613)*CA94</f>
        <v>0</v>
      </c>
      <c r="K648" s="229">
        <v>0</v>
      </c>
      <c r="L648" s="229">
        <f>SUM(C646:K648)</f>
        <v>0</v>
      </c>
      <c r="N648" s="223" t="s">
        <v>614</v>
      </c>
    </row>
    <row r="649" spans="1:14" s="211" customFormat="1" ht="12.65" customHeight="1" x14ac:dyDescent="0.3">
      <c r="A649" s="222"/>
      <c r="B649" s="222"/>
      <c r="C649" s="211">
        <f>SUM(C615:C648)</f>
        <v>-2958216</v>
      </c>
      <c r="L649" s="225"/>
    </row>
    <row r="667" spans="1:14" s="211" customFormat="1" ht="12.65" customHeight="1" x14ac:dyDescent="0.3">
      <c r="C667" s="220" t="s">
        <v>615</v>
      </c>
      <c r="M667" s="220" t="s">
        <v>616</v>
      </c>
    </row>
    <row r="668" spans="1:14" s="211" customFormat="1" ht="12.65" customHeight="1" x14ac:dyDescent="0.3">
      <c r="C668" s="220" t="s">
        <v>545</v>
      </c>
      <c r="D668" s="220" t="s">
        <v>546</v>
      </c>
      <c r="E668" s="221" t="s">
        <v>547</v>
      </c>
      <c r="F668" s="220" t="s">
        <v>548</v>
      </c>
      <c r="G668" s="220" t="s">
        <v>549</v>
      </c>
      <c r="H668" s="220" t="s">
        <v>550</v>
      </c>
      <c r="I668" s="220" t="s">
        <v>551</v>
      </c>
      <c r="J668" s="220" t="s">
        <v>552</v>
      </c>
      <c r="K668" s="220" t="s">
        <v>553</v>
      </c>
      <c r="L668" s="221" t="s">
        <v>554</v>
      </c>
      <c r="M668" s="220" t="s">
        <v>617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>
        <f>(D616/D613)*C91</f>
        <v>0</v>
      </c>
      <c r="E669" s="229">
        <f>(E624/E613)*SUM(C669:D669)</f>
        <v>0</v>
      </c>
      <c r="F669" s="229">
        <f>(F625/F613)*C65</f>
        <v>0</v>
      </c>
      <c r="G669" s="227">
        <f>(G626/G613)*C92</f>
        <v>0</v>
      </c>
      <c r="H669" s="229">
        <f>(H629/H613)*C61</f>
        <v>0</v>
      </c>
      <c r="I669" s="227">
        <f>(I630/I613)*C93</f>
        <v>0</v>
      </c>
      <c r="J669" s="227">
        <f>(J631/J613)*C94</f>
        <v>0</v>
      </c>
      <c r="K669" s="227">
        <f>(K645/K613)*C90</f>
        <v>0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618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>
        <f>(D616/D613)*D91</f>
        <v>0</v>
      </c>
      <c r="E670" s="229">
        <f>(E624/E613)*SUM(C670:D670)</f>
        <v>0</v>
      </c>
      <c r="F670" s="229">
        <f>(F625/F613)*D65</f>
        <v>0</v>
      </c>
      <c r="G670" s="227">
        <f>(G626/G613)*D92</f>
        <v>0</v>
      </c>
      <c r="H670" s="229">
        <f>(H629/H613)*D61</f>
        <v>0</v>
      </c>
      <c r="I670" s="227">
        <f>(I630/I613)*D93</f>
        <v>0</v>
      </c>
      <c r="J670" s="227">
        <f>(J631/J613)*D94</f>
        <v>0</v>
      </c>
      <c r="K670" s="227">
        <f>(K645/K613)*D90</f>
        <v>0</v>
      </c>
      <c r="L670" s="227" t="e">
        <f>(L648/L613)*D95</f>
        <v>#DIV/0!</v>
      </c>
      <c r="M670" s="211" t="e">
        <f t="shared" si="0"/>
        <v>#DIV/0!</v>
      </c>
      <c r="N670" s="221" t="s">
        <v>619</v>
      </c>
    </row>
    <row r="671" spans="1:14" s="211" customFormat="1" ht="12.65" customHeight="1" x14ac:dyDescent="0.3">
      <c r="A671" s="222">
        <v>6070</v>
      </c>
      <c r="B671" s="221" t="s">
        <v>620</v>
      </c>
      <c r="C671" s="227" t="str">
        <f>E86</f>
        <v>x</v>
      </c>
      <c r="D671" s="227">
        <f>(D616/D613)*E91</f>
        <v>-2958215.9999999995</v>
      </c>
      <c r="E671" s="229">
        <f>(E624/E613)*SUM(C671:D671)</f>
        <v>0</v>
      </c>
      <c r="F671" s="229">
        <f>(F625/F613)*E65</f>
        <v>0</v>
      </c>
      <c r="G671" s="227">
        <f>(G626/G613)*E92</f>
        <v>0</v>
      </c>
      <c r="H671" s="229">
        <f>(H629/H613)*E61</f>
        <v>0</v>
      </c>
      <c r="I671" s="227">
        <f>(I630/I613)*E93</f>
        <v>0</v>
      </c>
      <c r="J671" s="227">
        <f>(J631/J613)*E94</f>
        <v>0</v>
      </c>
      <c r="K671" s="227">
        <f>(K645/K613)*E90</f>
        <v>0</v>
      </c>
      <c r="L671" s="227" t="e">
        <f>(L648/L613)*E95</f>
        <v>#DIV/0!</v>
      </c>
      <c r="M671" s="211" t="e">
        <f t="shared" si="0"/>
        <v>#DIV/0!</v>
      </c>
      <c r="N671" s="221" t="s">
        <v>621</v>
      </c>
    </row>
    <row r="672" spans="1:14" s="211" customFormat="1" ht="12.65" customHeight="1" x14ac:dyDescent="0.3">
      <c r="A672" s="222">
        <v>6100</v>
      </c>
      <c r="B672" s="221" t="s">
        <v>622</v>
      </c>
      <c r="C672" s="227" t="str">
        <f>F86</f>
        <v>x</v>
      </c>
      <c r="D672" s="227">
        <f>(D616/D613)*F91</f>
        <v>0</v>
      </c>
      <c r="E672" s="229">
        <f>(E624/E613)*SUM(C672:D672)</f>
        <v>0</v>
      </c>
      <c r="F672" s="229">
        <f>(F625/F613)*F65</f>
        <v>0</v>
      </c>
      <c r="G672" s="227">
        <f>(G626/G613)*F92</f>
        <v>0</v>
      </c>
      <c r="H672" s="229">
        <f>(H629/H613)*F61</f>
        <v>0</v>
      </c>
      <c r="I672" s="227">
        <f>(I630/I613)*F93</f>
        <v>0</v>
      </c>
      <c r="J672" s="227">
        <f>(J631/J613)*F94</f>
        <v>0</v>
      </c>
      <c r="K672" s="227">
        <f>(K645/K613)*F90</f>
        <v>0</v>
      </c>
      <c r="L672" s="227" t="e">
        <f>(L648/L613)*F95</f>
        <v>#DIV/0!</v>
      </c>
      <c r="M672" s="211" t="e">
        <f t="shared" si="0"/>
        <v>#DIV/0!</v>
      </c>
      <c r="N672" s="221" t="s">
        <v>623</v>
      </c>
    </row>
    <row r="673" spans="1:14" s="211" customFormat="1" ht="12.65" customHeight="1" x14ac:dyDescent="0.3">
      <c r="A673" s="222">
        <v>6120</v>
      </c>
      <c r="B673" s="221" t="s">
        <v>624</v>
      </c>
      <c r="C673" s="227" t="str">
        <f>G86</f>
        <v>x</v>
      </c>
      <c r="D673" s="227">
        <f>(D616/D613)*G91</f>
        <v>0</v>
      </c>
      <c r="E673" s="229">
        <f>(E624/E613)*SUM(C673:D673)</f>
        <v>0</v>
      </c>
      <c r="F673" s="229">
        <f>(F625/F613)*G65</f>
        <v>0</v>
      </c>
      <c r="G673" s="227">
        <f>(G626/G613)*G92</f>
        <v>0</v>
      </c>
      <c r="H673" s="229">
        <f>(H629/H613)*G61</f>
        <v>0</v>
      </c>
      <c r="I673" s="227">
        <f>(I630/I613)*G93</f>
        <v>0</v>
      </c>
      <c r="J673" s="227">
        <f>(J631/J613)*G94</f>
        <v>0</v>
      </c>
      <c r="K673" s="227">
        <f>(K645/K613)*G90</f>
        <v>0</v>
      </c>
      <c r="L673" s="227" t="e">
        <f>(L648/L613)*G95</f>
        <v>#DIV/0!</v>
      </c>
      <c r="M673" s="211" t="e">
        <f t="shared" si="0"/>
        <v>#DIV/0!</v>
      </c>
      <c r="N673" s="221" t="s">
        <v>625</v>
      </c>
    </row>
    <row r="674" spans="1:14" s="211" customFormat="1" ht="12.65" customHeight="1" x14ac:dyDescent="0.3">
      <c r="A674" s="222">
        <v>6140</v>
      </c>
      <c r="B674" s="221" t="s">
        <v>626</v>
      </c>
      <c r="C674" s="227" t="str">
        <f>H86</f>
        <v>x</v>
      </c>
      <c r="D674" s="227">
        <f>(D616/D613)*H91</f>
        <v>0</v>
      </c>
      <c r="E674" s="229">
        <f>(E624/E613)*SUM(C674:D674)</f>
        <v>0</v>
      </c>
      <c r="F674" s="229">
        <f>(F625/F613)*H65</f>
        <v>0</v>
      </c>
      <c r="G674" s="227">
        <f>(G626/G613)*H92</f>
        <v>0</v>
      </c>
      <c r="H674" s="229">
        <f>(H629/H613)*H61</f>
        <v>0</v>
      </c>
      <c r="I674" s="227">
        <f>(I630/I613)*H93</f>
        <v>0</v>
      </c>
      <c r="J674" s="227">
        <f>(J631/J613)*H94</f>
        <v>0</v>
      </c>
      <c r="K674" s="227">
        <f>(K645/K613)*H90</f>
        <v>0</v>
      </c>
      <c r="L674" s="227" t="e">
        <f>(L648/L613)*H95</f>
        <v>#DIV/0!</v>
      </c>
      <c r="M674" s="211" t="e">
        <f t="shared" si="0"/>
        <v>#DIV/0!</v>
      </c>
      <c r="N674" s="221" t="s">
        <v>627</v>
      </c>
    </row>
    <row r="675" spans="1:14" s="211" customFormat="1" ht="12.65" customHeight="1" x14ac:dyDescent="0.3">
      <c r="A675" s="222">
        <v>6150</v>
      </c>
      <c r="B675" s="221" t="s">
        <v>628</v>
      </c>
      <c r="C675" s="227" t="str">
        <f>I86</f>
        <v>x</v>
      </c>
      <c r="D675" s="227">
        <f>(D616/D613)*I91</f>
        <v>0</v>
      </c>
      <c r="E675" s="229">
        <f>(E624/E613)*SUM(C675:D675)</f>
        <v>0</v>
      </c>
      <c r="F675" s="229">
        <f>(F625/F613)*I65</f>
        <v>0</v>
      </c>
      <c r="G675" s="227">
        <f>(G626/G613)*I92</f>
        <v>0</v>
      </c>
      <c r="H675" s="229">
        <f>(H629/H613)*I61</f>
        <v>0</v>
      </c>
      <c r="I675" s="227">
        <f>(I630/I613)*I93</f>
        <v>0</v>
      </c>
      <c r="J675" s="227">
        <f>(J631/J613)*I94</f>
        <v>0</v>
      </c>
      <c r="K675" s="227">
        <f>(K645/K613)*I90</f>
        <v>0</v>
      </c>
      <c r="L675" s="227" t="e">
        <f>(L648/L613)*I95</f>
        <v>#DIV/0!</v>
      </c>
      <c r="M675" s="211" t="e">
        <f t="shared" si="0"/>
        <v>#DIV/0!</v>
      </c>
      <c r="N675" s="221" t="s">
        <v>629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>
        <f>(E624/E613)*SUM(C676:D676)</f>
        <v>0</v>
      </c>
      <c r="F676" s="229">
        <f>(F625/F613)*J65</f>
        <v>0</v>
      </c>
      <c r="G676" s="227">
        <f>(G626/G613)*J92</f>
        <v>0</v>
      </c>
      <c r="H676" s="229">
        <f>(H629/H613)*J61</f>
        <v>0</v>
      </c>
      <c r="I676" s="227">
        <f>(I630/I613)*J93</f>
        <v>0</v>
      </c>
      <c r="J676" s="227">
        <f>(J631/J613)*J94</f>
        <v>0</v>
      </c>
      <c r="K676" s="227">
        <f>(K645/K613)*J90</f>
        <v>0</v>
      </c>
      <c r="L676" s="227" t="e">
        <f>(L648/L613)*J95</f>
        <v>#DIV/0!</v>
      </c>
      <c r="M676" s="211" t="e">
        <f t="shared" si="0"/>
        <v>#DIV/0!</v>
      </c>
      <c r="N676" s="221" t="s">
        <v>630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>
        <f>(D616/D613)*K91</f>
        <v>0</v>
      </c>
      <c r="E677" s="229">
        <f>(E624/E613)*SUM(C677:D677)</f>
        <v>0</v>
      </c>
      <c r="F677" s="229">
        <f>(F625/F613)*K65</f>
        <v>0</v>
      </c>
      <c r="G677" s="227">
        <f>(G626/G613)*K92</f>
        <v>0</v>
      </c>
      <c r="H677" s="229">
        <f>(H629/H613)*K61</f>
        <v>0</v>
      </c>
      <c r="I677" s="227">
        <f>(I630/I613)*K93</f>
        <v>0</v>
      </c>
      <c r="J677" s="227">
        <f>(J631/J613)*K94</f>
        <v>0</v>
      </c>
      <c r="K677" s="227">
        <f>(K645/K613)*K90</f>
        <v>0</v>
      </c>
      <c r="L677" s="227" t="e">
        <f>(L648/L613)*K95</f>
        <v>#DIV/0!</v>
      </c>
      <c r="M677" s="211" t="e">
        <f t="shared" si="0"/>
        <v>#DIV/0!</v>
      </c>
      <c r="N677" s="221" t="s">
        <v>631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>
        <f>(D616/D613)*L91</f>
        <v>0</v>
      </c>
      <c r="E678" s="229">
        <f>(E624/E613)*SUM(C678:D678)</f>
        <v>0</v>
      </c>
      <c r="F678" s="229">
        <f>(F625/F613)*L65</f>
        <v>0</v>
      </c>
      <c r="G678" s="227">
        <f>(G626/G613)*L92</f>
        <v>0</v>
      </c>
      <c r="H678" s="229">
        <f>(H629/H613)*L61</f>
        <v>0</v>
      </c>
      <c r="I678" s="227">
        <f>(I630/I613)*L93</f>
        <v>0</v>
      </c>
      <c r="J678" s="227">
        <f>(J631/J613)*L94</f>
        <v>0</v>
      </c>
      <c r="K678" s="227">
        <f>(K645/K613)*L90</f>
        <v>0</v>
      </c>
      <c r="L678" s="227" t="e">
        <f>(L648/L613)*L95</f>
        <v>#DIV/0!</v>
      </c>
      <c r="M678" s="211" t="e">
        <f t="shared" si="0"/>
        <v>#DIV/0!</v>
      </c>
      <c r="N678" s="221" t="s">
        <v>632</v>
      </c>
    </row>
    <row r="679" spans="1:14" s="211" customFormat="1" ht="12.65" customHeight="1" x14ac:dyDescent="0.3">
      <c r="A679" s="222">
        <v>6330</v>
      </c>
      <c r="B679" s="221" t="s">
        <v>633</v>
      </c>
      <c r="C679" s="227" t="str">
        <f>M86</f>
        <v>x</v>
      </c>
      <c r="D679" s="227">
        <f>(D616/D613)*M91</f>
        <v>0</v>
      </c>
      <c r="E679" s="229">
        <f>(E624/E613)*SUM(C679:D679)</f>
        <v>0</v>
      </c>
      <c r="F679" s="229">
        <f>(F625/F613)*M65</f>
        <v>0</v>
      </c>
      <c r="G679" s="227">
        <f>(G626/G613)*M92</f>
        <v>0</v>
      </c>
      <c r="H679" s="229">
        <f>(H629/H613)*M61</f>
        <v>0</v>
      </c>
      <c r="I679" s="227">
        <f>(I630/I613)*M93</f>
        <v>0</v>
      </c>
      <c r="J679" s="227">
        <f>(J631/J613)*M94</f>
        <v>0</v>
      </c>
      <c r="K679" s="227">
        <f>(K645/K613)*M90</f>
        <v>0</v>
      </c>
      <c r="L679" s="227" t="e">
        <f>(L648/L613)*M95</f>
        <v>#DIV/0!</v>
      </c>
      <c r="M679" s="211" t="e">
        <f t="shared" si="0"/>
        <v>#DIV/0!</v>
      </c>
      <c r="N679" s="221" t="s">
        <v>634</v>
      </c>
    </row>
    <row r="680" spans="1:14" s="211" customFormat="1" ht="12.65" customHeight="1" x14ac:dyDescent="0.3">
      <c r="A680" s="222">
        <v>6400</v>
      </c>
      <c r="B680" s="221" t="s">
        <v>635</v>
      </c>
      <c r="C680" s="227" t="str">
        <f>N86</f>
        <v>x</v>
      </c>
      <c r="D680" s="227">
        <f>(D616/D613)*N91</f>
        <v>0</v>
      </c>
      <c r="E680" s="229">
        <f>(E624/E613)*SUM(C680:D680)</f>
        <v>0</v>
      </c>
      <c r="F680" s="229">
        <f>(F625/F613)*N65</f>
        <v>0</v>
      </c>
      <c r="G680" s="227">
        <f>(G626/G613)*N92</f>
        <v>0</v>
      </c>
      <c r="H680" s="229">
        <f>(H629/H613)*N61</f>
        <v>0</v>
      </c>
      <c r="I680" s="227">
        <f>(I630/I613)*N93</f>
        <v>0</v>
      </c>
      <c r="J680" s="227">
        <f>(J631/J613)*N94</f>
        <v>0</v>
      </c>
      <c r="K680" s="227">
        <f>(K645/K613)*N90</f>
        <v>0</v>
      </c>
      <c r="L680" s="227" t="e">
        <f>(L648/L613)*N95</f>
        <v>#DIV/0!</v>
      </c>
      <c r="M680" s="211" t="e">
        <f t="shared" si="0"/>
        <v>#DIV/0!</v>
      </c>
      <c r="N680" s="221" t="s">
        <v>636</v>
      </c>
    </row>
    <row r="681" spans="1:14" s="211" customFormat="1" ht="12.65" customHeight="1" x14ac:dyDescent="0.3">
      <c r="A681" s="222">
        <v>7010</v>
      </c>
      <c r="B681" s="221" t="s">
        <v>637</v>
      </c>
      <c r="C681" s="227" t="str">
        <f>O86</f>
        <v>x</v>
      </c>
      <c r="D681" s="227">
        <f>(D616/D613)*O91</f>
        <v>0</v>
      </c>
      <c r="E681" s="229">
        <f>(E624/E613)*SUM(C681:D681)</f>
        <v>0</v>
      </c>
      <c r="F681" s="229">
        <f>(F625/F613)*O65</f>
        <v>0</v>
      </c>
      <c r="G681" s="227">
        <f>(G626/G613)*O92</f>
        <v>0</v>
      </c>
      <c r="H681" s="229">
        <f>(H629/H613)*O61</f>
        <v>0</v>
      </c>
      <c r="I681" s="227">
        <f>(I630/I613)*O93</f>
        <v>0</v>
      </c>
      <c r="J681" s="227">
        <f>(J631/J613)*O94</f>
        <v>0</v>
      </c>
      <c r="K681" s="227">
        <f>(K645/K613)*O90</f>
        <v>0</v>
      </c>
      <c r="L681" s="227" t="e">
        <f>(L648/L613)*O95</f>
        <v>#DIV/0!</v>
      </c>
      <c r="M681" s="211" t="e">
        <f t="shared" si="0"/>
        <v>#DIV/0!</v>
      </c>
      <c r="N681" s="221" t="s">
        <v>638</v>
      </c>
    </row>
    <row r="682" spans="1:14" s="211" customFormat="1" ht="12.65" customHeight="1" x14ac:dyDescent="0.3">
      <c r="A682" s="222">
        <v>7020</v>
      </c>
      <c r="B682" s="221" t="s">
        <v>639</v>
      </c>
      <c r="C682" s="227" t="str">
        <f>P86</f>
        <v>x</v>
      </c>
      <c r="D682" s="227">
        <f>(D616/D613)*P91</f>
        <v>0</v>
      </c>
      <c r="E682" s="229">
        <f>(E624/E613)*SUM(C682:D682)</f>
        <v>0</v>
      </c>
      <c r="F682" s="229">
        <f>(F625/F613)*P65</f>
        <v>0</v>
      </c>
      <c r="G682" s="227">
        <f>(G626/G613)*P92</f>
        <v>0</v>
      </c>
      <c r="H682" s="229">
        <f>(H629/H613)*P61</f>
        <v>0</v>
      </c>
      <c r="I682" s="227">
        <f>(I630/I613)*P93</f>
        <v>0</v>
      </c>
      <c r="J682" s="227">
        <f>(J631/J613)*P94</f>
        <v>0</v>
      </c>
      <c r="K682" s="227">
        <f>(K645/K613)*P90</f>
        <v>0</v>
      </c>
      <c r="L682" s="227" t="e">
        <f>(L648/L613)*P95</f>
        <v>#DIV/0!</v>
      </c>
      <c r="M682" s="211" t="e">
        <f t="shared" si="0"/>
        <v>#DIV/0!</v>
      </c>
      <c r="N682" s="221" t="s">
        <v>640</v>
      </c>
    </row>
    <row r="683" spans="1:14" s="211" customFormat="1" ht="12.65" customHeight="1" x14ac:dyDescent="0.3">
      <c r="A683" s="222">
        <v>7030</v>
      </c>
      <c r="B683" s="221" t="s">
        <v>641</v>
      </c>
      <c r="C683" s="227" t="str">
        <f>Q86</f>
        <v>x</v>
      </c>
      <c r="D683" s="227">
        <f>(D616/D613)*Q91</f>
        <v>0</v>
      </c>
      <c r="E683" s="229">
        <f>(E624/E613)*SUM(C683:D683)</f>
        <v>0</v>
      </c>
      <c r="F683" s="229">
        <f>(F625/F613)*Q65</f>
        <v>0</v>
      </c>
      <c r="G683" s="227">
        <f>(G626/G613)*Q92</f>
        <v>0</v>
      </c>
      <c r="H683" s="229">
        <f>(H629/H613)*Q61</f>
        <v>0</v>
      </c>
      <c r="I683" s="227">
        <f>(I630/I613)*Q93</f>
        <v>0</v>
      </c>
      <c r="J683" s="227">
        <f>(J631/J613)*Q94</f>
        <v>0</v>
      </c>
      <c r="K683" s="227">
        <f>(K645/K613)*Q90</f>
        <v>0</v>
      </c>
      <c r="L683" s="227" t="e">
        <f>(L648/L613)*Q95</f>
        <v>#DIV/0!</v>
      </c>
      <c r="M683" s="211" t="e">
        <f t="shared" si="0"/>
        <v>#DIV/0!</v>
      </c>
      <c r="N683" s="221" t="s">
        <v>642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>
        <f>(E624/E613)*SUM(C684:D684)</f>
        <v>0</v>
      </c>
      <c r="F684" s="229">
        <f>(F625/F613)*R65</f>
        <v>0</v>
      </c>
      <c r="G684" s="227">
        <f>(G626/G613)*R92</f>
        <v>0</v>
      </c>
      <c r="H684" s="229">
        <f>(H629/H613)*R61</f>
        <v>0</v>
      </c>
      <c r="I684" s="227">
        <f>(I630/I613)*R93</f>
        <v>0</v>
      </c>
      <c r="J684" s="227">
        <f>(J631/J613)*R94</f>
        <v>0</v>
      </c>
      <c r="K684" s="227">
        <f>(K645/K613)*R90</f>
        <v>0</v>
      </c>
      <c r="L684" s="227" t="e">
        <f>(L648/L613)*R95</f>
        <v>#DIV/0!</v>
      </c>
      <c r="M684" s="211" t="e">
        <f t="shared" si="0"/>
        <v>#DIV/0!</v>
      </c>
      <c r="N684" s="221" t="s">
        <v>643</v>
      </c>
    </row>
    <row r="685" spans="1:14" s="211" customFormat="1" ht="12.65" customHeight="1" x14ac:dyDescent="0.3">
      <c r="A685" s="222">
        <v>7050</v>
      </c>
      <c r="B685" s="221" t="s">
        <v>644</v>
      </c>
      <c r="C685" s="227" t="str">
        <f>S86</f>
        <v>x</v>
      </c>
      <c r="D685" s="227">
        <f>(D616/D613)*S91</f>
        <v>0</v>
      </c>
      <c r="E685" s="229">
        <f>(E624/E613)*SUM(C685:D685)</f>
        <v>0</v>
      </c>
      <c r="F685" s="229">
        <f>(F625/F613)*S65</f>
        <v>0</v>
      </c>
      <c r="G685" s="227">
        <f>(G626/G613)*S92</f>
        <v>0</v>
      </c>
      <c r="H685" s="229">
        <f>(H629/H613)*S61</f>
        <v>0</v>
      </c>
      <c r="I685" s="227">
        <f>(I630/I613)*S93</f>
        <v>0</v>
      </c>
      <c r="J685" s="227">
        <f>(J631/J613)*S94</f>
        <v>0</v>
      </c>
      <c r="K685" s="227">
        <f>(K645/K613)*S90</f>
        <v>0</v>
      </c>
      <c r="L685" s="227" t="e">
        <f>(L648/L613)*S95</f>
        <v>#DIV/0!</v>
      </c>
      <c r="M685" s="211" t="e">
        <f t="shared" si="0"/>
        <v>#DIV/0!</v>
      </c>
      <c r="N685" s="221" t="s">
        <v>645</v>
      </c>
    </row>
    <row r="686" spans="1:14" s="211" customFormat="1" ht="12.65" customHeight="1" x14ac:dyDescent="0.3">
      <c r="A686" s="222">
        <v>7060</v>
      </c>
      <c r="B686" s="221" t="s">
        <v>646</v>
      </c>
      <c r="C686" s="227" t="str">
        <f>T86</f>
        <v>x</v>
      </c>
      <c r="D686" s="227">
        <f>(D616/D613)*T91</f>
        <v>0</v>
      </c>
      <c r="E686" s="229">
        <f>(E624/E613)*SUM(C686:D686)</f>
        <v>0</v>
      </c>
      <c r="F686" s="229">
        <f>(F625/F613)*T65</f>
        <v>0</v>
      </c>
      <c r="G686" s="227">
        <f>(G626/G613)*T92</f>
        <v>0</v>
      </c>
      <c r="H686" s="229">
        <f>(H629/H613)*T61</f>
        <v>0</v>
      </c>
      <c r="I686" s="227">
        <f>(I630/I613)*T93</f>
        <v>0</v>
      </c>
      <c r="J686" s="227">
        <f>(J631/J613)*T94</f>
        <v>0</v>
      </c>
      <c r="K686" s="227">
        <f>(K645/K613)*T90</f>
        <v>0</v>
      </c>
      <c r="L686" s="227" t="e">
        <f>(L648/L613)*T95</f>
        <v>#DIV/0!</v>
      </c>
      <c r="M686" s="211" t="e">
        <f t="shared" si="0"/>
        <v>#DIV/0!</v>
      </c>
      <c r="N686" s="221" t="s">
        <v>647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>
        <f>(E624/E613)*SUM(C687:D687)</f>
        <v>0</v>
      </c>
      <c r="F687" s="229">
        <f>(F625/F613)*U65</f>
        <v>0</v>
      </c>
      <c r="G687" s="227">
        <f>(G626/G613)*U92</f>
        <v>0</v>
      </c>
      <c r="H687" s="229">
        <f>(H629/H613)*U61</f>
        <v>0</v>
      </c>
      <c r="I687" s="227">
        <f>(I630/I613)*U93</f>
        <v>0</v>
      </c>
      <c r="J687" s="227">
        <f>(J631/J613)*U94</f>
        <v>0</v>
      </c>
      <c r="K687" s="227">
        <f>(K645/K613)*U90</f>
        <v>0</v>
      </c>
      <c r="L687" s="227" t="e">
        <f>(L648/L613)*U95</f>
        <v>#DIV/0!</v>
      </c>
      <c r="M687" s="211" t="e">
        <f t="shared" si="0"/>
        <v>#DIV/0!</v>
      </c>
      <c r="N687" s="221" t="s">
        <v>648</v>
      </c>
    </row>
    <row r="688" spans="1:14" s="211" customFormat="1" ht="12.65" customHeight="1" x14ac:dyDescent="0.3">
      <c r="A688" s="222">
        <v>7110</v>
      </c>
      <c r="B688" s="221" t="s">
        <v>649</v>
      </c>
      <c r="C688" s="227" t="str">
        <f>V86</f>
        <v>x</v>
      </c>
      <c r="D688" s="227">
        <f>(D616/D613)*V91</f>
        <v>0</v>
      </c>
      <c r="E688" s="229">
        <f>(E624/E613)*SUM(C688:D688)</f>
        <v>0</v>
      </c>
      <c r="F688" s="229">
        <f>(F625/F613)*V65</f>
        <v>0</v>
      </c>
      <c r="G688" s="227">
        <f>(G626/G613)*V92</f>
        <v>0</v>
      </c>
      <c r="H688" s="229">
        <f>(H629/H613)*V61</f>
        <v>0</v>
      </c>
      <c r="I688" s="227">
        <f>(I630/I613)*V93</f>
        <v>0</v>
      </c>
      <c r="J688" s="227">
        <f>(J631/J613)*V94</f>
        <v>0</v>
      </c>
      <c r="K688" s="227">
        <f>(K645/K613)*V90</f>
        <v>0</v>
      </c>
      <c r="L688" s="227" t="e">
        <f>(L648/L613)*V95</f>
        <v>#DIV/0!</v>
      </c>
      <c r="M688" s="211" t="e">
        <f t="shared" si="0"/>
        <v>#DIV/0!</v>
      </c>
      <c r="N688" s="221" t="s">
        <v>650</v>
      </c>
    </row>
    <row r="689" spans="1:14" s="211" customFormat="1" ht="12.65" customHeight="1" x14ac:dyDescent="0.3">
      <c r="A689" s="222">
        <v>7120</v>
      </c>
      <c r="B689" s="221" t="s">
        <v>651</v>
      </c>
      <c r="C689" s="227" t="str">
        <f>W86</f>
        <v>x</v>
      </c>
      <c r="D689" s="227">
        <f>(D616/D613)*W91</f>
        <v>0</v>
      </c>
      <c r="E689" s="229">
        <f>(E624/E613)*SUM(C689:D689)</f>
        <v>0</v>
      </c>
      <c r="F689" s="229">
        <f>(F625/F613)*W65</f>
        <v>0</v>
      </c>
      <c r="G689" s="227">
        <f>(G626/G613)*W92</f>
        <v>0</v>
      </c>
      <c r="H689" s="229">
        <f>(H629/H613)*W61</f>
        <v>0</v>
      </c>
      <c r="I689" s="227">
        <f>(I630/I613)*W93</f>
        <v>0</v>
      </c>
      <c r="J689" s="227">
        <f>(J631/J613)*W94</f>
        <v>0</v>
      </c>
      <c r="K689" s="227">
        <f>(K645/K613)*W90</f>
        <v>0</v>
      </c>
      <c r="L689" s="227" t="e">
        <f>(L648/L613)*W95</f>
        <v>#DIV/0!</v>
      </c>
      <c r="M689" s="211" t="e">
        <f t="shared" si="0"/>
        <v>#DIV/0!</v>
      </c>
      <c r="N689" s="221" t="s">
        <v>652</v>
      </c>
    </row>
    <row r="690" spans="1:14" s="211" customFormat="1" ht="12.65" customHeight="1" x14ac:dyDescent="0.3">
      <c r="A690" s="222">
        <v>7130</v>
      </c>
      <c r="B690" s="221" t="s">
        <v>653</v>
      </c>
      <c r="C690" s="227" t="str">
        <f>X86</f>
        <v>x</v>
      </c>
      <c r="D690" s="227">
        <f>(D616/D613)*X91</f>
        <v>0</v>
      </c>
      <c r="E690" s="229">
        <f>(E624/E613)*SUM(C690:D690)</f>
        <v>0</v>
      </c>
      <c r="F690" s="229">
        <f>(F625/F613)*X65</f>
        <v>0</v>
      </c>
      <c r="G690" s="227">
        <f>(G626/G613)*X92</f>
        <v>0</v>
      </c>
      <c r="H690" s="229">
        <f>(H629/H613)*X61</f>
        <v>0</v>
      </c>
      <c r="I690" s="227">
        <f>(I630/I613)*X93</f>
        <v>0</v>
      </c>
      <c r="J690" s="227">
        <f>(J631/J613)*X94</f>
        <v>0</v>
      </c>
      <c r="K690" s="227">
        <f>(K645/K613)*X90</f>
        <v>0</v>
      </c>
      <c r="L690" s="227" t="e">
        <f>(L648/L613)*X95</f>
        <v>#DIV/0!</v>
      </c>
      <c r="M690" s="211" t="e">
        <f t="shared" si="0"/>
        <v>#DIV/0!</v>
      </c>
      <c r="N690" s="221" t="s">
        <v>654</v>
      </c>
    </row>
    <row r="691" spans="1:14" s="211" customFormat="1" ht="12.65" customHeight="1" x14ac:dyDescent="0.3">
      <c r="A691" s="222">
        <v>7140</v>
      </c>
      <c r="B691" s="221" t="s">
        <v>655</v>
      </c>
      <c r="C691" s="227" t="str">
        <f>Y86</f>
        <v>x</v>
      </c>
      <c r="D691" s="227">
        <f>(D616/D613)*Y91</f>
        <v>0</v>
      </c>
      <c r="E691" s="229">
        <f>(E624/E613)*SUM(C691:D691)</f>
        <v>0</v>
      </c>
      <c r="F691" s="229">
        <f>(F625/F613)*Y65</f>
        <v>0</v>
      </c>
      <c r="G691" s="227">
        <f>(G626/G613)*Y92</f>
        <v>0</v>
      </c>
      <c r="H691" s="229">
        <f>(H629/H613)*Y61</f>
        <v>0</v>
      </c>
      <c r="I691" s="227">
        <f>(I630/I613)*Y93</f>
        <v>0</v>
      </c>
      <c r="J691" s="227">
        <f>(J631/J613)*Y94</f>
        <v>0</v>
      </c>
      <c r="K691" s="227">
        <f>(K645/K613)*Y90</f>
        <v>0</v>
      </c>
      <c r="L691" s="227" t="e">
        <f>(L648/L613)*Y95</f>
        <v>#DIV/0!</v>
      </c>
      <c r="M691" s="211" t="e">
        <f t="shared" si="0"/>
        <v>#DIV/0!</v>
      </c>
      <c r="N691" s="221" t="s">
        <v>656</v>
      </c>
    </row>
    <row r="692" spans="1:14" s="211" customFormat="1" ht="12.65" customHeight="1" x14ac:dyDescent="0.3">
      <c r="A692" s="222">
        <v>7150</v>
      </c>
      <c r="B692" s="221" t="s">
        <v>657</v>
      </c>
      <c r="C692" s="227" t="str">
        <f>Z86</f>
        <v>x</v>
      </c>
      <c r="D692" s="227">
        <f>(D616/D613)*Z91</f>
        <v>0</v>
      </c>
      <c r="E692" s="229">
        <f>(E624/E613)*SUM(C692:D692)</f>
        <v>0</v>
      </c>
      <c r="F692" s="229">
        <f>(F625/F613)*Z65</f>
        <v>0</v>
      </c>
      <c r="G692" s="227">
        <f>(G626/G613)*Z92</f>
        <v>0</v>
      </c>
      <c r="H692" s="229">
        <f>(H629/H613)*Z61</f>
        <v>0</v>
      </c>
      <c r="I692" s="227">
        <f>(I630/I613)*Z93</f>
        <v>0</v>
      </c>
      <c r="J692" s="227">
        <f>(J631/J613)*Z94</f>
        <v>0</v>
      </c>
      <c r="K692" s="227">
        <f>(K645/K613)*Z90</f>
        <v>0</v>
      </c>
      <c r="L692" s="227" t="e">
        <f>(L648/L613)*Z95</f>
        <v>#DIV/0!</v>
      </c>
      <c r="M692" s="211" t="e">
        <f t="shared" si="0"/>
        <v>#DIV/0!</v>
      </c>
      <c r="N692" s="221" t="s">
        <v>658</v>
      </c>
    </row>
    <row r="693" spans="1:14" s="211" customFormat="1" ht="12.65" customHeight="1" x14ac:dyDescent="0.3">
      <c r="A693" s="222">
        <v>7160</v>
      </c>
      <c r="B693" s="221" t="s">
        <v>659</v>
      </c>
      <c r="C693" s="227" t="str">
        <f>AA86</f>
        <v>x</v>
      </c>
      <c r="D693" s="227">
        <f>(D616/D613)*AA91</f>
        <v>0</v>
      </c>
      <c r="E693" s="229">
        <f>(E624/E613)*SUM(C693:D693)</f>
        <v>0</v>
      </c>
      <c r="F693" s="229">
        <f>(F625/F613)*AA65</f>
        <v>0</v>
      </c>
      <c r="G693" s="227">
        <f>(G626/G613)*AA92</f>
        <v>0</v>
      </c>
      <c r="H693" s="229">
        <f>(H629/H613)*AA61</f>
        <v>0</v>
      </c>
      <c r="I693" s="227">
        <f>(I630/I613)*AA93</f>
        <v>0</v>
      </c>
      <c r="J693" s="227">
        <f>(J631/J613)*AA94</f>
        <v>0</v>
      </c>
      <c r="K693" s="227">
        <f>(K645/K613)*AA90</f>
        <v>0</v>
      </c>
      <c r="L693" s="227" t="e">
        <f>(L648/L613)*AA95</f>
        <v>#DIV/0!</v>
      </c>
      <c r="M693" s="211" t="e">
        <f t="shared" si="0"/>
        <v>#DIV/0!</v>
      </c>
      <c r="N693" s="221" t="s">
        <v>660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>
        <f>(E624/E613)*SUM(C694:D694)</f>
        <v>0</v>
      </c>
      <c r="F694" s="229">
        <f>(F625/F613)*AB65</f>
        <v>0</v>
      </c>
      <c r="G694" s="227">
        <f>(G626/G613)*AB92</f>
        <v>0</v>
      </c>
      <c r="H694" s="229">
        <f>(H629/H613)*AB61</f>
        <v>0</v>
      </c>
      <c r="I694" s="227">
        <f>(I630/I613)*AB93</f>
        <v>0</v>
      </c>
      <c r="J694" s="227">
        <f>(J631/J613)*AB94</f>
        <v>0</v>
      </c>
      <c r="K694" s="227">
        <f>(K645/K613)*AB90</f>
        <v>0</v>
      </c>
      <c r="L694" s="227" t="e">
        <f>(L648/L613)*AB95</f>
        <v>#DIV/0!</v>
      </c>
      <c r="M694" s="211" t="e">
        <f t="shared" si="0"/>
        <v>#DIV/0!</v>
      </c>
      <c r="N694" s="221" t="s">
        <v>661</v>
      </c>
    </row>
    <row r="695" spans="1:14" s="211" customFormat="1" ht="12.65" customHeight="1" x14ac:dyDescent="0.3">
      <c r="A695" s="222">
        <v>7180</v>
      </c>
      <c r="B695" s="221" t="s">
        <v>662</v>
      </c>
      <c r="C695" s="227" t="str">
        <f>AC86</f>
        <v>x</v>
      </c>
      <c r="D695" s="227">
        <f>(D616/D613)*AC91</f>
        <v>0</v>
      </c>
      <c r="E695" s="229">
        <f>(E624/E613)*SUM(C695:D695)</f>
        <v>0</v>
      </c>
      <c r="F695" s="229">
        <f>(F625/F613)*AC65</f>
        <v>0</v>
      </c>
      <c r="G695" s="227">
        <f>(G626/G613)*AC92</f>
        <v>0</v>
      </c>
      <c r="H695" s="229">
        <f>(H629/H613)*AC61</f>
        <v>0</v>
      </c>
      <c r="I695" s="227">
        <f>(I630/I613)*AC93</f>
        <v>0</v>
      </c>
      <c r="J695" s="227">
        <f>(J631/J613)*AC94</f>
        <v>0</v>
      </c>
      <c r="K695" s="227">
        <f>(K645/K613)*AC90</f>
        <v>0</v>
      </c>
      <c r="L695" s="227" t="e">
        <f>(L648/L613)*AC95</f>
        <v>#DIV/0!</v>
      </c>
      <c r="M695" s="211" t="e">
        <f t="shared" si="0"/>
        <v>#DIV/0!</v>
      </c>
      <c r="N695" s="221" t="s">
        <v>663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>
        <f>(E624/E613)*SUM(C696:D696)</f>
        <v>0</v>
      </c>
      <c r="F696" s="229">
        <f>(F625/F613)*AD65</f>
        <v>0</v>
      </c>
      <c r="G696" s="227">
        <f>(G626/G613)*AD92</f>
        <v>0</v>
      </c>
      <c r="H696" s="229">
        <f>(H629/H613)*AD61</f>
        <v>0</v>
      </c>
      <c r="I696" s="227">
        <f>(I630/I613)*AD93</f>
        <v>0</v>
      </c>
      <c r="J696" s="227">
        <f>(J631/J613)*AD94</f>
        <v>0</v>
      </c>
      <c r="K696" s="227">
        <f>(K645/K613)*AD90</f>
        <v>0</v>
      </c>
      <c r="L696" s="227" t="e">
        <f>(L648/L613)*AD95</f>
        <v>#DIV/0!</v>
      </c>
      <c r="M696" s="211" t="e">
        <f t="shared" si="0"/>
        <v>#DIV/0!</v>
      </c>
      <c r="N696" s="221" t="s">
        <v>664</v>
      </c>
    </row>
    <row r="697" spans="1:14" s="211" customFormat="1" ht="12.65" customHeight="1" x14ac:dyDescent="0.3">
      <c r="A697" s="222">
        <v>7200</v>
      </c>
      <c r="B697" s="221" t="s">
        <v>665</v>
      </c>
      <c r="C697" s="227" t="str">
        <f>AE86</f>
        <v>x</v>
      </c>
      <c r="D697" s="227">
        <f>(D616/D613)*AE91</f>
        <v>0</v>
      </c>
      <c r="E697" s="229">
        <f>(E624/E613)*SUM(C697:D697)</f>
        <v>0</v>
      </c>
      <c r="F697" s="229">
        <f>(F625/F613)*AE65</f>
        <v>0</v>
      </c>
      <c r="G697" s="227">
        <f>(G626/G613)*AE92</f>
        <v>0</v>
      </c>
      <c r="H697" s="229">
        <f>(H629/H613)*AE61</f>
        <v>0</v>
      </c>
      <c r="I697" s="227">
        <f>(I630/I613)*AE93</f>
        <v>0</v>
      </c>
      <c r="J697" s="227">
        <f>(J631/J613)*AE94</f>
        <v>0</v>
      </c>
      <c r="K697" s="227">
        <f>(K645/K613)*AE90</f>
        <v>0</v>
      </c>
      <c r="L697" s="227" t="e">
        <f>(L648/L613)*AE95</f>
        <v>#DIV/0!</v>
      </c>
      <c r="M697" s="211" t="e">
        <f t="shared" si="0"/>
        <v>#DIV/0!</v>
      </c>
      <c r="N697" s="221" t="s">
        <v>666</v>
      </c>
    </row>
    <row r="698" spans="1:14" s="211" customFormat="1" ht="12.65" customHeight="1" x14ac:dyDescent="0.3">
      <c r="A698" s="222">
        <v>7220</v>
      </c>
      <c r="B698" s="221" t="s">
        <v>667</v>
      </c>
      <c r="C698" s="227" t="str">
        <f>AF86</f>
        <v>x</v>
      </c>
      <c r="D698" s="227">
        <f>(D616/D613)*AF91</f>
        <v>0</v>
      </c>
      <c r="E698" s="229">
        <f>(E624/E613)*SUM(C698:D698)</f>
        <v>0</v>
      </c>
      <c r="F698" s="229">
        <f>(F625/F613)*AF65</f>
        <v>0</v>
      </c>
      <c r="G698" s="227">
        <f>(G626/G613)*AF92</f>
        <v>0</v>
      </c>
      <c r="H698" s="229">
        <f>(H629/H613)*AF61</f>
        <v>0</v>
      </c>
      <c r="I698" s="227">
        <f>(I630/I613)*AF93</f>
        <v>0</v>
      </c>
      <c r="J698" s="227">
        <f>(J631/J613)*AF94</f>
        <v>0</v>
      </c>
      <c r="K698" s="227">
        <f>(K645/K613)*AF90</f>
        <v>0</v>
      </c>
      <c r="L698" s="227" t="e">
        <f>(L648/L613)*AF95</f>
        <v>#DIV/0!</v>
      </c>
      <c r="M698" s="211" t="e">
        <f t="shared" si="0"/>
        <v>#DIV/0!</v>
      </c>
      <c r="N698" s="221" t="s">
        <v>668</v>
      </c>
    </row>
    <row r="699" spans="1:14" s="211" customFormat="1" ht="12.65" customHeight="1" x14ac:dyDescent="0.3">
      <c r="A699" s="222">
        <v>7230</v>
      </c>
      <c r="B699" s="221" t="s">
        <v>669</v>
      </c>
      <c r="C699" s="227" t="str">
        <f>AG86</f>
        <v>x</v>
      </c>
      <c r="D699" s="227">
        <f>(D616/D613)*AG91</f>
        <v>0</v>
      </c>
      <c r="E699" s="229">
        <f>(E624/E613)*SUM(C699:D699)</f>
        <v>0</v>
      </c>
      <c r="F699" s="229">
        <f>(F625/F613)*AG65</f>
        <v>0</v>
      </c>
      <c r="G699" s="227">
        <f>(G626/G613)*AG92</f>
        <v>0</v>
      </c>
      <c r="H699" s="229">
        <f>(H629/H613)*AG61</f>
        <v>0</v>
      </c>
      <c r="I699" s="227">
        <f>(I630/I613)*AG93</f>
        <v>0</v>
      </c>
      <c r="J699" s="227">
        <f>(J631/J613)*AG94</f>
        <v>0</v>
      </c>
      <c r="K699" s="227">
        <f>(K645/K613)*AG90</f>
        <v>0</v>
      </c>
      <c r="L699" s="227" t="e">
        <f>(L648/L613)*AG95</f>
        <v>#DIV/0!</v>
      </c>
      <c r="M699" s="211" t="e">
        <f t="shared" si="0"/>
        <v>#DIV/0!</v>
      </c>
      <c r="N699" s="221" t="s">
        <v>670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>
        <f>(E624/E613)*SUM(C700:D700)</f>
        <v>0</v>
      </c>
      <c r="F700" s="229">
        <f>(F625/F613)*AH65</f>
        <v>0</v>
      </c>
      <c r="G700" s="227">
        <f>(G626/G613)*AH92</f>
        <v>0</v>
      </c>
      <c r="H700" s="229">
        <f>(H629/H613)*AH61</f>
        <v>0</v>
      </c>
      <c r="I700" s="227">
        <f>(I630/I613)*AH93</f>
        <v>0</v>
      </c>
      <c r="J700" s="227">
        <f>(J631/J613)*AH94</f>
        <v>0</v>
      </c>
      <c r="K700" s="227">
        <f>(K645/K613)*AH90</f>
        <v>0</v>
      </c>
      <c r="L700" s="227" t="e">
        <f>(L648/L613)*AH95</f>
        <v>#DIV/0!</v>
      </c>
      <c r="M700" s="211" t="e">
        <f t="shared" si="0"/>
        <v>#DIV/0!</v>
      </c>
      <c r="N700" s="221" t="s">
        <v>671</v>
      </c>
    </row>
    <row r="701" spans="1:14" s="211" customFormat="1" ht="12.65" customHeight="1" x14ac:dyDescent="0.3">
      <c r="A701" s="222">
        <v>7250</v>
      </c>
      <c r="B701" s="221" t="s">
        <v>672</v>
      </c>
      <c r="C701" s="227" t="str">
        <f>AI86</f>
        <v>x</v>
      </c>
      <c r="D701" s="227">
        <f>(D616/D613)*AI91</f>
        <v>0</v>
      </c>
      <c r="E701" s="229">
        <f>(E624/E613)*SUM(C701:D701)</f>
        <v>0</v>
      </c>
      <c r="F701" s="229">
        <f>(F625/F613)*AI65</f>
        <v>0</v>
      </c>
      <c r="G701" s="227">
        <f>(G626/G613)*AI92</f>
        <v>0</v>
      </c>
      <c r="H701" s="229">
        <f>(H629/H613)*AI61</f>
        <v>0</v>
      </c>
      <c r="I701" s="227">
        <f>(I630/I613)*AI93</f>
        <v>0</v>
      </c>
      <c r="J701" s="227">
        <f>(J631/J613)*AI94</f>
        <v>0</v>
      </c>
      <c r="K701" s="227">
        <f>(K645/K613)*AI90</f>
        <v>0</v>
      </c>
      <c r="L701" s="227" t="e">
        <f>(L648/L613)*AI95</f>
        <v>#DIV/0!</v>
      </c>
      <c r="M701" s="211" t="e">
        <f t="shared" si="0"/>
        <v>#DIV/0!</v>
      </c>
      <c r="N701" s="221" t="s">
        <v>673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>
        <f>(E624/E613)*SUM(C702:D702)</f>
        <v>0</v>
      </c>
      <c r="F702" s="229">
        <f>(F625/F613)*AJ65</f>
        <v>0</v>
      </c>
      <c r="G702" s="227">
        <f>(G626/G613)*AJ92</f>
        <v>0</v>
      </c>
      <c r="H702" s="229">
        <f>(H629/H613)*AJ61</f>
        <v>0</v>
      </c>
      <c r="I702" s="227">
        <f>(I630/I613)*AJ93</f>
        <v>0</v>
      </c>
      <c r="J702" s="227">
        <f>(J631/J613)*AJ94</f>
        <v>0</v>
      </c>
      <c r="K702" s="227">
        <f>(K645/K613)*AJ90</f>
        <v>0</v>
      </c>
      <c r="L702" s="227" t="e">
        <f>(L648/L613)*AJ95</f>
        <v>#DIV/0!</v>
      </c>
      <c r="M702" s="211" t="e">
        <f t="shared" si="0"/>
        <v>#DIV/0!</v>
      </c>
      <c r="N702" s="221" t="s">
        <v>674</v>
      </c>
    </row>
    <row r="703" spans="1:14" s="211" customFormat="1" ht="12.65" customHeight="1" x14ac:dyDescent="0.3">
      <c r="A703" s="222">
        <v>7310</v>
      </c>
      <c r="B703" s="221" t="s">
        <v>675</v>
      </c>
      <c r="C703" s="227" t="str">
        <f>AK86</f>
        <v>x</v>
      </c>
      <c r="D703" s="227">
        <f>(D616/D613)*AK91</f>
        <v>0</v>
      </c>
      <c r="E703" s="229">
        <f>(E624/E613)*SUM(C703:D703)</f>
        <v>0</v>
      </c>
      <c r="F703" s="229">
        <f>(F625/F613)*AK65</f>
        <v>0</v>
      </c>
      <c r="G703" s="227">
        <f>(G626/G613)*AK92</f>
        <v>0</v>
      </c>
      <c r="H703" s="229">
        <f>(H629/H613)*AK61</f>
        <v>0</v>
      </c>
      <c r="I703" s="227">
        <f>(I630/I613)*AK93</f>
        <v>0</v>
      </c>
      <c r="J703" s="227">
        <f>(J631/J613)*AK94</f>
        <v>0</v>
      </c>
      <c r="K703" s="227">
        <f>(K645/K613)*AK90</f>
        <v>0</v>
      </c>
      <c r="L703" s="227" t="e">
        <f>(L648/L613)*AK95</f>
        <v>#DIV/0!</v>
      </c>
      <c r="M703" s="211" t="e">
        <f t="shared" si="0"/>
        <v>#DIV/0!</v>
      </c>
      <c r="N703" s="221" t="s">
        <v>676</v>
      </c>
    </row>
    <row r="704" spans="1:14" s="211" customFormat="1" ht="12.65" customHeight="1" x14ac:dyDescent="0.3">
      <c r="A704" s="222">
        <v>7320</v>
      </c>
      <c r="B704" s="221" t="s">
        <v>677</v>
      </c>
      <c r="C704" s="227" t="str">
        <f>AL86</f>
        <v>x</v>
      </c>
      <c r="D704" s="227">
        <f>(D616/D613)*AL91</f>
        <v>0</v>
      </c>
      <c r="E704" s="229">
        <f>(E624/E613)*SUM(C704:D704)</f>
        <v>0</v>
      </c>
      <c r="F704" s="229">
        <f>(F625/F613)*AL65</f>
        <v>0</v>
      </c>
      <c r="G704" s="227">
        <f>(G626/G613)*AL92</f>
        <v>0</v>
      </c>
      <c r="H704" s="229">
        <f>(H629/H613)*AL61</f>
        <v>0</v>
      </c>
      <c r="I704" s="227">
        <f>(I630/I613)*AL93</f>
        <v>0</v>
      </c>
      <c r="J704" s="227">
        <f>(J631/J613)*AL94</f>
        <v>0</v>
      </c>
      <c r="K704" s="227">
        <f>(K645/K613)*AL90</f>
        <v>0</v>
      </c>
      <c r="L704" s="227" t="e">
        <f>(L648/L613)*AL95</f>
        <v>#DIV/0!</v>
      </c>
      <c r="M704" s="211" t="e">
        <f t="shared" si="0"/>
        <v>#DIV/0!</v>
      </c>
      <c r="N704" s="221" t="s">
        <v>678</v>
      </c>
    </row>
    <row r="705" spans="1:14" s="211" customFormat="1" ht="12.65" customHeight="1" x14ac:dyDescent="0.3">
      <c r="A705" s="222">
        <v>7330</v>
      </c>
      <c r="B705" s="221" t="s">
        <v>679</v>
      </c>
      <c r="C705" s="227" t="str">
        <f>AM86</f>
        <v>x</v>
      </c>
      <c r="D705" s="227">
        <f>(D616/D613)*AM91</f>
        <v>0</v>
      </c>
      <c r="E705" s="229">
        <f>(E624/E613)*SUM(C705:D705)</f>
        <v>0</v>
      </c>
      <c r="F705" s="229">
        <f>(F625/F613)*AM65</f>
        <v>0</v>
      </c>
      <c r="G705" s="227">
        <f>(G626/G613)*AM92</f>
        <v>0</v>
      </c>
      <c r="H705" s="229">
        <f>(H629/H613)*AM61</f>
        <v>0</v>
      </c>
      <c r="I705" s="227">
        <f>(I630/I613)*AM93</f>
        <v>0</v>
      </c>
      <c r="J705" s="227">
        <f>(J631/J613)*AM94</f>
        <v>0</v>
      </c>
      <c r="K705" s="227">
        <f>(K645/K613)*AM90</f>
        <v>0</v>
      </c>
      <c r="L705" s="227" t="e">
        <f>(L648/L613)*AM95</f>
        <v>#DIV/0!</v>
      </c>
      <c r="M705" s="211" t="e">
        <f t="shared" si="0"/>
        <v>#DIV/0!</v>
      </c>
      <c r="N705" s="221" t="s">
        <v>680</v>
      </c>
    </row>
    <row r="706" spans="1:14" s="211" customFormat="1" ht="12.65" customHeight="1" x14ac:dyDescent="0.3">
      <c r="A706" s="222">
        <v>7340</v>
      </c>
      <c r="B706" s="221" t="s">
        <v>681</v>
      </c>
      <c r="C706" s="227" t="str">
        <f>AN86</f>
        <v>x</v>
      </c>
      <c r="D706" s="227">
        <f>(D616/D613)*AN91</f>
        <v>0</v>
      </c>
      <c r="E706" s="229">
        <f>(E624/E613)*SUM(C706:D706)</f>
        <v>0</v>
      </c>
      <c r="F706" s="229">
        <f>(F625/F613)*AN65</f>
        <v>0</v>
      </c>
      <c r="G706" s="227">
        <f>(G626/G613)*AN92</f>
        <v>0</v>
      </c>
      <c r="H706" s="229">
        <f>(H629/H613)*AN61</f>
        <v>0</v>
      </c>
      <c r="I706" s="227">
        <f>(I630/I613)*AN93</f>
        <v>0</v>
      </c>
      <c r="J706" s="227">
        <f>(J631/J613)*AN94</f>
        <v>0</v>
      </c>
      <c r="K706" s="227">
        <f>(K645/K613)*AN90</f>
        <v>0</v>
      </c>
      <c r="L706" s="227" t="e">
        <f>(L648/L613)*AN95</f>
        <v>#DIV/0!</v>
      </c>
      <c r="M706" s="211" t="e">
        <f t="shared" si="0"/>
        <v>#DIV/0!</v>
      </c>
      <c r="N706" s="221" t="s">
        <v>682</v>
      </c>
    </row>
    <row r="707" spans="1:14" s="211" customFormat="1" ht="12.65" customHeight="1" x14ac:dyDescent="0.3">
      <c r="A707" s="222">
        <v>7350</v>
      </c>
      <c r="B707" s="221" t="s">
        <v>683</v>
      </c>
      <c r="C707" s="227" t="str">
        <f>AO86</f>
        <v>x</v>
      </c>
      <c r="D707" s="227">
        <f>(D616/D613)*AO91</f>
        <v>0</v>
      </c>
      <c r="E707" s="229">
        <f>(E624/E613)*SUM(C707:D707)</f>
        <v>0</v>
      </c>
      <c r="F707" s="229">
        <f>(F625/F613)*AO65</f>
        <v>0</v>
      </c>
      <c r="G707" s="227">
        <f>(G626/G613)*AO92</f>
        <v>0</v>
      </c>
      <c r="H707" s="229">
        <f>(H629/H613)*AO61</f>
        <v>0</v>
      </c>
      <c r="I707" s="227">
        <f>(I630/I613)*AO93</f>
        <v>0</v>
      </c>
      <c r="J707" s="227">
        <f>(J631/J613)*AO94</f>
        <v>0</v>
      </c>
      <c r="K707" s="227">
        <f>(K645/K613)*AO90</f>
        <v>0</v>
      </c>
      <c r="L707" s="227" t="e">
        <f>(L648/L613)*AO95</f>
        <v>#DIV/0!</v>
      </c>
      <c r="M707" s="211" t="e">
        <f t="shared" si="0"/>
        <v>#DIV/0!</v>
      </c>
      <c r="N707" s="221" t="s">
        <v>684</v>
      </c>
    </row>
    <row r="708" spans="1:14" s="211" customFormat="1" ht="12.65" customHeight="1" x14ac:dyDescent="0.3">
      <c r="A708" s="222">
        <v>7380</v>
      </c>
      <c r="B708" s="221" t="s">
        <v>685</v>
      </c>
      <c r="C708" s="227" t="str">
        <f>AP86</f>
        <v>x</v>
      </c>
      <c r="D708" s="227">
        <f>(D616/D613)*AP91</f>
        <v>0</v>
      </c>
      <c r="E708" s="229">
        <f>(E624/E613)*SUM(C708:D708)</f>
        <v>0</v>
      </c>
      <c r="F708" s="229">
        <f>(F625/F613)*AP65</f>
        <v>0</v>
      </c>
      <c r="G708" s="227">
        <f>(G626/G613)*AP92</f>
        <v>0</v>
      </c>
      <c r="H708" s="229">
        <f>(H629/H613)*AP61</f>
        <v>0</v>
      </c>
      <c r="I708" s="227">
        <f>(I630/I613)*AP93</f>
        <v>0</v>
      </c>
      <c r="J708" s="227">
        <f>(J631/J613)*AP94</f>
        <v>0</v>
      </c>
      <c r="K708" s="227">
        <f>(K645/K613)*AP90</f>
        <v>0</v>
      </c>
      <c r="L708" s="227" t="e">
        <f>(L648/L613)*AP95</f>
        <v>#DIV/0!</v>
      </c>
      <c r="M708" s="211" t="e">
        <f t="shared" si="0"/>
        <v>#DIV/0!</v>
      </c>
      <c r="N708" s="221" t="s">
        <v>686</v>
      </c>
    </row>
    <row r="709" spans="1:14" s="211" customFormat="1" ht="12.65" customHeight="1" x14ac:dyDescent="0.3">
      <c r="A709" s="222">
        <v>7390</v>
      </c>
      <c r="B709" s="221" t="s">
        <v>687</v>
      </c>
      <c r="C709" s="227" t="str">
        <f>AQ86</f>
        <v>x</v>
      </c>
      <c r="D709" s="227">
        <f>(D616/D613)*AQ91</f>
        <v>0</v>
      </c>
      <c r="E709" s="229">
        <f>(E624/E613)*SUM(C709:D709)</f>
        <v>0</v>
      </c>
      <c r="F709" s="229">
        <f>(F625/F613)*AQ65</f>
        <v>0</v>
      </c>
      <c r="G709" s="227">
        <f>(G626/G613)*AQ92</f>
        <v>0</v>
      </c>
      <c r="H709" s="229">
        <f>(H629/H613)*AQ61</f>
        <v>0</v>
      </c>
      <c r="I709" s="227">
        <f>(I630/I613)*AQ93</f>
        <v>0</v>
      </c>
      <c r="J709" s="227">
        <f>(J631/J613)*AQ94</f>
        <v>0</v>
      </c>
      <c r="K709" s="227">
        <f>(K645/K613)*AQ90</f>
        <v>0</v>
      </c>
      <c r="L709" s="227" t="e">
        <f>(L648/L613)*AQ95</f>
        <v>#DIV/0!</v>
      </c>
      <c r="M709" s="211" t="e">
        <f t="shared" si="0"/>
        <v>#DIV/0!</v>
      </c>
      <c r="N709" s="221" t="s">
        <v>688</v>
      </c>
    </row>
    <row r="710" spans="1:14" s="211" customFormat="1" ht="12.65" customHeight="1" x14ac:dyDescent="0.3">
      <c r="A710" s="222">
        <v>7400</v>
      </c>
      <c r="B710" s="221" t="s">
        <v>689</v>
      </c>
      <c r="C710" s="227" t="str">
        <f>AR86</f>
        <v>x</v>
      </c>
      <c r="D710" s="227">
        <f>(D616/D613)*AR91</f>
        <v>0</v>
      </c>
      <c r="E710" s="229">
        <f>(E624/E613)*SUM(C710:D710)</f>
        <v>0</v>
      </c>
      <c r="F710" s="229">
        <f>(F625/F613)*AR65</f>
        <v>0</v>
      </c>
      <c r="G710" s="227">
        <f>(G626/G613)*AR92</f>
        <v>0</v>
      </c>
      <c r="H710" s="229">
        <f>(H629/H613)*AR61</f>
        <v>0</v>
      </c>
      <c r="I710" s="227">
        <f>(I630/I613)*AR93</f>
        <v>0</v>
      </c>
      <c r="J710" s="227">
        <f>(J631/J613)*AR94</f>
        <v>0</v>
      </c>
      <c r="K710" s="227">
        <f>(K645/K613)*AR90</f>
        <v>0</v>
      </c>
      <c r="L710" s="227" t="e">
        <f>(L648/L613)*AR95</f>
        <v>#DIV/0!</v>
      </c>
      <c r="M710" s="211" t="e">
        <f t="shared" si="0"/>
        <v>#DIV/0!</v>
      </c>
      <c r="N710" s="221" t="s">
        <v>690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>
        <f>(E624/E613)*SUM(C711:D711)</f>
        <v>0</v>
      </c>
      <c r="F711" s="229">
        <f>(F625/F613)*AS65</f>
        <v>0</v>
      </c>
      <c r="G711" s="227">
        <f>(G626/G613)*AS92</f>
        <v>0</v>
      </c>
      <c r="H711" s="229">
        <f>(H629/H613)*AS61</f>
        <v>0</v>
      </c>
      <c r="I711" s="227">
        <f>(I630/I613)*AS93</f>
        <v>0</v>
      </c>
      <c r="J711" s="227">
        <f>(J631/J613)*AS94</f>
        <v>0</v>
      </c>
      <c r="K711" s="227">
        <f>(K645/K613)*AS90</f>
        <v>0</v>
      </c>
      <c r="L711" s="227" t="e">
        <f>(L648/L613)*AS95</f>
        <v>#DIV/0!</v>
      </c>
      <c r="M711" s="211" t="e">
        <f t="shared" si="0"/>
        <v>#DIV/0!</v>
      </c>
      <c r="N711" s="221" t="s">
        <v>691</v>
      </c>
    </row>
    <row r="712" spans="1:14" s="211" customFormat="1" ht="12.65" customHeight="1" x14ac:dyDescent="0.3">
      <c r="A712" s="222">
        <v>7420</v>
      </c>
      <c r="B712" s="221" t="s">
        <v>692</v>
      </c>
      <c r="C712" s="227" t="str">
        <f>AT86</f>
        <v>x</v>
      </c>
      <c r="D712" s="227">
        <f>(D616/D613)*AT91</f>
        <v>0</v>
      </c>
      <c r="E712" s="229">
        <f>(E624/E613)*SUM(C712:D712)</f>
        <v>0</v>
      </c>
      <c r="F712" s="229">
        <f>(F625/F613)*AT65</f>
        <v>0</v>
      </c>
      <c r="G712" s="227">
        <f>(G626/G613)*AT92</f>
        <v>0</v>
      </c>
      <c r="H712" s="229">
        <f>(H629/H613)*AT61</f>
        <v>0</v>
      </c>
      <c r="I712" s="227">
        <f>(I630/I613)*AT93</f>
        <v>0</v>
      </c>
      <c r="J712" s="227">
        <f>(J631/J613)*AT94</f>
        <v>0</v>
      </c>
      <c r="K712" s="227">
        <f>(K645/K613)*AT90</f>
        <v>0</v>
      </c>
      <c r="L712" s="227" t="e">
        <f>(L648/L613)*AT95</f>
        <v>#DIV/0!</v>
      </c>
      <c r="M712" s="211" t="e">
        <f t="shared" si="0"/>
        <v>#DIV/0!</v>
      </c>
      <c r="N712" s="221" t="s">
        <v>693</v>
      </c>
    </row>
    <row r="713" spans="1:14" s="211" customFormat="1" ht="12.65" customHeight="1" x14ac:dyDescent="0.3">
      <c r="A713" s="222">
        <v>7430</v>
      </c>
      <c r="B713" s="221" t="s">
        <v>694</v>
      </c>
      <c r="C713" s="227" t="str">
        <f>AU86</f>
        <v>x</v>
      </c>
      <c r="D713" s="227">
        <f>(D616/D613)*AU91</f>
        <v>0</v>
      </c>
      <c r="E713" s="229">
        <f>(E624/E613)*SUM(C713:D713)</f>
        <v>0</v>
      </c>
      <c r="F713" s="229">
        <f>(F625/F613)*AU65</f>
        <v>0</v>
      </c>
      <c r="G713" s="227">
        <f>(G626/G613)*AU92</f>
        <v>0</v>
      </c>
      <c r="H713" s="229">
        <f>(H629/H613)*AU61</f>
        <v>0</v>
      </c>
      <c r="I713" s="227">
        <f>(I630/I613)*AU93</f>
        <v>0</v>
      </c>
      <c r="J713" s="227">
        <f>(J631/J613)*AU94</f>
        <v>0</v>
      </c>
      <c r="K713" s="227">
        <f>(K645/K613)*AU90</f>
        <v>0</v>
      </c>
      <c r="L713" s="227" t="e">
        <f>(L648/L613)*AU95</f>
        <v>#DIV/0!</v>
      </c>
      <c r="M713" s="211" t="e">
        <f t="shared" si="0"/>
        <v>#DIV/0!</v>
      </c>
      <c r="N713" s="221" t="s">
        <v>695</v>
      </c>
    </row>
    <row r="714" spans="1:14" s="211" customFormat="1" ht="12.65" customHeight="1" x14ac:dyDescent="0.3">
      <c r="A714" s="222">
        <v>7490</v>
      </c>
      <c r="B714" s="221" t="s">
        <v>696</v>
      </c>
      <c r="C714" s="227" t="str">
        <f>AV86</f>
        <v>x</v>
      </c>
      <c r="D714" s="227">
        <f>(D616/D613)*AV91</f>
        <v>0</v>
      </c>
      <c r="E714" s="229">
        <f>(E624/E613)*SUM(C714:D714)</f>
        <v>0</v>
      </c>
      <c r="F714" s="229">
        <f>(F625/F613)*AV65</f>
        <v>0</v>
      </c>
      <c r="G714" s="227">
        <f>(G626/G613)*AV92</f>
        <v>0</v>
      </c>
      <c r="H714" s="229">
        <f>(H629/H613)*AV61</f>
        <v>0</v>
      </c>
      <c r="I714" s="227">
        <f>(I630/I613)*AV93</f>
        <v>0</v>
      </c>
      <c r="J714" s="227">
        <f>(J631/J613)*AV94</f>
        <v>0</v>
      </c>
      <c r="K714" s="227">
        <f>(K645/K613)*AV90</f>
        <v>0</v>
      </c>
      <c r="L714" s="227" t="e">
        <f>(L648/L613)*AV95</f>
        <v>#DIV/0!</v>
      </c>
      <c r="M714" s="211" t="e">
        <f t="shared" si="0"/>
        <v>#DIV/0!</v>
      </c>
      <c r="N714" s="223" t="s">
        <v>697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-2958216</v>
      </c>
      <c r="D716" s="211">
        <f>SUM(D617:D648)+SUM(D669:D714)</f>
        <v>-2958215.9999999995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1" t="s">
        <v>698</v>
      </c>
    </row>
    <row r="717" spans="1:14" s="211" customFormat="1" ht="12.65" customHeight="1" x14ac:dyDescent="0.3">
      <c r="C717" s="224">
        <f>CE86</f>
        <v>0</v>
      </c>
      <c r="D717" s="211">
        <f>D616</f>
        <v>-2958216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-2958216</v>
      </c>
      <c r="N717" s="221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1B82-564A-4754-915B-BB29D6783FA8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1048</v>
      </c>
      <c r="B1" s="11" t="s">
        <v>1049</v>
      </c>
      <c r="C1" s="11" t="s">
        <v>1050</v>
      </c>
      <c r="D1" s="11" t="s">
        <v>1051</v>
      </c>
      <c r="E1" s="11" t="s">
        <v>1052</v>
      </c>
      <c r="F1" s="11" t="s">
        <v>1053</v>
      </c>
      <c r="G1" s="11" t="s">
        <v>1054</v>
      </c>
      <c r="H1" s="11" t="s">
        <v>1055</v>
      </c>
      <c r="I1" s="11" t="s">
        <v>1056</v>
      </c>
      <c r="J1" s="11" t="s">
        <v>1057</v>
      </c>
      <c r="K1" s="11" t="s">
        <v>1058</v>
      </c>
      <c r="L1" s="11" t="s">
        <v>1059</v>
      </c>
      <c r="M1" s="11" t="s">
        <v>1060</v>
      </c>
      <c r="N1" s="11" t="s">
        <v>1061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173</v>
      </c>
      <c r="C2" s="11" t="str">
        <f>SUBSTITUTE(LEFT(data!C98,49),",","")</f>
        <v>Arbor Health</v>
      </c>
      <c r="D2" s="11" t="str">
        <f>LEFT(data!C99, 49)</f>
        <v>PO Box 1138</v>
      </c>
      <c r="E2" s="11" t="str">
        <f>LEFT(data!C100, 100)</f>
        <v>Morton</v>
      </c>
      <c r="F2" s="11" t="str">
        <f>LEFT(data!C101, 2)</f>
        <v>WA</v>
      </c>
      <c r="G2" s="11" t="str">
        <f>LEFT(data!C102, 100)</f>
        <v>98356</v>
      </c>
      <c r="H2" s="11" t="str">
        <f>LEFT(data!C103, 100)</f>
        <v>Lewis</v>
      </c>
      <c r="I2" s="11" t="str">
        <f>LEFT(data!C104, 49)</f>
        <v>Robert Mach</v>
      </c>
      <c r="J2" s="11" t="str">
        <f>LEFT(data!C105, 49)</f>
        <v>Cheryl Cornwell</v>
      </c>
      <c r="K2" s="11" t="str">
        <f>LEFT(data!C107, 49)</f>
        <v>360-496-5112</v>
      </c>
      <c r="L2" s="11" t="str">
        <f>LEFT(data!C108, 49)</f>
        <v>360-496-3511</v>
      </c>
      <c r="M2" s="11" t="str">
        <f>LEFT(data!C109, 49)</f>
        <v>Clint Scogin</v>
      </c>
      <c r="N2" s="11" t="str">
        <f>LEFT(data!C110, 49)</f>
        <v>cscogin@myarborhealth.org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DAA4-0BF0-407E-9CFC-D92FBB80B7FE}">
  <sheetPr codeName="Sheet14"/>
  <dimension ref="A1:CF2"/>
  <sheetViews>
    <sheetView zoomScale="256" zoomScaleNormal="256" workbookViewId="0">
      <selection activeCell="AS2" sqref="AS2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1062</v>
      </c>
      <c r="B1" s="12" t="s">
        <v>1063</v>
      </c>
      <c r="C1" s="10" t="s">
        <v>1064</v>
      </c>
      <c r="D1" s="10" t="s">
        <v>1065</v>
      </c>
      <c r="E1" s="10" t="s">
        <v>1066</v>
      </c>
      <c r="F1" s="10" t="s">
        <v>1067</v>
      </c>
      <c r="G1" s="10" t="s">
        <v>1068</v>
      </c>
      <c r="H1" s="10" t="s">
        <v>1069</v>
      </c>
      <c r="I1" s="10" t="s">
        <v>1070</v>
      </c>
      <c r="J1" s="10" t="s">
        <v>1071</v>
      </c>
      <c r="K1" s="10" t="s">
        <v>1072</v>
      </c>
      <c r="L1" s="10" t="s">
        <v>1073</v>
      </c>
      <c r="M1" s="10" t="s">
        <v>1074</v>
      </c>
      <c r="N1" s="10" t="s">
        <v>1075</v>
      </c>
      <c r="O1" s="10" t="s">
        <v>1076</v>
      </c>
      <c r="P1" s="10" t="s">
        <v>1077</v>
      </c>
      <c r="Q1" s="10" t="s">
        <v>1078</v>
      </c>
      <c r="R1" s="10" t="s">
        <v>1079</v>
      </c>
      <c r="S1" s="10" t="s">
        <v>1080</v>
      </c>
      <c r="T1" s="10" t="s">
        <v>1081</v>
      </c>
      <c r="U1" s="10" t="s">
        <v>1082</v>
      </c>
      <c r="V1" s="10" t="s">
        <v>1083</v>
      </c>
      <c r="W1" s="10" t="s">
        <v>1084</v>
      </c>
      <c r="X1" s="10" t="s">
        <v>1085</v>
      </c>
      <c r="Y1" s="10" t="s">
        <v>1086</v>
      </c>
      <c r="Z1" s="10" t="s">
        <v>1087</v>
      </c>
      <c r="AA1" s="10" t="s">
        <v>1088</v>
      </c>
      <c r="AB1" s="10" t="s">
        <v>1089</v>
      </c>
      <c r="AC1" s="10" t="s">
        <v>1090</v>
      </c>
      <c r="AD1" s="10" t="s">
        <v>1091</v>
      </c>
      <c r="AE1" s="10" t="s">
        <v>1092</v>
      </c>
      <c r="AF1" s="10" t="s">
        <v>1093</v>
      </c>
      <c r="AG1" s="10" t="s">
        <v>1094</v>
      </c>
      <c r="AH1" s="10" t="s">
        <v>1095</v>
      </c>
      <c r="AI1" s="10" t="s">
        <v>1096</v>
      </c>
      <c r="AJ1" s="10" t="s">
        <v>1097</v>
      </c>
      <c r="AK1" s="10" t="s">
        <v>1098</v>
      </c>
      <c r="AL1" s="10" t="s">
        <v>1099</v>
      </c>
      <c r="AM1" s="10" t="s">
        <v>1100</v>
      </c>
      <c r="AN1" s="10" t="s">
        <v>1101</v>
      </c>
      <c r="AO1" s="10" t="s">
        <v>1102</v>
      </c>
      <c r="AP1" s="10" t="s">
        <v>1103</v>
      </c>
      <c r="AQ1" s="10" t="s">
        <v>1104</v>
      </c>
      <c r="AR1" s="10" t="s">
        <v>1105</v>
      </c>
      <c r="AS1" s="10" t="s">
        <v>1106</v>
      </c>
      <c r="AT1" s="10" t="s">
        <v>1107</v>
      </c>
      <c r="AU1" s="10" t="s">
        <v>1108</v>
      </c>
      <c r="AV1" s="10" t="s">
        <v>1109</v>
      </c>
      <c r="AW1" s="10" t="s">
        <v>1110</v>
      </c>
      <c r="AX1" s="10" t="s">
        <v>1111</v>
      </c>
      <c r="AY1" s="10" t="s">
        <v>1112</v>
      </c>
      <c r="AZ1" s="10" t="s">
        <v>1113</v>
      </c>
      <c r="BA1" s="10" t="s">
        <v>1114</v>
      </c>
      <c r="BB1" s="10" t="s">
        <v>1115</v>
      </c>
      <c r="BC1" s="10" t="s">
        <v>1116</v>
      </c>
      <c r="BD1" s="10" t="s">
        <v>1117</v>
      </c>
      <c r="BE1" s="10" t="s">
        <v>1118</v>
      </c>
      <c r="BF1" s="10" t="s">
        <v>1119</v>
      </c>
      <c r="BG1" s="10" t="s">
        <v>1120</v>
      </c>
      <c r="BH1" s="10" t="s">
        <v>1121</v>
      </c>
      <c r="BI1" s="10" t="s">
        <v>1122</v>
      </c>
      <c r="BJ1" s="10" t="s">
        <v>1123</v>
      </c>
      <c r="BK1" s="10" t="s">
        <v>1124</v>
      </c>
      <c r="BL1" s="10" t="s">
        <v>1125</v>
      </c>
      <c r="BM1" s="10" t="s">
        <v>1126</v>
      </c>
      <c r="BN1" s="10" t="s">
        <v>1127</v>
      </c>
      <c r="BO1" s="10" t="s">
        <v>1128</v>
      </c>
      <c r="BP1" s="10" t="s">
        <v>1129</v>
      </c>
      <c r="BQ1" s="10" t="s">
        <v>1130</v>
      </c>
      <c r="BR1" s="10" t="s">
        <v>1131</v>
      </c>
      <c r="BS1" s="10" t="s">
        <v>1132</v>
      </c>
      <c r="BT1" s="10" t="s">
        <v>1133</v>
      </c>
      <c r="BU1" s="10" t="s">
        <v>1134</v>
      </c>
      <c r="BV1" s="10" t="s">
        <v>1135</v>
      </c>
      <c r="BW1" s="10" t="s">
        <v>1136</v>
      </c>
      <c r="BX1" s="10" t="s">
        <v>1137</v>
      </c>
      <c r="BY1" s="10" t="s">
        <v>1138</v>
      </c>
      <c r="BZ1" s="10" t="s">
        <v>1139</v>
      </c>
      <c r="CA1" s="10" t="s">
        <v>1140</v>
      </c>
      <c r="CB1" s="10" t="s">
        <v>1141</v>
      </c>
      <c r="CC1" s="10" t="s">
        <v>1142</v>
      </c>
      <c r="CD1" s="10" t="s">
        <v>1143</v>
      </c>
      <c r="CE1" s="10" t="s">
        <v>1144</v>
      </c>
      <c r="CF1" s="10" t="s">
        <v>1145</v>
      </c>
    </row>
    <row r="2" spans="1:84" s="178" customFormat="1" ht="12.65" customHeight="1" x14ac:dyDescent="0.35">
      <c r="A2" s="12" t="str">
        <f>RIGHT(data!C97,3)</f>
        <v>173</v>
      </c>
      <c r="B2" s="209" t="str">
        <f>RIGHT(data!C96,4)</f>
        <v>2023</v>
      </c>
      <c r="C2" s="12" t="s">
        <v>1146</v>
      </c>
      <c r="D2" s="208">
        <f>ROUND(N(data!C181),0)</f>
        <v>1166254</v>
      </c>
      <c r="E2" s="208">
        <f>ROUND(N(data!C182),0)</f>
        <v>32647</v>
      </c>
      <c r="F2" s="208">
        <f>ROUND(N(data!C183),0)</f>
        <v>217754</v>
      </c>
      <c r="G2" s="208">
        <f>ROUND(N(data!C184),0)</f>
        <v>2108072</v>
      </c>
      <c r="H2" s="208">
        <f>ROUND(N(data!C185),0)</f>
        <v>123806</v>
      </c>
      <c r="I2" s="208">
        <f>ROUND(N(data!C186),0)</f>
        <v>592546</v>
      </c>
      <c r="J2" s="208">
        <f>ROUND(N(data!C187)+N(data!C188),0)</f>
        <v>211809</v>
      </c>
      <c r="K2" s="208">
        <f>ROUND(N(data!C191),0)</f>
        <v>0</v>
      </c>
      <c r="L2" s="208">
        <f>ROUND(N(data!C192),0)</f>
        <v>56598</v>
      </c>
      <c r="M2" s="208">
        <f>ROUND(N(data!C195),0)</f>
        <v>156901</v>
      </c>
      <c r="N2" s="208">
        <f>ROUND(N(data!C196),0)</f>
        <v>213503</v>
      </c>
      <c r="O2" s="208">
        <f>ROUND(N(data!C199),0)</f>
        <v>28845</v>
      </c>
      <c r="P2" s="208">
        <f>ROUND(N(data!C200),0)</f>
        <v>304204</v>
      </c>
      <c r="Q2" s="208">
        <f>ROUND(N(data!C201),0)</f>
        <v>29859</v>
      </c>
      <c r="R2" s="208">
        <f>ROUND(N(data!C204),0)</f>
        <v>0</v>
      </c>
      <c r="S2" s="208">
        <f>ROUND(N(data!C205),0)</f>
        <v>385929</v>
      </c>
      <c r="T2" s="208">
        <f>ROUND(N(data!B211),0)</f>
        <v>998600</v>
      </c>
      <c r="U2" s="208">
        <f>ROUND(N(data!C211),0)</f>
        <v>0</v>
      </c>
      <c r="V2" s="208">
        <f>ROUND(N(data!D211),0)</f>
        <v>45851</v>
      </c>
      <c r="W2" s="208">
        <f>ROUND(N(data!B212),0)</f>
        <v>1426739</v>
      </c>
      <c r="X2" s="208">
        <f>ROUND(N(data!C212),0)</f>
        <v>0</v>
      </c>
      <c r="Y2" s="208">
        <f>ROUND(N(data!D212),0)</f>
        <v>0</v>
      </c>
      <c r="Z2" s="208">
        <f>ROUND(N(data!B213),0)</f>
        <v>16156743</v>
      </c>
      <c r="AA2" s="208">
        <f>ROUND(N(data!C213),0)</f>
        <v>0</v>
      </c>
      <c r="AB2" s="208">
        <f>ROUND(N(data!D213),0)</f>
        <v>96960</v>
      </c>
      <c r="AC2" s="208">
        <f>ROUND(N(data!B214),0)</f>
        <v>4598667</v>
      </c>
      <c r="AD2" s="208">
        <f>ROUND(N(data!C214),0)</f>
        <v>490352</v>
      </c>
      <c r="AE2" s="208">
        <f>ROUND(N(data!D214),0)</f>
        <v>0</v>
      </c>
      <c r="AF2" s="208">
        <f>ROUND(N(data!B215),0)</f>
        <v>2716640</v>
      </c>
      <c r="AG2" s="208">
        <f>ROUND(N(data!C215),0)</f>
        <v>0</v>
      </c>
      <c r="AH2" s="208">
        <f>ROUND(N(data!D215),0)</f>
        <v>4689</v>
      </c>
      <c r="AI2" s="208">
        <f>ROUND(N(data!B216),0)</f>
        <v>9066472</v>
      </c>
      <c r="AJ2" s="208">
        <f>ROUND(N(data!C216),0)</f>
        <v>0</v>
      </c>
      <c r="AK2" s="208">
        <f>ROUND(N(data!D216),0)</f>
        <v>79898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0</v>
      </c>
      <c r="AS2" s="208">
        <f>ROUND(N(data!C219),0)</f>
        <v>0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1203372</v>
      </c>
      <c r="AY2" s="208">
        <f>ROUND(N(data!C225),0)</f>
        <v>41617</v>
      </c>
      <c r="AZ2" s="208">
        <f>ROUND(N(data!D225),0)</f>
        <v>0</v>
      </c>
      <c r="BA2" s="208">
        <f>ROUND(N(data!B226),0)</f>
        <v>12529066</v>
      </c>
      <c r="BB2" s="208">
        <f>ROUND(N(data!C226),0)</f>
        <v>401827</v>
      </c>
      <c r="BC2" s="208">
        <f>ROUND(N(data!D226),0)</f>
        <v>0</v>
      </c>
      <c r="BD2" s="208">
        <f>ROUND(N(data!B227),0)</f>
        <v>1130654</v>
      </c>
      <c r="BE2" s="208">
        <f>ROUND(N(data!C227),0)</f>
        <v>150551</v>
      </c>
      <c r="BF2" s="208">
        <f>ROUND(N(data!D227),0)</f>
        <v>0</v>
      </c>
      <c r="BG2" s="208">
        <f>ROUND(N(data!B228),0)</f>
        <v>1989442</v>
      </c>
      <c r="BH2" s="208">
        <f>ROUND(N(data!C228),0)</f>
        <v>72132</v>
      </c>
      <c r="BI2" s="208">
        <f>ROUND(N(data!D228),0)</f>
        <v>0</v>
      </c>
      <c r="BJ2" s="208">
        <f>ROUND(N(data!B229),0)</f>
        <v>7638528</v>
      </c>
      <c r="BK2" s="208">
        <f>ROUND(N(data!C229),0)</f>
        <v>226139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11325102</v>
      </c>
      <c r="BW2" s="208">
        <f>ROUND(N(data!C240),0)</f>
        <v>5108911</v>
      </c>
      <c r="BX2" s="208">
        <f>ROUND(N(data!C241),0)</f>
        <v>262374</v>
      </c>
      <c r="BY2" s="208">
        <f>ROUND(N(data!C242),0)</f>
        <v>96747</v>
      </c>
      <c r="BZ2" s="208">
        <f>ROUND(N(data!C243),0)</f>
        <v>1237</v>
      </c>
      <c r="CA2" s="208">
        <f>ROUND(N(data!C244),0)</f>
        <v>4045364</v>
      </c>
      <c r="CB2" s="208">
        <f>ROUND(N(data!C247),0)</f>
        <v>0</v>
      </c>
      <c r="CC2" s="208">
        <f>ROUND(N(data!C249),0)</f>
        <v>0</v>
      </c>
      <c r="CD2" s="208">
        <f>ROUND(N(data!C250),0)</f>
        <v>726374</v>
      </c>
      <c r="CE2" s="208">
        <f>ROUND(N(data!C254)+N(data!C255),0)</f>
        <v>482454</v>
      </c>
      <c r="CF2" s="208">
        <f>ROUND(N(data!D237),0)</f>
        <v>922831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C1CC-5D09-4ACC-A9FB-35D1A36200A6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1147</v>
      </c>
      <c r="B1" s="12" t="s">
        <v>1148</v>
      </c>
      <c r="C1" s="12" t="s">
        <v>1149</v>
      </c>
      <c r="D1" s="10" t="s">
        <v>1150</v>
      </c>
      <c r="E1" s="10" t="s">
        <v>1151</v>
      </c>
      <c r="F1" s="10" t="s">
        <v>1152</v>
      </c>
      <c r="G1" s="10" t="s">
        <v>1153</v>
      </c>
      <c r="H1" s="10" t="s">
        <v>1154</v>
      </c>
      <c r="I1" s="10" t="s">
        <v>1155</v>
      </c>
      <c r="J1" s="10" t="s">
        <v>1156</v>
      </c>
      <c r="K1" s="10" t="s">
        <v>1157</v>
      </c>
      <c r="L1" s="10" t="s">
        <v>1158</v>
      </c>
      <c r="M1" s="10" t="s">
        <v>1159</v>
      </c>
      <c r="N1" s="10" t="s">
        <v>1160</v>
      </c>
      <c r="O1" s="10" t="s">
        <v>1161</v>
      </c>
      <c r="P1" s="10" t="s">
        <v>1162</v>
      </c>
      <c r="Q1" s="10" t="s">
        <v>1163</v>
      </c>
      <c r="R1" s="10" t="s">
        <v>1164</v>
      </c>
      <c r="S1" s="10" t="s">
        <v>1165</v>
      </c>
      <c r="T1" s="10" t="s">
        <v>1166</v>
      </c>
      <c r="U1" s="10" t="s">
        <v>1167</v>
      </c>
      <c r="V1" s="10" t="s">
        <v>1168</v>
      </c>
      <c r="W1" s="10" t="s">
        <v>1169</v>
      </c>
      <c r="X1" s="10" t="s">
        <v>1170</v>
      </c>
      <c r="Y1" s="10" t="s">
        <v>1171</v>
      </c>
      <c r="Z1" s="10" t="s">
        <v>1172</v>
      </c>
      <c r="AA1" s="10" t="s">
        <v>1173</v>
      </c>
      <c r="AB1" s="10" t="s">
        <v>1174</v>
      </c>
      <c r="AC1" s="10" t="s">
        <v>1175</v>
      </c>
      <c r="AD1" s="10" t="s">
        <v>1176</v>
      </c>
      <c r="AE1" s="10" t="s">
        <v>1177</v>
      </c>
      <c r="AF1" s="10" t="s">
        <v>1178</v>
      </c>
      <c r="AG1" s="10" t="s">
        <v>1179</v>
      </c>
      <c r="AH1" s="10" t="s">
        <v>1180</v>
      </c>
      <c r="AI1" s="10" t="s">
        <v>1181</v>
      </c>
      <c r="AJ1" s="10" t="s">
        <v>1182</v>
      </c>
      <c r="AK1" s="10" t="s">
        <v>1183</v>
      </c>
      <c r="AL1" s="10" t="s">
        <v>1184</v>
      </c>
      <c r="AM1" s="10" t="s">
        <v>1185</v>
      </c>
      <c r="AN1" s="10" t="s">
        <v>1186</v>
      </c>
      <c r="AO1" s="10" t="s">
        <v>1187</v>
      </c>
      <c r="AP1" s="10" t="s">
        <v>1188</v>
      </c>
      <c r="AQ1" s="10" t="s">
        <v>1189</v>
      </c>
      <c r="AR1" s="10" t="s">
        <v>1190</v>
      </c>
      <c r="AS1" s="10" t="s">
        <v>1191</v>
      </c>
      <c r="AT1" s="10" t="s">
        <v>1192</v>
      </c>
      <c r="AU1" s="10" t="s">
        <v>1193</v>
      </c>
      <c r="AV1" s="10" t="s">
        <v>1194</v>
      </c>
      <c r="AW1" s="10" t="s">
        <v>1195</v>
      </c>
      <c r="AX1" s="10" t="s">
        <v>1196</v>
      </c>
      <c r="AY1" s="10" t="s">
        <v>1197</v>
      </c>
      <c r="AZ1" s="10" t="s">
        <v>1198</v>
      </c>
      <c r="BA1" s="10" t="s">
        <v>1199</v>
      </c>
      <c r="BB1" s="10" t="s">
        <v>1200</v>
      </c>
      <c r="BC1" s="10" t="s">
        <v>1201</v>
      </c>
      <c r="BD1" s="10" t="s">
        <v>1202</v>
      </c>
      <c r="BE1" s="10" t="s">
        <v>1203</v>
      </c>
      <c r="BF1" s="10" t="s">
        <v>1204</v>
      </c>
      <c r="BG1" s="10" t="s">
        <v>1205</v>
      </c>
      <c r="BH1" s="10" t="s">
        <v>1206</v>
      </c>
      <c r="BI1" s="10" t="s">
        <v>1207</v>
      </c>
      <c r="BJ1" s="10" t="s">
        <v>1208</v>
      </c>
      <c r="BK1" s="10" t="s">
        <v>1209</v>
      </c>
      <c r="BL1" s="10" t="s">
        <v>1210</v>
      </c>
      <c r="BM1" s="10" t="s">
        <v>1211</v>
      </c>
      <c r="BN1" s="10" t="s">
        <v>1212</v>
      </c>
      <c r="BO1" s="10" t="s">
        <v>1213</v>
      </c>
      <c r="BP1" s="10" t="s">
        <v>1214</v>
      </c>
      <c r="BQ1" s="10" t="s">
        <v>1215</v>
      </c>
      <c r="BR1" s="10" t="s">
        <v>1216</v>
      </c>
      <c r="BS1" s="10" t="s">
        <v>1217</v>
      </c>
    </row>
    <row r="2" spans="1:87" s="178" customFormat="1" ht="12.65" customHeight="1" x14ac:dyDescent="0.35">
      <c r="A2" s="12" t="str">
        <f>RIGHT(data!C97,3)</f>
        <v>173</v>
      </c>
      <c r="B2" s="12" t="str">
        <f>RIGHT(data!C96,4)</f>
        <v>2023</v>
      </c>
      <c r="C2" s="12" t="s">
        <v>1146</v>
      </c>
      <c r="D2" s="207">
        <f>ROUND(N(data!C127),0)</f>
        <v>119</v>
      </c>
      <c r="E2" s="207">
        <f>ROUND(N(data!C128),0)</f>
        <v>71</v>
      </c>
      <c r="F2" s="207">
        <f>ROUND(N(data!C129),0)</f>
        <v>0</v>
      </c>
      <c r="G2" s="207">
        <f>ROUND(N(data!C130),0)</f>
        <v>0</v>
      </c>
      <c r="H2" s="207">
        <f>ROUND(N(data!D127),0)</f>
        <v>503</v>
      </c>
      <c r="I2" s="207">
        <f>ROUND(N(data!D128),0)</f>
        <v>902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10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15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144</v>
      </c>
      <c r="Z2" s="207">
        <f>ROUND(N(data!B155),0)</f>
        <v>1068</v>
      </c>
      <c r="AA2" s="207">
        <f>ROUND(N(data!B156),0)</f>
        <v>15323</v>
      </c>
      <c r="AB2" s="207">
        <f>ROUND(N(data!B157),0)</f>
        <v>4412733</v>
      </c>
      <c r="AC2" s="207">
        <f>ROUND(N(data!B158),0)</f>
        <v>24046564</v>
      </c>
      <c r="AD2" s="207">
        <f>ROUND(N(data!C154),0)</f>
        <v>15</v>
      </c>
      <c r="AE2" s="207">
        <f>ROUND(N(data!C155),0)</f>
        <v>112</v>
      </c>
      <c r="AF2" s="207">
        <f>ROUND(N(data!C156),0)</f>
        <v>1613</v>
      </c>
      <c r="AG2" s="207">
        <f>ROUND(N(data!C157),0)</f>
        <v>1604630</v>
      </c>
      <c r="AH2" s="207">
        <f>ROUND(N(data!C158),0)</f>
        <v>8744205</v>
      </c>
      <c r="AI2" s="207">
        <f>ROUND(N(data!D154),0)</f>
        <v>31</v>
      </c>
      <c r="AJ2" s="207">
        <f>ROUND(N(data!D155),0)</f>
        <v>225</v>
      </c>
      <c r="AK2" s="207">
        <f>ROUND(N(data!D156),0)</f>
        <v>3226</v>
      </c>
      <c r="AL2" s="207">
        <f>ROUND(N(data!D157),0)</f>
        <v>2005788</v>
      </c>
      <c r="AM2" s="207">
        <f>ROUND(N(data!D158),0)</f>
        <v>10930257</v>
      </c>
      <c r="AN2" s="207">
        <f>ROUND(N(data!B160),0)</f>
        <v>64</v>
      </c>
      <c r="AO2" s="207">
        <f>ROUND(N(data!B161),0)</f>
        <v>846</v>
      </c>
      <c r="AP2" s="207">
        <f>ROUND(N(data!B162),0)</f>
        <v>0</v>
      </c>
      <c r="AQ2" s="207">
        <f>ROUND(N(data!B163),0)</f>
        <v>3739717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7</v>
      </c>
      <c r="AY2" s="207">
        <f>ROUND(N(data!D161),0)</f>
        <v>56</v>
      </c>
      <c r="AZ2" s="207">
        <f>ROUND(N(data!D162),0)</f>
        <v>0</v>
      </c>
      <c r="BA2" s="207">
        <f>ROUND(N(data!D163),0)</f>
        <v>77657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1848632</v>
      </c>
      <c r="BS2" s="207">
        <f>ROUND(N(data!C173),0)</f>
        <v>2213655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418A-71A2-4D54-9615-6D32719DCEE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1218</v>
      </c>
      <c r="B1" s="12" t="s">
        <v>1219</v>
      </c>
      <c r="C1" s="12" t="s">
        <v>1220</v>
      </c>
      <c r="D1" s="10" t="s">
        <v>1221</v>
      </c>
      <c r="E1" s="10" t="s">
        <v>1222</v>
      </c>
      <c r="F1" s="10" t="s">
        <v>1223</v>
      </c>
      <c r="G1" s="10" t="s">
        <v>1224</v>
      </c>
      <c r="H1" s="10" t="s">
        <v>1225</v>
      </c>
      <c r="I1" s="10" t="s">
        <v>1226</v>
      </c>
      <c r="J1" s="10" t="s">
        <v>1227</v>
      </c>
      <c r="K1" s="10" t="s">
        <v>1228</v>
      </c>
      <c r="L1" s="10" t="s">
        <v>1229</v>
      </c>
      <c r="M1" s="10" t="s">
        <v>1230</v>
      </c>
      <c r="N1" s="10" t="s">
        <v>1231</v>
      </c>
      <c r="O1" s="10" t="s">
        <v>1232</v>
      </c>
      <c r="P1" s="10" t="s">
        <v>1233</v>
      </c>
      <c r="Q1" s="10" t="s">
        <v>1234</v>
      </c>
      <c r="R1" s="10" t="s">
        <v>1235</v>
      </c>
      <c r="S1" s="10" t="s">
        <v>1236</v>
      </c>
      <c r="T1" s="10" t="s">
        <v>1237</v>
      </c>
      <c r="U1" s="10" t="s">
        <v>1238</v>
      </c>
      <c r="V1" s="10" t="s">
        <v>1239</v>
      </c>
      <c r="W1" s="10" t="s">
        <v>1240</v>
      </c>
      <c r="X1" s="10" t="s">
        <v>1241</v>
      </c>
      <c r="Y1" s="10" t="s">
        <v>1242</v>
      </c>
      <c r="Z1" s="10" t="s">
        <v>1243</v>
      </c>
      <c r="AA1" s="10" t="s">
        <v>1244</v>
      </c>
      <c r="AB1" s="10" t="s">
        <v>1245</v>
      </c>
      <c r="AC1" s="10" t="s">
        <v>1246</v>
      </c>
      <c r="AD1" s="10" t="s">
        <v>1247</v>
      </c>
      <c r="AE1" s="10" t="s">
        <v>1248</v>
      </c>
      <c r="AF1" s="10" t="s">
        <v>1249</v>
      </c>
      <c r="AG1" s="10" t="s">
        <v>1250</v>
      </c>
      <c r="AH1" s="10" t="s">
        <v>1251</v>
      </c>
      <c r="AI1" s="10" t="s">
        <v>1252</v>
      </c>
      <c r="AJ1" s="10" t="s">
        <v>1253</v>
      </c>
      <c r="AK1" s="10" t="s">
        <v>1254</v>
      </c>
      <c r="AL1" s="10" t="s">
        <v>1255</v>
      </c>
      <c r="AM1" s="10" t="s">
        <v>1256</v>
      </c>
      <c r="AN1" s="10" t="s">
        <v>1257</v>
      </c>
      <c r="AO1" s="10" t="s">
        <v>1258</v>
      </c>
      <c r="AP1" s="10" t="s">
        <v>1259</v>
      </c>
      <c r="AQ1" s="10" t="s">
        <v>1260</v>
      </c>
      <c r="AR1" s="10" t="s">
        <v>1261</v>
      </c>
      <c r="AS1" s="10" t="s">
        <v>1262</v>
      </c>
      <c r="AT1" s="10" t="s">
        <v>1263</v>
      </c>
      <c r="AU1" s="10" t="s">
        <v>1264</v>
      </c>
      <c r="AV1" s="10" t="s">
        <v>1265</v>
      </c>
      <c r="AW1" s="10" t="s">
        <v>1266</v>
      </c>
      <c r="AX1" s="10" t="s">
        <v>1267</v>
      </c>
      <c r="AY1" s="10" t="s">
        <v>1268</v>
      </c>
      <c r="AZ1" s="10" t="s">
        <v>1269</v>
      </c>
      <c r="BA1" s="10" t="s">
        <v>1270</v>
      </c>
      <c r="BB1" s="10" t="s">
        <v>1271</v>
      </c>
      <c r="BC1" s="10" t="s">
        <v>1272</v>
      </c>
      <c r="BD1" s="10" t="s">
        <v>1273</v>
      </c>
      <c r="BE1" s="10" t="s">
        <v>1274</v>
      </c>
      <c r="BF1" s="10" t="s">
        <v>1275</v>
      </c>
      <c r="BG1" s="10" t="s">
        <v>1276</v>
      </c>
      <c r="BH1" s="10" t="s">
        <v>1277</v>
      </c>
      <c r="BI1" s="10" t="s">
        <v>1278</v>
      </c>
      <c r="BJ1" s="10" t="s">
        <v>1279</v>
      </c>
      <c r="BK1" s="10" t="s">
        <v>1280</v>
      </c>
      <c r="BL1" s="10" t="s">
        <v>1281</v>
      </c>
      <c r="BM1" s="10" t="s">
        <v>1282</v>
      </c>
      <c r="BN1" s="10" t="s">
        <v>1283</v>
      </c>
      <c r="BO1" s="10" t="s">
        <v>1284</v>
      </c>
      <c r="BP1" s="10" t="s">
        <v>1285</v>
      </c>
      <c r="BQ1" s="10" t="s">
        <v>1286</v>
      </c>
      <c r="BR1" s="10" t="s">
        <v>1287</v>
      </c>
      <c r="BS1" s="10" t="s">
        <v>1288</v>
      </c>
      <c r="BT1" s="10" t="s">
        <v>1289</v>
      </c>
      <c r="BU1" s="10" t="s">
        <v>1290</v>
      </c>
      <c r="BV1" s="10" t="s">
        <v>1291</v>
      </c>
      <c r="BW1" s="10" t="s">
        <v>1292</v>
      </c>
      <c r="BX1" s="10" t="s">
        <v>1293</v>
      </c>
      <c r="BY1" s="10" t="s">
        <v>1294</v>
      </c>
      <c r="BZ1" s="10" t="s">
        <v>1295</v>
      </c>
      <c r="CA1" s="10" t="s">
        <v>1296</v>
      </c>
      <c r="CB1" s="10" t="s">
        <v>1297</v>
      </c>
      <c r="CC1" s="10" t="s">
        <v>1298</v>
      </c>
      <c r="CD1" s="10" t="s">
        <v>1299</v>
      </c>
      <c r="CE1" s="10" t="s">
        <v>1300</v>
      </c>
      <c r="CF1" s="10" t="s">
        <v>1301</v>
      </c>
      <c r="CG1" s="10" t="s">
        <v>1302</v>
      </c>
      <c r="CH1" s="10" t="s">
        <v>1303</v>
      </c>
      <c r="CI1" s="10" t="s">
        <v>1304</v>
      </c>
      <c r="CJ1" s="10" t="s">
        <v>1305</v>
      </c>
      <c r="CK1" s="10" t="s">
        <v>1306</v>
      </c>
      <c r="CL1" s="10" t="s">
        <v>1307</v>
      </c>
      <c r="CM1" s="10" t="s">
        <v>1308</v>
      </c>
      <c r="CN1" s="10" t="s">
        <v>1309</v>
      </c>
      <c r="CO1" s="10" t="s">
        <v>1310</v>
      </c>
      <c r="CP1" s="10" t="s">
        <v>1311</v>
      </c>
      <c r="CQ1" s="206" t="s">
        <v>1312</v>
      </c>
      <c r="CR1" s="206" t="s">
        <v>1313</v>
      </c>
      <c r="CS1" s="206" t="s">
        <v>1314</v>
      </c>
      <c r="CT1" s="206" t="s">
        <v>1315</v>
      </c>
      <c r="CU1" s="206" t="s">
        <v>1316</v>
      </c>
      <c r="CV1" s="206" t="s">
        <v>1317</v>
      </c>
      <c r="CW1" s="206" t="s">
        <v>1318</v>
      </c>
      <c r="CX1" s="206" t="s">
        <v>1319</v>
      </c>
      <c r="CY1" s="206" t="s">
        <v>1320</v>
      </c>
      <c r="CZ1" s="206" t="s">
        <v>1321</v>
      </c>
      <c r="DA1" s="206" t="s">
        <v>1322</v>
      </c>
      <c r="DB1" s="206" t="s">
        <v>1323</v>
      </c>
      <c r="DC1" s="206" t="s">
        <v>1324</v>
      </c>
      <c r="DD1" s="206" t="s">
        <v>1325</v>
      </c>
      <c r="DE1" s="10" t="s">
        <v>1326</v>
      </c>
      <c r="DF1" s="10" t="s">
        <v>1327</v>
      </c>
      <c r="DG1" s="10" t="s">
        <v>1328</v>
      </c>
      <c r="DH1" s="10" t="s">
        <v>1329</v>
      </c>
    </row>
    <row r="2" spans="1:112" s="178" customFormat="1" ht="12.65" customHeight="1" x14ac:dyDescent="0.35">
      <c r="A2" s="208" t="str">
        <f>RIGHT(data!C97,3)</f>
        <v>173</v>
      </c>
      <c r="B2" s="209" t="str">
        <f>RIGHT(data!C96,4)</f>
        <v>2023</v>
      </c>
      <c r="C2" s="12" t="s">
        <v>1146</v>
      </c>
      <c r="D2" s="207">
        <f>ROUND(N(data!C181),0)</f>
        <v>1166254</v>
      </c>
      <c r="E2" s="207">
        <f>ROUND(N(data!C267),0)</f>
        <v>0</v>
      </c>
      <c r="F2" s="207">
        <f>ROUND(N(data!C268),0)</f>
        <v>8651402</v>
      </c>
      <c r="G2" s="207">
        <f>ROUND(N(data!C269),0)</f>
        <v>4503473</v>
      </c>
      <c r="H2" s="207">
        <f>ROUND(N(data!C270),0)</f>
        <v>263159</v>
      </c>
      <c r="I2" s="207">
        <f>ROUND(N(data!C271),0)</f>
        <v>103655</v>
      </c>
      <c r="J2" s="207">
        <f>ROUND(N(data!C272),0)</f>
        <v>0</v>
      </c>
      <c r="K2" s="207">
        <f>ROUND(N(data!C273),0)</f>
        <v>241343</v>
      </c>
      <c r="L2" s="207">
        <f>ROUND(N(data!C274),0)</f>
        <v>430473</v>
      </c>
      <c r="M2" s="207">
        <f>ROUND(N(data!C275),0)</f>
        <v>0</v>
      </c>
      <c r="N2" s="207">
        <f>ROUND(N(data!C278),0)</f>
        <v>1862265</v>
      </c>
      <c r="O2" s="207">
        <f>ROUND(N(data!C279),0)</f>
        <v>0</v>
      </c>
      <c r="P2" s="207">
        <f>ROUND(N(data!C280),0)</f>
        <v>0</v>
      </c>
      <c r="Q2" s="207">
        <f>ROUND(N(data!C283),0)</f>
        <v>952749</v>
      </c>
      <c r="R2" s="207">
        <f>ROUND(N(data!C284),0)</f>
        <v>1426739</v>
      </c>
      <c r="S2" s="207">
        <f>ROUND(N(data!C285),0)</f>
        <v>16059783</v>
      </c>
      <c r="T2" s="207">
        <f>ROUND(N(data!C286),0)</f>
        <v>5089019</v>
      </c>
      <c r="U2" s="207">
        <f>ROUND(N(data!C287),0)</f>
        <v>2711951</v>
      </c>
      <c r="V2" s="207">
        <f>ROUND(N(data!C288),0)</f>
        <v>8986573</v>
      </c>
      <c r="W2" s="207">
        <f>ROUND(N(data!C289),0)</f>
        <v>0</v>
      </c>
      <c r="X2" s="207">
        <f>ROUND(N(data!C290),0)</f>
        <v>0</v>
      </c>
      <c r="Y2" s="207">
        <f>ROUND(N(data!C291),0)</f>
        <v>0</v>
      </c>
      <c r="Z2" s="207">
        <f>ROUND(N(data!C292),0)</f>
        <v>25383328</v>
      </c>
      <c r="AA2" s="207">
        <f>ROUND(N(data!C295),0)</f>
        <v>1069331</v>
      </c>
      <c r="AB2" s="207">
        <f>ROUND(N(data!C296),0)</f>
        <v>552880</v>
      </c>
      <c r="AC2" s="207">
        <f>ROUND(N(data!C297),0)</f>
        <v>0</v>
      </c>
      <c r="AD2" s="207">
        <f>ROUND(N(data!C298),0)</f>
        <v>2000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913503</v>
      </c>
      <c r="AK2" s="207">
        <f>ROUND(N(data!C316),0)</f>
        <v>2106366</v>
      </c>
      <c r="AL2" s="207">
        <f>ROUND(N(data!C317),0)</f>
        <v>0</v>
      </c>
      <c r="AM2" s="207">
        <f>ROUND(N(data!C318),0)</f>
        <v>0</v>
      </c>
      <c r="AN2" s="207">
        <f>ROUND(N(data!C319),0)</f>
        <v>68817</v>
      </c>
      <c r="AO2" s="207">
        <f>ROUND(N(data!C320),0)</f>
        <v>0</v>
      </c>
      <c r="AP2" s="207">
        <f>ROUND(N(data!C321),0)</f>
        <v>0</v>
      </c>
      <c r="AQ2" s="207">
        <f>ROUND(N(data!C322),0)</f>
        <v>3855</v>
      </c>
      <c r="AR2" s="207">
        <f>ROUND(N(data!C323),0)</f>
        <v>885881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776436</v>
      </c>
      <c r="AY2" s="207">
        <f>ROUND(N(data!C334),0)</f>
        <v>279212</v>
      </c>
      <c r="AZ2" s="207">
        <f>ROUND(N(data!C335),0)</f>
        <v>5309993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11743177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205</v>
      </c>
      <c r="BL2" s="207">
        <f>ROUND(N(data!C358),0)</f>
        <v>8042273</v>
      </c>
      <c r="BM2" s="207">
        <f>ROUND(N(data!C359),0)</f>
        <v>50037413</v>
      </c>
      <c r="BN2" s="207">
        <f>ROUND(N(data!C363),0)</f>
        <v>20839735</v>
      </c>
      <c r="BO2" s="207">
        <f>ROUND(N(data!C364),0)</f>
        <v>726374</v>
      </c>
      <c r="BP2" s="207">
        <f>ROUND(N(data!C365),0)</f>
        <v>482454</v>
      </c>
      <c r="BQ2" s="207">
        <f>ROUND(N(data!D381),0)</f>
        <v>1062531</v>
      </c>
      <c r="BR2" s="207">
        <f>ROUND(N(data!C370),0)</f>
        <v>0</v>
      </c>
      <c r="BS2" s="207">
        <f>ROUND(N(data!C371),0)</f>
        <v>52872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422418</v>
      </c>
      <c r="BY2" s="207">
        <f>ROUND(N(data!C377),0)</f>
        <v>0</v>
      </c>
      <c r="BZ2" s="207">
        <f>ROUND(N(data!C378),0)</f>
        <v>0</v>
      </c>
      <c r="CA2" s="207">
        <f>ROUND(N(data!C379),0)</f>
        <v>102095</v>
      </c>
      <c r="CB2" s="207">
        <f>ROUND(N(data!C380),0)</f>
        <v>485146</v>
      </c>
      <c r="CC2" s="207">
        <f>ROUND(N(data!C382),0)</f>
        <v>1043944</v>
      </c>
      <c r="CD2" s="207">
        <f>ROUND(N(data!C389),0)</f>
        <v>22446603</v>
      </c>
      <c r="CE2" s="207">
        <f>ROUND(N(data!C390),0)</f>
        <v>4452888</v>
      </c>
      <c r="CF2" s="207">
        <f>ROUND(N(data!C391),0)</f>
        <v>1453059</v>
      </c>
      <c r="CG2" s="207">
        <f>ROUND(N(data!C392),0)</f>
        <v>3068894</v>
      </c>
      <c r="CH2" s="207">
        <f>ROUND(N(data!C393),0)</f>
        <v>509276</v>
      </c>
      <c r="CI2" s="207">
        <f>ROUND(N(data!C394),0)</f>
        <v>4342970</v>
      </c>
      <c r="CJ2" s="207">
        <f>ROUND(N(data!C395),0)</f>
        <v>1499968</v>
      </c>
      <c r="CK2" s="207">
        <f>ROUND(N(data!C396),0)</f>
        <v>0</v>
      </c>
      <c r="CL2" s="207">
        <f>ROUND(N(data!C397),0)</f>
        <v>370404</v>
      </c>
      <c r="CM2" s="207">
        <f>ROUND(N(data!C398),0)</f>
        <v>0</v>
      </c>
      <c r="CN2" s="207">
        <f>ROUND(N(data!C399),0)</f>
        <v>385929</v>
      </c>
      <c r="CO2" s="207">
        <f>ROUND(N(data!C362),0)</f>
        <v>922831</v>
      </c>
      <c r="CP2" s="207">
        <f>ROUND(N(data!D415),0)</f>
        <v>697979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196279</v>
      </c>
      <c r="DA2" s="61">
        <f>ROUND(N(data!C411),0)</f>
        <v>0</v>
      </c>
      <c r="DB2" s="61">
        <f>ROUND(N(data!C412),0)</f>
        <v>362908</v>
      </c>
      <c r="DC2" s="61">
        <f>ROUND(N(data!C413),0)</f>
        <v>0</v>
      </c>
      <c r="DD2" s="61">
        <f>ROUND(N(data!C414),0)</f>
        <v>138792</v>
      </c>
      <c r="DE2" s="61">
        <f>ROUND(N(data!C419),0)</f>
        <v>0</v>
      </c>
      <c r="DF2" s="207">
        <f>ROUND(N(data!D420),0)</f>
        <v>521091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5997-20C1-41AE-BFA5-0E4EEF65C841}">
  <sheetPr codeName="Sheet17"/>
  <dimension ref="A1:CK80"/>
  <sheetViews>
    <sheetView workbookViewId="0">
      <selection activeCell="A9" sqref="A9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1330</v>
      </c>
      <c r="B1" s="12" t="s">
        <v>1331</v>
      </c>
      <c r="C1" s="10" t="s">
        <v>1332</v>
      </c>
      <c r="D1" s="12" t="s">
        <v>1333</v>
      </c>
      <c r="E1" s="10" t="s">
        <v>1334</v>
      </c>
      <c r="F1" s="10" t="s">
        <v>1335</v>
      </c>
      <c r="G1" s="10" t="s">
        <v>1336</v>
      </c>
      <c r="H1" s="10" t="s">
        <v>1337</v>
      </c>
      <c r="I1" s="10" t="s">
        <v>1338</v>
      </c>
      <c r="J1" s="10" t="s">
        <v>1339</v>
      </c>
      <c r="K1" s="10" t="s">
        <v>1340</v>
      </c>
      <c r="L1" s="10" t="s">
        <v>1341</v>
      </c>
      <c r="M1" s="10" t="s">
        <v>1342</v>
      </c>
      <c r="N1" s="10" t="s">
        <v>1343</v>
      </c>
      <c r="O1" s="10" t="s">
        <v>1344</v>
      </c>
      <c r="P1" s="10" t="s">
        <v>1312</v>
      </c>
      <c r="Q1" s="10" t="s">
        <v>1313</v>
      </c>
      <c r="R1" s="10" t="s">
        <v>1314</v>
      </c>
      <c r="S1" s="10" t="s">
        <v>1315</v>
      </c>
      <c r="T1" s="10" t="s">
        <v>1316</v>
      </c>
      <c r="U1" s="10" t="s">
        <v>1317</v>
      </c>
      <c r="V1" s="10" t="s">
        <v>1318</v>
      </c>
      <c r="W1" s="10" t="s">
        <v>1319</v>
      </c>
      <c r="X1" s="10" t="s">
        <v>1320</v>
      </c>
      <c r="Y1" s="10" t="s">
        <v>1321</v>
      </c>
      <c r="Z1" s="10" t="s">
        <v>1322</v>
      </c>
      <c r="AA1" s="10" t="s">
        <v>1323</v>
      </c>
      <c r="AB1" s="10" t="s">
        <v>1324</v>
      </c>
      <c r="AC1" s="10" t="s">
        <v>1325</v>
      </c>
      <c r="AD1" s="10" t="s">
        <v>1345</v>
      </c>
      <c r="AE1" s="10" t="s">
        <v>1346</v>
      </c>
      <c r="AF1" s="10" t="s">
        <v>1347</v>
      </c>
      <c r="AG1" s="10" t="s">
        <v>1348</v>
      </c>
      <c r="AH1" s="10" t="s">
        <v>1349</v>
      </c>
      <c r="AI1" s="10" t="s">
        <v>1350</v>
      </c>
      <c r="AJ1" s="10" t="s">
        <v>1351</v>
      </c>
      <c r="AK1" s="10" t="s">
        <v>1352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173</v>
      </c>
      <c r="B2" s="209" t="str">
        <f>RIGHT(data!$C$96,4)</f>
        <v>2023</v>
      </c>
      <c r="C2" s="12" t="str">
        <f>data!C$55</f>
        <v>6010</v>
      </c>
      <c r="D2" s="12" t="s">
        <v>1146</v>
      </c>
      <c r="E2" s="207">
        <f>ROUND(N(data!C59), 0)</f>
        <v>0</v>
      </c>
      <c r="F2" s="315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5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173</v>
      </c>
      <c r="B3" s="209" t="str">
        <f>RIGHT(data!$C$96,4)</f>
        <v>2023</v>
      </c>
      <c r="C3" s="12" t="str">
        <f>data!D$55</f>
        <v>6030</v>
      </c>
      <c r="D3" s="12" t="s">
        <v>1146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173</v>
      </c>
      <c r="B4" s="209" t="str">
        <f>RIGHT(data!$C$96,4)</f>
        <v>2023</v>
      </c>
      <c r="C4" s="12" t="str">
        <f>data!E$55</f>
        <v>6070</v>
      </c>
      <c r="D4" s="12" t="s">
        <v>1146</v>
      </c>
      <c r="E4" s="207">
        <f>ROUND(N(data!E59), 0)</f>
        <v>503</v>
      </c>
      <c r="F4" s="315">
        <f>ROUND(N(data!E60), 2)</f>
        <v>19</v>
      </c>
      <c r="G4" s="207">
        <f>ROUND(N(data!E61), 0)</f>
        <v>2355588</v>
      </c>
      <c r="H4" s="207">
        <f>ROUND(N(data!E62), 0)</f>
        <v>458365</v>
      </c>
      <c r="I4" s="207">
        <f>ROUND(N(data!E63), 0)</f>
        <v>570</v>
      </c>
      <c r="J4" s="207">
        <f>ROUND(N(data!E64), 0)</f>
        <v>78945</v>
      </c>
      <c r="K4" s="207">
        <f>ROUND(N(data!E65), 0)</f>
        <v>0</v>
      </c>
      <c r="L4" s="207">
        <f>ROUND(N(data!E66), 0)</f>
        <v>56502</v>
      </c>
      <c r="M4" s="207">
        <f>ROUND(N(data!E67), 0)</f>
        <v>350573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6971690</v>
      </c>
      <c r="AF4" s="207">
        <f>ROUND(N(data!E87), 0)</f>
        <v>5497207</v>
      </c>
      <c r="AG4" s="207">
        <f>ROUND(N(data!E90), 0)</f>
        <v>18333</v>
      </c>
      <c r="AH4" s="207">
        <f>ROUND(N(data!E91), 0)</f>
        <v>4731</v>
      </c>
      <c r="AI4" s="207">
        <f>ROUND(N(data!E92), 0)</f>
        <v>3500</v>
      </c>
      <c r="AJ4" s="207">
        <f>ROUND(N(data!E93), 0)</f>
        <v>31000</v>
      </c>
      <c r="AK4" s="315">
        <f>ROUND(N(data!E94), 2)</f>
        <v>20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173</v>
      </c>
      <c r="B5" s="209" t="str">
        <f>RIGHT(data!$C$96,4)</f>
        <v>2023</v>
      </c>
      <c r="C5" s="12" t="str">
        <f>data!F$55</f>
        <v>6100</v>
      </c>
      <c r="D5" s="12" t="s">
        <v>1146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173</v>
      </c>
      <c r="B6" s="209" t="str">
        <f>RIGHT(data!$C$96,4)</f>
        <v>2023</v>
      </c>
      <c r="C6" s="12" t="str">
        <f>data!G$55</f>
        <v>6120</v>
      </c>
      <c r="D6" s="12" t="s">
        <v>1146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173</v>
      </c>
      <c r="B7" s="209" t="str">
        <f>RIGHT(data!$C$96,4)</f>
        <v>2023</v>
      </c>
      <c r="C7" s="12" t="str">
        <f>data!H$55</f>
        <v>6140</v>
      </c>
      <c r="D7" s="12" t="s">
        <v>1146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173</v>
      </c>
      <c r="B8" s="209" t="str">
        <f>RIGHT(data!$C$96,4)</f>
        <v>2023</v>
      </c>
      <c r="C8" s="12" t="str">
        <f>data!I$55</f>
        <v>6150</v>
      </c>
      <c r="D8" s="12" t="s">
        <v>1146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173</v>
      </c>
      <c r="B9" s="209" t="str">
        <f>RIGHT(data!$C$96,4)</f>
        <v>2023</v>
      </c>
      <c r="C9" s="12" t="str">
        <f>data!J$55</f>
        <v>6170</v>
      </c>
      <c r="D9" s="12" t="s">
        <v>1146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173</v>
      </c>
      <c r="B10" s="209" t="str">
        <f>RIGHT(data!$C$96,4)</f>
        <v>2023</v>
      </c>
      <c r="C10" s="12" t="str">
        <f>data!K$55</f>
        <v>6200</v>
      </c>
      <c r="D10" s="12" t="s">
        <v>1146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173</v>
      </c>
      <c r="B11" s="209" t="str">
        <f>RIGHT(data!$C$96,4)</f>
        <v>2023</v>
      </c>
      <c r="C11" s="12" t="str">
        <f>data!L$55</f>
        <v>6210</v>
      </c>
      <c r="D11" s="12" t="s">
        <v>1146</v>
      </c>
      <c r="E11" s="207">
        <f>ROUND(N(data!L59), 0)</f>
        <v>902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173</v>
      </c>
      <c r="B12" s="209" t="str">
        <f>RIGHT(data!$C$96,4)</f>
        <v>2023</v>
      </c>
      <c r="C12" s="12" t="str">
        <f>data!M$55</f>
        <v>6330</v>
      </c>
      <c r="D12" s="12" t="s">
        <v>1146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173</v>
      </c>
      <c r="B13" s="209" t="str">
        <f>RIGHT(data!$C$96,4)</f>
        <v>2023</v>
      </c>
      <c r="C13" s="12" t="str">
        <f>data!N$55</f>
        <v>6400</v>
      </c>
      <c r="D13" s="12" t="s">
        <v>1146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173</v>
      </c>
      <c r="B14" s="209" t="str">
        <f>RIGHT(data!$C$96,4)</f>
        <v>2023</v>
      </c>
      <c r="C14" s="12" t="str">
        <f>data!O$55</f>
        <v>7010</v>
      </c>
      <c r="D14" s="12" t="s">
        <v>1146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173</v>
      </c>
      <c r="B15" s="209" t="str">
        <f>RIGHT(data!$C$96,4)</f>
        <v>2023</v>
      </c>
      <c r="C15" s="12" t="str">
        <f>data!P$55</f>
        <v>7020</v>
      </c>
      <c r="D15" s="12" t="s">
        <v>1146</v>
      </c>
      <c r="E15" s="207">
        <f>ROUND(N(data!P59), 0)</f>
        <v>40501</v>
      </c>
      <c r="F15" s="315">
        <f>ROUND(N(data!P60), 2)</f>
        <v>7</v>
      </c>
      <c r="G15" s="207">
        <f>ROUND(N(data!P61), 0)</f>
        <v>1309426</v>
      </c>
      <c r="H15" s="207">
        <f>ROUND(N(data!P62), 0)</f>
        <v>169811</v>
      </c>
      <c r="I15" s="207">
        <f>ROUND(N(data!P63), 0)</f>
        <v>660</v>
      </c>
      <c r="J15" s="207">
        <f>ROUND(N(data!P64), 0)</f>
        <v>638753</v>
      </c>
      <c r="K15" s="207">
        <f>ROUND(N(data!P65), 0)</f>
        <v>0</v>
      </c>
      <c r="L15" s="207">
        <f>ROUND(N(data!P66), 0)</f>
        <v>31820</v>
      </c>
      <c r="M15" s="207">
        <f>ROUND(N(data!P67), 0)</f>
        <v>24783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3682704</v>
      </c>
      <c r="AF15" s="207">
        <f>ROUND(N(data!P87), 0)</f>
        <v>297384</v>
      </c>
      <c r="AG15" s="207">
        <f>ROUND(N(data!P90), 0)</f>
        <v>1296</v>
      </c>
      <c r="AH15" s="207">
        <f>ROUND(N(data!P91), 0)</f>
        <v>0</v>
      </c>
      <c r="AI15" s="207">
        <f>ROUND(N(data!P92), 0)</f>
        <v>1200</v>
      </c>
      <c r="AJ15" s="207">
        <f>ROUND(N(data!P93), 0)</f>
        <v>10000</v>
      </c>
      <c r="AK15" s="315">
        <f>ROUND(N(data!P94), 2)</f>
        <v>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173</v>
      </c>
      <c r="B16" s="209" t="str">
        <f>RIGHT(data!$C$96,4)</f>
        <v>2023</v>
      </c>
      <c r="C16" s="12" t="str">
        <f>data!Q$55</f>
        <v>7030</v>
      </c>
      <c r="D16" s="12" t="s">
        <v>1146</v>
      </c>
      <c r="E16" s="207">
        <f>ROUND(N(data!Q59), 0)</f>
        <v>0</v>
      </c>
      <c r="F16" s="315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5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173</v>
      </c>
      <c r="B17" s="209" t="str">
        <f>RIGHT(data!$C$96,4)</f>
        <v>2023</v>
      </c>
      <c r="C17" s="12" t="str">
        <f>data!R$55</f>
        <v>7040</v>
      </c>
      <c r="D17" s="12" t="s">
        <v>1146</v>
      </c>
      <c r="E17" s="207">
        <f>ROUND(N(data!R59), 0)</f>
        <v>42139</v>
      </c>
      <c r="F17" s="315">
        <f>ROUND(N(data!R60), 2)</f>
        <v>1</v>
      </c>
      <c r="G17" s="207">
        <f>ROUND(N(data!R61), 0)</f>
        <v>503369</v>
      </c>
      <c r="H17" s="207">
        <f>ROUND(N(data!R62), 0)</f>
        <v>113443</v>
      </c>
      <c r="I17" s="207">
        <f>ROUND(N(data!R63), 0)</f>
        <v>0</v>
      </c>
      <c r="J17" s="207">
        <f>ROUND(N(data!R64), 0)</f>
        <v>11809</v>
      </c>
      <c r="K17" s="207">
        <f>ROUND(N(data!R65), 0)</f>
        <v>0</v>
      </c>
      <c r="L17" s="207">
        <f>ROUND(N(data!R66), 0)</f>
        <v>7379</v>
      </c>
      <c r="M17" s="207">
        <f>ROUND(N(data!R67), 0)</f>
        <v>0</v>
      </c>
      <c r="N17" s="207">
        <f>ROUND(N(data!R68), 0)</f>
        <v>0</v>
      </c>
      <c r="O17" s="207">
        <f>ROUND(N(data!R69), 0)</f>
        <v>2417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2417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1148673</v>
      </c>
      <c r="AF17" s="207">
        <f>ROUND(N(data!R87), 0)</f>
        <v>88563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173</v>
      </c>
      <c r="B18" s="209" t="str">
        <f>RIGHT(data!$C$96,4)</f>
        <v>2023</v>
      </c>
      <c r="C18" s="12" t="str">
        <f>data!S$55</f>
        <v>7050</v>
      </c>
      <c r="D18" s="12" t="s">
        <v>1146</v>
      </c>
      <c r="E18" s="207">
        <f>ROUND(N(data!S59), 0)</f>
        <v>0</v>
      </c>
      <c r="F18" s="315">
        <f>ROUND(N(data!S60), 2)</f>
        <v>2</v>
      </c>
      <c r="G18" s="207">
        <f>ROUND(N(data!S61), 0)</f>
        <v>45770</v>
      </c>
      <c r="H18" s="207">
        <f>ROUND(N(data!S62), 0)</f>
        <v>8660</v>
      </c>
      <c r="I18" s="207">
        <f>ROUND(N(data!S63), 0)</f>
        <v>0</v>
      </c>
      <c r="J18" s="207">
        <f>ROUND(N(data!S64), 0)</f>
        <v>22388</v>
      </c>
      <c r="K18" s="207">
        <f>ROUND(N(data!S65), 0)</f>
        <v>0</v>
      </c>
      <c r="L18" s="207">
        <f>ROUND(N(data!S66), 0)</f>
        <v>24456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2642539</v>
      </c>
      <c r="AF18" s="207">
        <f>ROUND(N(data!S87), 0)</f>
        <v>27539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173</v>
      </c>
      <c r="B19" s="209" t="str">
        <f>RIGHT(data!$C$96,4)</f>
        <v>2023</v>
      </c>
      <c r="C19" s="12" t="str">
        <f>data!T$55</f>
        <v>7060</v>
      </c>
      <c r="D19" s="12" t="s">
        <v>1146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173</v>
      </c>
      <c r="B20" s="209" t="str">
        <f>RIGHT(data!$C$96,4)</f>
        <v>2023</v>
      </c>
      <c r="C20" s="12" t="str">
        <f>data!U$55</f>
        <v>7070</v>
      </c>
      <c r="D20" s="12" t="s">
        <v>1146</v>
      </c>
      <c r="E20" s="207">
        <f>ROUND(N(data!U59), 0)</f>
        <v>46906</v>
      </c>
      <c r="F20" s="315">
        <f>ROUND(N(data!U60), 2)</f>
        <v>8</v>
      </c>
      <c r="G20" s="207">
        <f>ROUND(N(data!U61), 0)</f>
        <v>988727</v>
      </c>
      <c r="H20" s="207">
        <f>ROUND(N(data!U62), 0)</f>
        <v>167292</v>
      </c>
      <c r="I20" s="207">
        <f>ROUND(N(data!U63), 0)</f>
        <v>0</v>
      </c>
      <c r="J20" s="207">
        <f>ROUND(N(data!U64), 0)</f>
        <v>451919</v>
      </c>
      <c r="K20" s="207">
        <f>ROUND(N(data!U65), 0)</f>
        <v>0</v>
      </c>
      <c r="L20" s="207">
        <f>ROUND(N(data!U66), 0)</f>
        <v>341613</v>
      </c>
      <c r="M20" s="207">
        <f>ROUND(N(data!U67), 0)</f>
        <v>20136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6041504</v>
      </c>
      <c r="AF20" s="207">
        <f>ROUND(N(data!U87), 0)</f>
        <v>352384</v>
      </c>
      <c r="AG20" s="207">
        <f>ROUND(N(data!U90), 0)</f>
        <v>1053</v>
      </c>
      <c r="AH20" s="207">
        <f>ROUND(N(data!U91), 0)</f>
        <v>0</v>
      </c>
      <c r="AI20" s="207">
        <f>ROUND(N(data!U92), 0)</f>
        <v>1100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173</v>
      </c>
      <c r="B21" s="209" t="str">
        <f>RIGHT(data!$C$96,4)</f>
        <v>2023</v>
      </c>
      <c r="C21" s="12" t="str">
        <f>data!V$55</f>
        <v>7110</v>
      </c>
      <c r="D21" s="12" t="s">
        <v>1146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173</v>
      </c>
      <c r="B22" s="209" t="str">
        <f>RIGHT(data!$C$96,4)</f>
        <v>2023</v>
      </c>
      <c r="C22" s="12" t="str">
        <f>data!W$55</f>
        <v>7120</v>
      </c>
      <c r="D22" s="12" t="s">
        <v>1146</v>
      </c>
      <c r="E22" s="207">
        <f>ROUND(N(data!W59), 0)</f>
        <v>417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225744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857094</v>
      </c>
      <c r="AF22" s="207">
        <f>ROUND(N(data!W87), 0)</f>
        <v>12860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173</v>
      </c>
      <c r="B23" s="209" t="str">
        <f>RIGHT(data!$C$96,4)</f>
        <v>2023</v>
      </c>
      <c r="C23" s="12" t="str">
        <f>data!X$55</f>
        <v>7130</v>
      </c>
      <c r="D23" s="12" t="s">
        <v>1146</v>
      </c>
      <c r="E23" s="207">
        <f>ROUND(N(data!X59), 0)</f>
        <v>2534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27522</v>
      </c>
      <c r="K23" s="207">
        <f>ROUND(N(data!X65), 0)</f>
        <v>0</v>
      </c>
      <c r="L23" s="207">
        <f>ROUND(N(data!X66), 0)</f>
        <v>83258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6323755</v>
      </c>
      <c r="AF23" s="207">
        <f>ROUND(N(data!X87), 0)</f>
        <v>223561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173</v>
      </c>
      <c r="B24" s="209" t="str">
        <f>RIGHT(data!$C$96,4)</f>
        <v>2023</v>
      </c>
      <c r="C24" s="12" t="str">
        <f>data!Y$55</f>
        <v>7140</v>
      </c>
      <c r="D24" s="12" t="s">
        <v>1146</v>
      </c>
      <c r="E24" s="207">
        <f>ROUND(N(data!Y59), 0)</f>
        <v>5267</v>
      </c>
      <c r="F24" s="315">
        <f>ROUND(N(data!Y60), 2)</f>
        <v>10</v>
      </c>
      <c r="G24" s="207">
        <f>ROUND(N(data!Y61), 0)</f>
        <v>1266485</v>
      </c>
      <c r="H24" s="207">
        <f>ROUND(N(data!Y62), 0)</f>
        <v>252880</v>
      </c>
      <c r="I24" s="207">
        <f>ROUND(N(data!Y63), 0)</f>
        <v>0</v>
      </c>
      <c r="J24" s="207">
        <f>ROUND(N(data!Y64), 0)</f>
        <v>11179</v>
      </c>
      <c r="K24" s="207">
        <f>ROUND(N(data!Y65), 0)</f>
        <v>0</v>
      </c>
      <c r="L24" s="207">
        <f>ROUND(N(data!Y66), 0)</f>
        <v>62309</v>
      </c>
      <c r="M24" s="207">
        <f>ROUND(N(data!Y67), 0)</f>
        <v>46907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4010842</v>
      </c>
      <c r="AF24" s="207">
        <f>ROUND(N(data!Y87), 0)</f>
        <v>159752</v>
      </c>
      <c r="AG24" s="207">
        <f>ROUND(N(data!Y90), 0)</f>
        <v>2453</v>
      </c>
      <c r="AH24" s="207">
        <f>ROUND(N(data!Y91), 0)</f>
        <v>0</v>
      </c>
      <c r="AI24" s="207">
        <f>ROUND(N(data!Y92), 0)</f>
        <v>2100</v>
      </c>
      <c r="AJ24" s="207">
        <f>ROUND(N(data!Y93), 0)</f>
        <v>7000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173</v>
      </c>
      <c r="B25" s="209" t="str">
        <f>RIGHT(data!$C$96,4)</f>
        <v>2023</v>
      </c>
      <c r="C25" s="12" t="str">
        <f>data!Z$55</f>
        <v>7150</v>
      </c>
      <c r="D25" s="12" t="s">
        <v>1146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173</v>
      </c>
      <c r="B26" s="209" t="str">
        <f>RIGHT(data!$C$96,4)</f>
        <v>2023</v>
      </c>
      <c r="C26" s="12" t="str">
        <f>data!AA$55</f>
        <v>7160</v>
      </c>
      <c r="D26" s="12" t="s">
        <v>1146</v>
      </c>
      <c r="E26" s="207">
        <f>ROUND(N(data!AA59), 0)</f>
        <v>53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17802</v>
      </c>
      <c r="K26" s="207">
        <f>ROUND(N(data!AA65), 0)</f>
        <v>0</v>
      </c>
      <c r="L26" s="207">
        <f>ROUND(N(data!AA66), 0)</f>
        <v>100331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320034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173</v>
      </c>
      <c r="B27" s="209" t="str">
        <f>RIGHT(data!$C$96,4)</f>
        <v>2023</v>
      </c>
      <c r="C27" s="12" t="str">
        <f>data!AB$55</f>
        <v>7170</v>
      </c>
      <c r="D27" s="12" t="s">
        <v>1146</v>
      </c>
      <c r="E27" s="207">
        <f>ROUND(N(data!AB59), 0)</f>
        <v>0</v>
      </c>
      <c r="F27" s="315">
        <f>ROUND(N(data!AB60), 2)</f>
        <v>0</v>
      </c>
      <c r="G27" s="207">
        <f>ROUND(N(data!AB61), 0)</f>
        <v>363556</v>
      </c>
      <c r="H27" s="207">
        <f>ROUND(N(data!AB62), 0)</f>
        <v>68966</v>
      </c>
      <c r="I27" s="207">
        <f>ROUND(N(data!AB63), 0)</f>
        <v>20310</v>
      </c>
      <c r="J27" s="207">
        <f>ROUND(N(data!AB64), 0)</f>
        <v>307082</v>
      </c>
      <c r="K27" s="207">
        <f>ROUND(N(data!AB65), 0)</f>
        <v>0</v>
      </c>
      <c r="L27" s="207">
        <f>ROUND(N(data!AB66), 0)</f>
        <v>101147</v>
      </c>
      <c r="M27" s="207">
        <f>ROUND(N(data!AB67), 0)</f>
        <v>9523</v>
      </c>
      <c r="N27" s="207">
        <f>ROUND(N(data!AB68), 0)</f>
        <v>0</v>
      </c>
      <c r="O27" s="207">
        <f>ROUND(N(data!AB69), 0)</f>
        <v>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0</v>
      </c>
      <c r="AD27" s="207">
        <f>ROUND(N(data!AB84), 0)</f>
        <v>0</v>
      </c>
      <c r="AE27" s="207">
        <f>ROUND(N(data!AB89), 0)</f>
        <v>1321101</v>
      </c>
      <c r="AF27" s="207">
        <f>ROUND(N(data!AB87), 0)</f>
        <v>420101</v>
      </c>
      <c r="AG27" s="207">
        <f>ROUND(N(data!AB90), 0)</f>
        <v>498</v>
      </c>
      <c r="AH27" s="207">
        <f>ROUND(N(data!AB91), 0)</f>
        <v>0</v>
      </c>
      <c r="AI27" s="207">
        <f>ROUND(N(data!AB92), 0)</f>
        <v>1200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173</v>
      </c>
      <c r="B28" s="209" t="str">
        <f>RIGHT(data!$C$96,4)</f>
        <v>2023</v>
      </c>
      <c r="C28" s="12" t="str">
        <f>data!AC$55</f>
        <v>7180</v>
      </c>
      <c r="D28" s="12" t="s">
        <v>1146</v>
      </c>
      <c r="E28" s="207">
        <f>ROUND(N(data!AC59), 0)</f>
        <v>3815</v>
      </c>
      <c r="F28" s="315">
        <f>ROUND(N(data!AC60), 2)</f>
        <v>3</v>
      </c>
      <c r="G28" s="207">
        <f>ROUND(N(data!AC61), 0)</f>
        <v>330689</v>
      </c>
      <c r="H28" s="207">
        <f>ROUND(N(data!AC62), 0)</f>
        <v>60402</v>
      </c>
      <c r="I28" s="207">
        <f>ROUND(N(data!AC63), 0)</f>
        <v>4575</v>
      </c>
      <c r="J28" s="207">
        <f>ROUND(N(data!AC64), 0)</f>
        <v>10999</v>
      </c>
      <c r="K28" s="207">
        <f>ROUND(N(data!AC65), 0)</f>
        <v>0</v>
      </c>
      <c r="L28" s="207">
        <f>ROUND(N(data!AC66), 0)</f>
        <v>6136</v>
      </c>
      <c r="M28" s="207">
        <f>ROUND(N(data!AC67), 0)</f>
        <v>18970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954263</v>
      </c>
      <c r="AF28" s="207">
        <f>ROUND(N(data!AC87), 0)</f>
        <v>149899</v>
      </c>
      <c r="AG28" s="207">
        <f>ROUND(N(data!AC90), 0)</f>
        <v>992</v>
      </c>
      <c r="AH28" s="207">
        <f>ROUND(N(data!AC91), 0)</f>
        <v>0</v>
      </c>
      <c r="AI28" s="207">
        <f>ROUND(N(data!AC92), 0)</f>
        <v>1300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173</v>
      </c>
      <c r="B29" s="209" t="str">
        <f>RIGHT(data!$C$96,4)</f>
        <v>2023</v>
      </c>
      <c r="C29" s="12" t="str">
        <f>data!AD$55</f>
        <v>7190</v>
      </c>
      <c r="D29" s="12" t="s">
        <v>1146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173</v>
      </c>
      <c r="B30" s="209" t="str">
        <f>RIGHT(data!$C$96,4)</f>
        <v>2023</v>
      </c>
      <c r="C30" s="12" t="str">
        <f>data!AE$55</f>
        <v>7200</v>
      </c>
      <c r="D30" s="12" t="s">
        <v>1146</v>
      </c>
      <c r="E30" s="207">
        <f>ROUND(N(data!AE59), 0)</f>
        <v>26935</v>
      </c>
      <c r="F30" s="315">
        <f>ROUND(N(data!AE60), 2)</f>
        <v>13</v>
      </c>
      <c r="G30" s="207">
        <f>ROUND(N(data!AE61), 0)</f>
        <v>1383919</v>
      </c>
      <c r="H30" s="207">
        <f>ROUND(N(data!AE62), 0)</f>
        <v>256645</v>
      </c>
      <c r="I30" s="207">
        <f>ROUND(N(data!AE63), 0)</f>
        <v>0</v>
      </c>
      <c r="J30" s="207">
        <f>ROUND(N(data!AE64), 0)</f>
        <v>23188</v>
      </c>
      <c r="K30" s="207">
        <f>ROUND(N(data!AE65), 0)</f>
        <v>0</v>
      </c>
      <c r="L30" s="207">
        <f>ROUND(N(data!AE66), 0)</f>
        <v>20960</v>
      </c>
      <c r="M30" s="207">
        <f>ROUND(N(data!AE67), 0)</f>
        <v>54040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4278793</v>
      </c>
      <c r="AF30" s="207">
        <f>ROUND(N(data!AE87), 0)</f>
        <v>352539</v>
      </c>
      <c r="AG30" s="207">
        <f>ROUND(N(data!AE90), 0)</f>
        <v>2826</v>
      </c>
      <c r="AH30" s="207">
        <f>ROUND(N(data!AE91), 0)</f>
        <v>0</v>
      </c>
      <c r="AI30" s="207">
        <f>ROUND(N(data!AE92), 0)</f>
        <v>2300</v>
      </c>
      <c r="AJ30" s="207">
        <f>ROUND(N(data!AE93), 0)</f>
        <v>17000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173</v>
      </c>
      <c r="B31" s="209" t="str">
        <f>RIGHT(data!$C$96,4)</f>
        <v>2023</v>
      </c>
      <c r="C31" s="12" t="str">
        <f>data!AF$55</f>
        <v>7220</v>
      </c>
      <c r="D31" s="12" t="s">
        <v>1146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173</v>
      </c>
      <c r="B32" s="209" t="str">
        <f>RIGHT(data!$C$96,4)</f>
        <v>2023</v>
      </c>
      <c r="C32" s="12" t="str">
        <f>data!AG$55</f>
        <v>7230</v>
      </c>
      <c r="D32" s="12" t="s">
        <v>1146</v>
      </c>
      <c r="E32" s="207">
        <f>ROUND(N(data!AG59), 0)</f>
        <v>5474</v>
      </c>
      <c r="F32" s="315">
        <f>ROUND(N(data!AG60), 2)</f>
        <v>16</v>
      </c>
      <c r="G32" s="207">
        <f>ROUND(N(data!AG61), 0)</f>
        <v>2832800</v>
      </c>
      <c r="H32" s="207">
        <f>ROUND(N(data!AG62), 0)</f>
        <v>541391</v>
      </c>
      <c r="I32" s="207">
        <f>ROUND(N(data!AG63), 0)</f>
        <v>705252</v>
      </c>
      <c r="J32" s="207">
        <f>ROUND(N(data!AG64), 0)</f>
        <v>158869</v>
      </c>
      <c r="K32" s="207">
        <f>ROUND(N(data!AG65), 0)</f>
        <v>0</v>
      </c>
      <c r="L32" s="207">
        <f>ROUND(N(data!AG66), 0)</f>
        <v>31114</v>
      </c>
      <c r="M32" s="207">
        <f>ROUND(N(data!AG67), 0)</f>
        <v>67655</v>
      </c>
      <c r="N32" s="207">
        <f>ROUND(N(data!AG68), 0)</f>
        <v>0</v>
      </c>
      <c r="O32" s="207">
        <f>ROUND(N(data!AG69), 0)</f>
        <v>10412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10412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12797882</v>
      </c>
      <c r="AF32" s="207">
        <f>ROUND(N(data!AG87), 0)</f>
        <v>412191</v>
      </c>
      <c r="AG32" s="207">
        <f>ROUND(N(data!AG90), 0)</f>
        <v>3538</v>
      </c>
      <c r="AH32" s="207">
        <f>ROUND(N(data!AG91), 0)</f>
        <v>0</v>
      </c>
      <c r="AI32" s="207">
        <f>ROUND(N(data!AG92), 0)</f>
        <v>1900</v>
      </c>
      <c r="AJ32" s="207">
        <f>ROUND(N(data!AG93), 0)</f>
        <v>34000</v>
      </c>
      <c r="AK32" s="315">
        <f>ROUND(N(data!AG94), 2)</f>
        <v>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173</v>
      </c>
      <c r="B33" s="209" t="str">
        <f>RIGHT(data!$C$96,4)</f>
        <v>2023</v>
      </c>
      <c r="C33" s="12" t="str">
        <f>data!AH$55</f>
        <v>7240</v>
      </c>
      <c r="D33" s="12" t="s">
        <v>1146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483337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173</v>
      </c>
      <c r="B34" s="209" t="str">
        <f>RIGHT(data!$C$96,4)</f>
        <v>2023</v>
      </c>
      <c r="C34" s="12" t="str">
        <f>data!AI$55</f>
        <v>7250</v>
      </c>
      <c r="D34" s="12" t="s">
        <v>1146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108500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173</v>
      </c>
      <c r="B35" s="209" t="str">
        <f>RIGHT(data!$C$96,4)</f>
        <v>2023</v>
      </c>
      <c r="C35" s="12" t="str">
        <f>data!AJ$55</f>
        <v>7260</v>
      </c>
      <c r="D35" s="12" t="s">
        <v>1146</v>
      </c>
      <c r="E35" s="207">
        <f>ROUND(N(data!AJ59), 0)</f>
        <v>26228</v>
      </c>
      <c r="F35" s="315">
        <f>ROUND(N(data!AJ60), 2)</f>
        <v>47</v>
      </c>
      <c r="G35" s="207">
        <f>ROUND(N(data!AJ61), 0)</f>
        <v>4863660</v>
      </c>
      <c r="H35" s="207">
        <f>ROUND(N(data!AJ62), 0)</f>
        <v>976331</v>
      </c>
      <c r="I35" s="207">
        <f>ROUND(N(data!AJ63), 0)</f>
        <v>259928</v>
      </c>
      <c r="J35" s="207">
        <f>ROUND(N(data!AJ64), 0)</f>
        <v>353871</v>
      </c>
      <c r="K35" s="207">
        <f>ROUND(N(data!AJ65), 0)</f>
        <v>28176</v>
      </c>
      <c r="L35" s="207">
        <f>ROUND(N(data!AJ66), 0)</f>
        <v>141010</v>
      </c>
      <c r="M35" s="207">
        <f>ROUND(N(data!AJ67), 0)</f>
        <v>154357</v>
      </c>
      <c r="N35" s="207">
        <f>ROUND(N(data!AJ68), 0)</f>
        <v>0</v>
      </c>
      <c r="O35" s="207">
        <f>ROUND(N(data!AJ69), 0)</f>
        <v>24443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24443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6620312</v>
      </c>
      <c r="AF35" s="207">
        <f>ROUND(N(data!AJ87), 0)</f>
        <v>0</v>
      </c>
      <c r="AG35" s="207">
        <f>ROUND(N(data!AJ90), 0)</f>
        <v>8072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5">
        <f>ROUND(N(data!AJ94), 2)</f>
        <v>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173</v>
      </c>
      <c r="B36" s="209" t="str">
        <f>RIGHT(data!$C$96,4)</f>
        <v>2023</v>
      </c>
      <c r="C36" s="12" t="str">
        <f>data!AK$55</f>
        <v>7310</v>
      </c>
      <c r="D36" s="12" t="s">
        <v>1146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173</v>
      </c>
      <c r="B37" s="209" t="str">
        <f>RIGHT(data!$C$96,4)</f>
        <v>2023</v>
      </c>
      <c r="C37" s="12" t="str">
        <f>data!AL$55</f>
        <v>7320</v>
      </c>
      <c r="D37" s="12" t="s">
        <v>1146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173</v>
      </c>
      <c r="B38" s="209" t="str">
        <f>RIGHT(data!$C$96,4)</f>
        <v>2023</v>
      </c>
      <c r="C38" s="12" t="str">
        <f>data!AM$55</f>
        <v>7330</v>
      </c>
      <c r="D38" s="12" t="s">
        <v>1146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173</v>
      </c>
      <c r="B39" s="209" t="str">
        <f>RIGHT(data!$C$96,4)</f>
        <v>2023</v>
      </c>
      <c r="C39" s="12" t="str">
        <f>data!AN$55</f>
        <v>7340</v>
      </c>
      <c r="D39" s="12" t="s">
        <v>1146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173</v>
      </c>
      <c r="B40" s="209" t="str">
        <f>RIGHT(data!$C$96,4)</f>
        <v>2023</v>
      </c>
      <c r="C40" s="12" t="str">
        <f>data!AO$55</f>
        <v>7350</v>
      </c>
      <c r="D40" s="12" t="s">
        <v>1146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173</v>
      </c>
      <c r="B41" s="209" t="str">
        <f>RIGHT(data!$C$96,4)</f>
        <v>2023</v>
      </c>
      <c r="C41" s="12" t="str">
        <f>data!AP$55</f>
        <v>7380</v>
      </c>
      <c r="D41" s="12" t="s">
        <v>1146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173</v>
      </c>
      <c r="B42" s="209" t="str">
        <f>RIGHT(data!$C$96,4)</f>
        <v>2023</v>
      </c>
      <c r="C42" s="12" t="str">
        <f>data!AQ$55</f>
        <v>7390</v>
      </c>
      <c r="D42" s="12" t="s">
        <v>1146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173</v>
      </c>
      <c r="B43" s="209" t="str">
        <f>RIGHT(data!$C$96,4)</f>
        <v>2023</v>
      </c>
      <c r="C43" s="12" t="str">
        <f>data!AR$55</f>
        <v>7400</v>
      </c>
      <c r="D43" s="12" t="s">
        <v>1146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173</v>
      </c>
      <c r="B44" s="209" t="str">
        <f>RIGHT(data!$C$96,4)</f>
        <v>2023</v>
      </c>
      <c r="C44" s="12" t="str">
        <f>data!AS$55</f>
        <v>7410</v>
      </c>
      <c r="D44" s="12" t="s">
        <v>1146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173</v>
      </c>
      <c r="B45" s="209" t="str">
        <f>RIGHT(data!$C$96,4)</f>
        <v>2023</v>
      </c>
      <c r="C45" s="12" t="str">
        <f>data!AT$55</f>
        <v>7420</v>
      </c>
      <c r="D45" s="12" t="s">
        <v>1146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173</v>
      </c>
      <c r="B46" s="209" t="str">
        <f>RIGHT(data!$C$96,4)</f>
        <v>2023</v>
      </c>
      <c r="C46" s="12" t="str">
        <f>data!AU$55</f>
        <v>7430</v>
      </c>
      <c r="D46" s="12" t="s">
        <v>1146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173</v>
      </c>
      <c r="B47" s="209" t="str">
        <f>RIGHT(data!$C$96,4)</f>
        <v>2023</v>
      </c>
      <c r="C47" s="12" t="str">
        <f>data!AV$55</f>
        <v>7490</v>
      </c>
      <c r="D47" s="12" t="s">
        <v>1146</v>
      </c>
      <c r="E47" s="207">
        <f>ROUND(N(data!AV59), 0)</f>
        <v>0</v>
      </c>
      <c r="F47" s="315">
        <f>ROUND(N(data!AV60), 2)</f>
        <v>0</v>
      </c>
      <c r="G47" s="207">
        <f>ROUND(N(data!AV61), 0)</f>
        <v>271561</v>
      </c>
      <c r="H47" s="207">
        <f>ROUND(N(data!AV62), 0)</f>
        <v>50761</v>
      </c>
      <c r="I47" s="207">
        <f>ROUND(N(data!AV63), 0)</f>
        <v>0</v>
      </c>
      <c r="J47" s="207">
        <f>ROUND(N(data!AV64), 0)</f>
        <v>489273</v>
      </c>
      <c r="K47" s="207">
        <f>ROUND(N(data!AV65), 0)</f>
        <v>0</v>
      </c>
      <c r="L47" s="207">
        <f>ROUND(N(data!AV66), 0)</f>
        <v>0</v>
      </c>
      <c r="M47" s="207">
        <f>ROUND(N(data!AV67), 0)</f>
        <v>63353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3313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173</v>
      </c>
      <c r="B48" s="209" t="str">
        <f>RIGHT(data!$C$96,4)</f>
        <v>2023</v>
      </c>
      <c r="C48" s="12" t="str">
        <f>data!AW$55</f>
        <v>8200</v>
      </c>
      <c r="D48" s="12" t="s">
        <v>1146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173</v>
      </c>
      <c r="B49" s="209" t="str">
        <f>RIGHT(data!$C$96,4)</f>
        <v>2023</v>
      </c>
      <c r="C49" s="12" t="str">
        <f>data!AX$55</f>
        <v>8310</v>
      </c>
      <c r="D49" s="12" t="s">
        <v>1146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173</v>
      </c>
      <c r="B50" s="209" t="str">
        <f>RIGHT(data!$C$96,4)</f>
        <v>2023</v>
      </c>
      <c r="C50" s="12" t="str">
        <f>data!AY$55</f>
        <v>8320</v>
      </c>
      <c r="D50" s="12" t="s">
        <v>1146</v>
      </c>
      <c r="E50" s="207">
        <f>ROUND(N(data!AY59), 0)</f>
        <v>22575</v>
      </c>
      <c r="F50" s="315">
        <f>ROUND(N(data!AY60), 2)</f>
        <v>8</v>
      </c>
      <c r="G50" s="207">
        <f>ROUND(N(data!AY61), 0)</f>
        <v>394705</v>
      </c>
      <c r="H50" s="207">
        <f>ROUND(N(data!AY62), 0)</f>
        <v>87888</v>
      </c>
      <c r="I50" s="207">
        <f>ROUND(N(data!AY63), 0)</f>
        <v>0</v>
      </c>
      <c r="J50" s="207">
        <f>ROUND(N(data!AY64), 0)</f>
        <v>147170</v>
      </c>
      <c r="K50" s="207">
        <f>ROUND(N(data!AY65), 0)</f>
        <v>0</v>
      </c>
      <c r="L50" s="207">
        <f>ROUND(N(data!AY66), 0)</f>
        <v>23321</v>
      </c>
      <c r="M50" s="207">
        <f>ROUND(N(data!AY67), 0)</f>
        <v>53849</v>
      </c>
      <c r="N50" s="207">
        <f>ROUND(N(data!AY68), 0)</f>
        <v>0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2816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173</v>
      </c>
      <c r="B51" s="209" t="str">
        <f>RIGHT(data!$C$96,4)</f>
        <v>2023</v>
      </c>
      <c r="C51" s="12" t="str">
        <f>data!AZ$55</f>
        <v>8330</v>
      </c>
      <c r="D51" s="12" t="s">
        <v>1146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17844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173</v>
      </c>
      <c r="B52" s="209" t="str">
        <f>RIGHT(data!$C$96,4)</f>
        <v>2023</v>
      </c>
      <c r="C52" s="12" t="str">
        <f>data!BA$55</f>
        <v>8350</v>
      </c>
      <c r="D52" s="12" t="s">
        <v>1146</v>
      </c>
      <c r="E52" s="207">
        <f>ROUND(N(data!BA59), 0)</f>
        <v>0</v>
      </c>
      <c r="F52" s="315">
        <f>ROUND(N(data!BA60), 2)</f>
        <v>1</v>
      </c>
      <c r="G52" s="207">
        <f>ROUND(N(data!BA61), 0)</f>
        <v>42455</v>
      </c>
      <c r="H52" s="207">
        <f>ROUND(N(data!BA62), 0)</f>
        <v>9115</v>
      </c>
      <c r="I52" s="207">
        <f>ROUND(N(data!BA63), 0)</f>
        <v>0</v>
      </c>
      <c r="J52" s="207">
        <f>ROUND(N(data!BA64), 0)</f>
        <v>30734</v>
      </c>
      <c r="K52" s="207">
        <f>ROUND(N(data!BA65), 0)</f>
        <v>0</v>
      </c>
      <c r="L52" s="207">
        <f>ROUND(N(data!BA66), 0)</f>
        <v>12958</v>
      </c>
      <c r="M52" s="207">
        <f>ROUND(N(data!BA67), 0)</f>
        <v>12946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677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173</v>
      </c>
      <c r="B53" s="209" t="str">
        <f>RIGHT(data!$C$96,4)</f>
        <v>2023</v>
      </c>
      <c r="C53" s="12" t="str">
        <f>data!BB$55</f>
        <v>8360</v>
      </c>
      <c r="D53" s="12" t="s">
        <v>1146</v>
      </c>
      <c r="E53" s="207">
        <f>ROUND(N(data!BB59), 0)</f>
        <v>0</v>
      </c>
      <c r="F53" s="315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173</v>
      </c>
      <c r="B54" s="209" t="str">
        <f>RIGHT(data!$C$96,4)</f>
        <v>2023</v>
      </c>
      <c r="C54" s="12" t="str">
        <f>data!BC$55</f>
        <v>8370</v>
      </c>
      <c r="D54" s="12" t="s">
        <v>1146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173</v>
      </c>
      <c r="B55" s="209" t="str">
        <f>RIGHT(data!$C$96,4)</f>
        <v>2023</v>
      </c>
      <c r="C55" s="12" t="str">
        <f>data!BD$55</f>
        <v>8420</v>
      </c>
      <c r="D55" s="12" t="s">
        <v>1146</v>
      </c>
      <c r="E55" s="207">
        <f>ROUND(N(data!BD59), 0)</f>
        <v>0</v>
      </c>
      <c r="F55" s="315">
        <f>ROUND(N(data!BD60), 2)</f>
        <v>4</v>
      </c>
      <c r="G55" s="207">
        <f>ROUND(N(data!BD61), 0)</f>
        <v>179358</v>
      </c>
      <c r="H55" s="207">
        <f>ROUND(N(data!BD62), 0)</f>
        <v>38103</v>
      </c>
      <c r="I55" s="207">
        <f>ROUND(N(data!BD63), 0)</f>
        <v>0</v>
      </c>
      <c r="J55" s="207">
        <f>ROUND(N(data!BD64), 0)</f>
        <v>3594</v>
      </c>
      <c r="K55" s="207">
        <f>ROUND(N(data!BD65), 0)</f>
        <v>6616</v>
      </c>
      <c r="L55" s="207">
        <f>ROUND(N(data!BD66), 0)</f>
        <v>0</v>
      </c>
      <c r="M55" s="207">
        <f>ROUND(N(data!BD67), 0)</f>
        <v>14418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754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173</v>
      </c>
      <c r="B56" s="209" t="str">
        <f>RIGHT(data!$C$96,4)</f>
        <v>2023</v>
      </c>
      <c r="C56" s="12" t="str">
        <f>data!BE$55</f>
        <v>8430</v>
      </c>
      <c r="D56" s="12" t="s">
        <v>1146</v>
      </c>
      <c r="E56" s="207">
        <f>ROUND(N(data!BE59), 0)</f>
        <v>78440</v>
      </c>
      <c r="F56" s="315">
        <f>ROUND(N(data!BE60), 2)</f>
        <v>6</v>
      </c>
      <c r="G56" s="207">
        <f>ROUND(N(data!BE61), 0)</f>
        <v>467118</v>
      </c>
      <c r="H56" s="207">
        <f>ROUND(N(data!BE62), 0)</f>
        <v>99675</v>
      </c>
      <c r="I56" s="207">
        <f>ROUND(N(data!BE63), 0)</f>
        <v>434</v>
      </c>
      <c r="J56" s="207">
        <f>ROUND(N(data!BE64), 0)</f>
        <v>55919</v>
      </c>
      <c r="K56" s="207">
        <f>ROUND(N(data!BE65), 0)</f>
        <v>268941</v>
      </c>
      <c r="L56" s="207">
        <f>ROUND(N(data!BE66), 0)</f>
        <v>647733</v>
      </c>
      <c r="M56" s="207">
        <f>ROUND(N(data!BE67), 0)</f>
        <v>463414</v>
      </c>
      <c r="N56" s="207">
        <f>ROUND(N(data!BE68), 0)</f>
        <v>0</v>
      </c>
      <c r="O56" s="207">
        <f>ROUND(N(data!BE69), 0)</f>
        <v>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24234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173</v>
      </c>
      <c r="B57" s="209" t="str">
        <f>RIGHT(data!$C$96,4)</f>
        <v>2023</v>
      </c>
      <c r="C57" s="12" t="str">
        <f>data!BF$55</f>
        <v>8460</v>
      </c>
      <c r="D57" s="12" t="s">
        <v>1146</v>
      </c>
      <c r="E57" s="207">
        <f>ROUND(N(data!BF59), 0)</f>
        <v>0</v>
      </c>
      <c r="F57" s="315">
        <f>ROUND(N(data!BF60), 2)</f>
        <v>10</v>
      </c>
      <c r="G57" s="207">
        <f>ROUND(N(data!BF61), 0)</f>
        <v>433989</v>
      </c>
      <c r="H57" s="207">
        <f>ROUND(N(data!BF62), 0)</f>
        <v>91978</v>
      </c>
      <c r="I57" s="207">
        <f>ROUND(N(data!BF63), 0)</f>
        <v>0</v>
      </c>
      <c r="J57" s="207">
        <f>ROUND(N(data!BF64), 0)</f>
        <v>64695</v>
      </c>
      <c r="K57" s="207">
        <f>ROUND(N(data!BF65), 0)</f>
        <v>0</v>
      </c>
      <c r="L57" s="207">
        <f>ROUND(N(data!BF66), 0)</f>
        <v>7240</v>
      </c>
      <c r="M57" s="207">
        <f>ROUND(N(data!BF67), 0)</f>
        <v>7630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399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173</v>
      </c>
      <c r="B58" s="209" t="str">
        <f>RIGHT(data!$C$96,4)</f>
        <v>2023</v>
      </c>
      <c r="C58" s="12" t="str">
        <f>data!BG$55</f>
        <v>8470</v>
      </c>
      <c r="D58" s="12" t="s">
        <v>1146</v>
      </c>
      <c r="E58" s="207">
        <f>ROUND(N(data!BG59), 0)</f>
        <v>0</v>
      </c>
      <c r="F58" s="315">
        <f>ROUND(N(data!BG60), 2)</f>
        <v>1</v>
      </c>
      <c r="G58" s="207">
        <f>ROUND(N(data!BG61), 0)</f>
        <v>90345</v>
      </c>
      <c r="H58" s="207">
        <f>ROUND(N(data!BG62), 0)</f>
        <v>23651</v>
      </c>
      <c r="I58" s="207">
        <f>ROUND(N(data!BG63), 0)</f>
        <v>0</v>
      </c>
      <c r="J58" s="207">
        <f>ROUND(N(data!BG64), 0)</f>
        <v>31472</v>
      </c>
      <c r="K58" s="207">
        <f>ROUND(N(data!BG65), 0)</f>
        <v>0</v>
      </c>
      <c r="L58" s="207">
        <f>ROUND(N(data!BG66), 0)</f>
        <v>0</v>
      </c>
      <c r="M58" s="207">
        <f>ROUND(N(data!BG67), 0)</f>
        <v>8720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456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173</v>
      </c>
      <c r="B59" s="209" t="str">
        <f>RIGHT(data!$C$96,4)</f>
        <v>2023</v>
      </c>
      <c r="C59" s="12" t="str">
        <f>data!BH$55</f>
        <v>8480</v>
      </c>
      <c r="D59" s="12" t="s">
        <v>1146</v>
      </c>
      <c r="E59" s="207">
        <f>ROUND(N(data!BH59), 0)</f>
        <v>0</v>
      </c>
      <c r="F59" s="315">
        <f>ROUND(N(data!BH60), 2)</f>
        <v>6</v>
      </c>
      <c r="G59" s="207">
        <f>ROUND(N(data!BH61), 0)</f>
        <v>571017</v>
      </c>
      <c r="H59" s="207">
        <f>ROUND(N(data!BH62), 0)</f>
        <v>123932</v>
      </c>
      <c r="I59" s="207">
        <f>ROUND(N(data!BH63), 0)</f>
        <v>0</v>
      </c>
      <c r="J59" s="207">
        <f>ROUND(N(data!BH64), 0)</f>
        <v>78368</v>
      </c>
      <c r="K59" s="207">
        <f>ROUND(N(data!BH65), 0)</f>
        <v>193039</v>
      </c>
      <c r="L59" s="207">
        <f>ROUND(N(data!BH66), 0)</f>
        <v>1330014</v>
      </c>
      <c r="M59" s="207">
        <f>ROUND(N(data!BH67), 0)</f>
        <v>1530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80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173</v>
      </c>
      <c r="B60" s="209" t="str">
        <f>RIGHT(data!$C$96,4)</f>
        <v>2023</v>
      </c>
      <c r="C60" s="12" t="str">
        <f>data!BI$55</f>
        <v>8490</v>
      </c>
      <c r="D60" s="12" t="s">
        <v>1146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173</v>
      </c>
      <c r="B61" s="209" t="str">
        <f>RIGHT(data!$C$96,4)</f>
        <v>2023</v>
      </c>
      <c r="C61" s="12" t="str">
        <f>data!BJ$55</f>
        <v>8510</v>
      </c>
      <c r="D61" s="12" t="s">
        <v>1146</v>
      </c>
      <c r="E61" s="207">
        <f>ROUND(N(data!BJ59), 0)</f>
        <v>0</v>
      </c>
      <c r="F61" s="315">
        <f>ROUND(N(data!BJ60), 2)</f>
        <v>3</v>
      </c>
      <c r="G61" s="207">
        <f>ROUND(N(data!BJ61), 0)</f>
        <v>258695</v>
      </c>
      <c r="H61" s="207">
        <f>ROUND(N(data!BJ62), 0)</f>
        <v>62139</v>
      </c>
      <c r="I61" s="207">
        <f>ROUND(N(data!BJ63), 0)</f>
        <v>63893</v>
      </c>
      <c r="J61" s="207">
        <f>ROUND(N(data!BJ64), 0)</f>
        <v>1514</v>
      </c>
      <c r="K61" s="207">
        <f>ROUND(N(data!BJ65), 0)</f>
        <v>0</v>
      </c>
      <c r="L61" s="207">
        <f>ROUND(N(data!BJ66), 0)</f>
        <v>64873</v>
      </c>
      <c r="M61" s="207">
        <f>ROUND(N(data!BJ67), 0)</f>
        <v>26198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1370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173</v>
      </c>
      <c r="B62" s="209" t="str">
        <f>RIGHT(data!$C$96,4)</f>
        <v>2023</v>
      </c>
      <c r="C62" s="12" t="str">
        <f>data!BK$55</f>
        <v>8530</v>
      </c>
      <c r="D62" s="12" t="s">
        <v>1146</v>
      </c>
      <c r="E62" s="207">
        <f>ROUND(N(data!BK59), 0)</f>
        <v>0</v>
      </c>
      <c r="F62" s="315">
        <f>ROUND(N(data!BK60), 2)</f>
        <v>10</v>
      </c>
      <c r="G62" s="207">
        <f>ROUND(N(data!BK61), 0)</f>
        <v>624403</v>
      </c>
      <c r="H62" s="207">
        <f>ROUND(N(data!BK62), 0)</f>
        <v>144172</v>
      </c>
      <c r="I62" s="207">
        <f>ROUND(N(data!BK63), 0)</f>
        <v>305864</v>
      </c>
      <c r="J62" s="207">
        <f>ROUND(N(data!BK64), 0)</f>
        <v>2659</v>
      </c>
      <c r="K62" s="207">
        <f>ROUND(N(data!BK65), 0)</f>
        <v>7336</v>
      </c>
      <c r="L62" s="207">
        <f>ROUND(N(data!BK66), 0)</f>
        <v>0</v>
      </c>
      <c r="M62" s="207">
        <f>ROUND(N(data!BK67), 0)</f>
        <v>26198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1370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173</v>
      </c>
      <c r="B63" s="209" t="str">
        <f>RIGHT(data!$C$96,4)</f>
        <v>2023</v>
      </c>
      <c r="C63" s="12" t="str">
        <f>data!BL$55</f>
        <v>8560</v>
      </c>
      <c r="D63" s="12" t="s">
        <v>1146</v>
      </c>
      <c r="E63" s="207">
        <f>ROUND(N(data!BL59), 0)</f>
        <v>0</v>
      </c>
      <c r="F63" s="315">
        <f>ROUND(N(data!BL60), 2)</f>
        <v>9</v>
      </c>
      <c r="G63" s="207">
        <f>ROUND(N(data!BL61), 0)</f>
        <v>436740</v>
      </c>
      <c r="H63" s="207">
        <f>ROUND(N(data!BL62), 0)</f>
        <v>95391</v>
      </c>
      <c r="I63" s="207">
        <f>ROUND(N(data!BL63), 0)</f>
        <v>0</v>
      </c>
      <c r="J63" s="207">
        <f>ROUND(N(data!BL64), 0)</f>
        <v>4616</v>
      </c>
      <c r="K63" s="207">
        <f>ROUND(N(data!BL65), 0)</f>
        <v>5168</v>
      </c>
      <c r="L63" s="207">
        <f>ROUND(N(data!BL66), 0)</f>
        <v>0</v>
      </c>
      <c r="M63" s="207">
        <f>ROUND(N(data!BL67), 0)</f>
        <v>11779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616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173</v>
      </c>
      <c r="B64" s="209" t="str">
        <f>RIGHT(data!$C$96,4)</f>
        <v>2023</v>
      </c>
      <c r="C64" s="12" t="str">
        <f>data!BM$55</f>
        <v>8590</v>
      </c>
      <c r="D64" s="12" t="s">
        <v>1146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173</v>
      </c>
      <c r="B65" s="209" t="str">
        <f>RIGHT(data!$C$96,4)</f>
        <v>2023</v>
      </c>
      <c r="C65" s="12" t="str">
        <f>data!BN$55</f>
        <v>8610</v>
      </c>
      <c r="D65" s="12" t="s">
        <v>1146</v>
      </c>
      <c r="E65" s="207">
        <f>ROUND(N(data!BN59), 0)</f>
        <v>0</v>
      </c>
      <c r="F65" s="315">
        <f>ROUND(N(data!BN60), 2)</f>
        <v>4</v>
      </c>
      <c r="G65" s="207">
        <f>ROUND(N(data!BN61), 0)</f>
        <v>768616</v>
      </c>
      <c r="H65" s="207">
        <f>ROUND(N(data!BN62), 0)</f>
        <v>180804</v>
      </c>
      <c r="I65" s="207">
        <f>ROUND(N(data!BN63), 0)</f>
        <v>55524</v>
      </c>
      <c r="J65" s="207">
        <f>ROUND(N(data!BN64), 0)</f>
        <v>4888</v>
      </c>
      <c r="K65" s="207">
        <f>ROUND(N(data!BN65), 0)</f>
        <v>0</v>
      </c>
      <c r="L65" s="207">
        <f>ROUND(N(data!BN66), 0)</f>
        <v>248471</v>
      </c>
      <c r="M65" s="207">
        <f>ROUND(N(data!BN67), 0)</f>
        <v>17038</v>
      </c>
      <c r="N65" s="207">
        <f>ROUND(N(data!BN68), 0)</f>
        <v>0</v>
      </c>
      <c r="O65" s="207">
        <f>ROUND(N(data!BN69), 0)</f>
        <v>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0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891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173</v>
      </c>
      <c r="B66" s="209" t="str">
        <f>RIGHT(data!$C$96,4)</f>
        <v>2023</v>
      </c>
      <c r="C66" s="12" t="str">
        <f>data!BO$55</f>
        <v>8620</v>
      </c>
      <c r="D66" s="12" t="s">
        <v>1146</v>
      </c>
      <c r="E66" s="207">
        <f>ROUND(N(data!BO59), 0)</f>
        <v>0</v>
      </c>
      <c r="F66" s="315">
        <f>ROUND(N(data!BO60), 2)</f>
        <v>1</v>
      </c>
      <c r="G66" s="207">
        <f>ROUND(N(data!BO61), 0)</f>
        <v>63320</v>
      </c>
      <c r="H66" s="207">
        <f>ROUND(N(data!BO62), 0)</f>
        <v>15923</v>
      </c>
      <c r="I66" s="207">
        <f>ROUND(N(data!BO63), 0)</f>
        <v>0</v>
      </c>
      <c r="J66" s="207">
        <f>ROUND(N(data!BO64), 0)</f>
        <v>7193</v>
      </c>
      <c r="K66" s="207">
        <f>ROUND(N(data!BO65), 0)</f>
        <v>0</v>
      </c>
      <c r="L66" s="207">
        <f>ROUND(N(data!BO66), 0)</f>
        <v>12122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173</v>
      </c>
      <c r="B67" s="209" t="str">
        <f>RIGHT(data!$C$96,4)</f>
        <v>2023</v>
      </c>
      <c r="C67" s="12" t="str">
        <f>data!BP$55</f>
        <v>8630</v>
      </c>
      <c r="D67" s="12" t="s">
        <v>1146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173</v>
      </c>
      <c r="B68" s="209" t="str">
        <f>RIGHT(data!$C$96,4)</f>
        <v>2023</v>
      </c>
      <c r="C68" s="12" t="str">
        <f>data!BQ$55</f>
        <v>8640</v>
      </c>
      <c r="D68" s="12" t="s">
        <v>1146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173</v>
      </c>
      <c r="B69" s="209" t="str">
        <f>RIGHT(data!$C$96,4)</f>
        <v>2023</v>
      </c>
      <c r="C69" s="12" t="str">
        <f>data!BR$55</f>
        <v>8650</v>
      </c>
      <c r="D69" s="12" t="s">
        <v>1146</v>
      </c>
      <c r="E69" s="207">
        <f>ROUND(N(data!BR59), 0)</f>
        <v>0</v>
      </c>
      <c r="F69" s="315">
        <f>ROUND(N(data!BR60), 2)</f>
        <v>4</v>
      </c>
      <c r="G69" s="207">
        <f>ROUND(N(data!BR61), 0)</f>
        <v>369504</v>
      </c>
      <c r="H69" s="207">
        <f>ROUND(N(data!BR62), 0)</f>
        <v>95356</v>
      </c>
      <c r="I69" s="207">
        <f>ROUND(N(data!BR63), 0)</f>
        <v>16884</v>
      </c>
      <c r="J69" s="207">
        <f>ROUND(N(data!BR64), 0)</f>
        <v>2184</v>
      </c>
      <c r="K69" s="207">
        <f>ROUND(N(data!BR65), 0)</f>
        <v>0</v>
      </c>
      <c r="L69" s="207">
        <f>ROUND(N(data!BR66), 0)</f>
        <v>39988</v>
      </c>
      <c r="M69" s="207">
        <f>ROUND(N(data!BR67), 0)</f>
        <v>10747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562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173</v>
      </c>
      <c r="B70" s="209" t="str">
        <f>RIGHT(data!$C$96,4)</f>
        <v>2023</v>
      </c>
      <c r="C70" s="12" t="str">
        <f>data!BS$55</f>
        <v>8660</v>
      </c>
      <c r="D70" s="12" t="s">
        <v>1146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173</v>
      </c>
      <c r="B71" s="209" t="str">
        <f>RIGHT(data!$C$96,4)</f>
        <v>2023</v>
      </c>
      <c r="C71" s="12" t="str">
        <f>data!BT$55</f>
        <v>8670</v>
      </c>
      <c r="D71" s="12" t="s">
        <v>1146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173</v>
      </c>
      <c r="B72" s="209" t="str">
        <f>RIGHT(data!$C$96,4)</f>
        <v>2023</v>
      </c>
      <c r="C72" s="12" t="str">
        <f>data!BU$55</f>
        <v>8680</v>
      </c>
      <c r="D72" s="12" t="s">
        <v>1146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173</v>
      </c>
      <c r="B73" s="209" t="str">
        <f>RIGHT(data!$C$96,4)</f>
        <v>2023</v>
      </c>
      <c r="C73" s="12" t="str">
        <f>data!BV$55</f>
        <v>8690</v>
      </c>
      <c r="D73" s="12" t="s">
        <v>1146</v>
      </c>
      <c r="E73" s="207">
        <f>ROUND(N(data!BV59), 0)</f>
        <v>0</v>
      </c>
      <c r="F73" s="315">
        <f>ROUND(N(data!BV60), 2)</f>
        <v>4</v>
      </c>
      <c r="G73" s="207">
        <f>ROUND(N(data!BV61), 0)</f>
        <v>194470</v>
      </c>
      <c r="H73" s="207">
        <f>ROUND(N(data!BV62), 0)</f>
        <v>38815</v>
      </c>
      <c r="I73" s="207">
        <f>ROUND(N(data!BV63), 0)</f>
        <v>0</v>
      </c>
      <c r="J73" s="207">
        <f>ROUND(N(data!BV64), 0)</f>
        <v>1715</v>
      </c>
      <c r="K73" s="207">
        <f>ROUND(N(data!BV65), 0)</f>
        <v>0</v>
      </c>
      <c r="L73" s="207">
        <f>ROUND(N(data!BV66), 0)</f>
        <v>0</v>
      </c>
      <c r="M73" s="207">
        <f>ROUND(N(data!BV67), 0)</f>
        <v>21685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1134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173</v>
      </c>
      <c r="B74" s="209" t="str">
        <f>RIGHT(data!$C$96,4)</f>
        <v>2023</v>
      </c>
      <c r="C74" s="12" t="str">
        <f>data!BW$55</f>
        <v>8700</v>
      </c>
      <c r="D74" s="12" t="s">
        <v>1146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173</v>
      </c>
      <c r="B75" s="209" t="str">
        <f>RIGHT(data!$C$96,4)</f>
        <v>2023</v>
      </c>
      <c r="C75" s="12" t="str">
        <f>data!BX$55</f>
        <v>8710</v>
      </c>
      <c r="D75" s="12" t="s">
        <v>1146</v>
      </c>
      <c r="E75" s="207">
        <f>ROUND(N(data!BX59), 0)</f>
        <v>0</v>
      </c>
      <c r="F75" s="315">
        <f>ROUND(N(data!BX60), 2)</f>
        <v>2</v>
      </c>
      <c r="G75" s="207">
        <f>ROUND(N(data!BX61), 0)</f>
        <v>272360</v>
      </c>
      <c r="H75" s="207">
        <f>ROUND(N(data!BX62), 0)</f>
        <v>68589</v>
      </c>
      <c r="I75" s="207">
        <f>ROUND(N(data!BX63), 0)</f>
        <v>5755</v>
      </c>
      <c r="J75" s="207">
        <f>ROUND(N(data!BX64), 0)</f>
        <v>0</v>
      </c>
      <c r="K75" s="207">
        <f>ROUND(N(data!BX65), 0)</f>
        <v>0</v>
      </c>
      <c r="L75" s="207">
        <f>ROUND(N(data!BX66), 0)</f>
        <v>94525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173</v>
      </c>
      <c r="B76" s="209" t="str">
        <f>RIGHT(data!$C$96,4)</f>
        <v>2023</v>
      </c>
      <c r="C76" s="12" t="str">
        <f>data!BY$55</f>
        <v>8720</v>
      </c>
      <c r="D76" s="12" t="s">
        <v>1146</v>
      </c>
      <c r="E76" s="207">
        <f>ROUND(N(data!BY59), 0)</f>
        <v>0</v>
      </c>
      <c r="F76" s="315">
        <f>ROUND(N(data!BY60), 2)</f>
        <v>5</v>
      </c>
      <c r="G76" s="207">
        <f>ROUND(N(data!BY61), 0)</f>
        <v>712259</v>
      </c>
      <c r="H76" s="207">
        <f>ROUND(N(data!BY62), 0)</f>
        <v>141235</v>
      </c>
      <c r="I76" s="207">
        <f>ROUND(N(data!BY63), 0)</f>
        <v>13410</v>
      </c>
      <c r="J76" s="207">
        <f>ROUND(N(data!BY64), 0)</f>
        <v>0</v>
      </c>
      <c r="K76" s="207">
        <f>ROUND(N(data!BY65), 0)</f>
        <v>0</v>
      </c>
      <c r="L76" s="207">
        <f>ROUND(N(data!BY66), 0)</f>
        <v>44609</v>
      </c>
      <c r="M76" s="207">
        <f>ROUND(N(data!BY67), 0)</f>
        <v>13520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707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173</v>
      </c>
      <c r="B77" s="209" t="str">
        <f>RIGHT(data!$C$96,4)</f>
        <v>2023</v>
      </c>
      <c r="C77" s="12" t="str">
        <f>data!BZ$55</f>
        <v>8730</v>
      </c>
      <c r="D77" s="12" t="s">
        <v>1146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173</v>
      </c>
      <c r="B78" s="209" t="str">
        <f>RIGHT(data!$C$96,4)</f>
        <v>2023</v>
      </c>
      <c r="C78" s="12" t="str">
        <f>data!CA$55</f>
        <v>8740</v>
      </c>
      <c r="D78" s="12" t="s">
        <v>1146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173</v>
      </c>
      <c r="B79" s="209" t="str">
        <f>RIGHT(data!$C$96,4)</f>
        <v>2023</v>
      </c>
      <c r="C79" s="12" t="str">
        <f>data!CB$55</f>
        <v>8770</v>
      </c>
      <c r="D79" s="12" t="s">
        <v>1146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173</v>
      </c>
      <c r="B80" s="209" t="str">
        <f>RIGHT(data!$C$96,4)</f>
        <v>2023</v>
      </c>
      <c r="C80" s="12" t="str">
        <f>data!CC$55</f>
        <v>8790</v>
      </c>
      <c r="D80" s="12" t="s">
        <v>1146</v>
      </c>
      <c r="E80" s="207">
        <f>ROUND(N(data!CC59), 0)</f>
        <v>0</v>
      </c>
      <c r="F80" s="315">
        <f>ROUND(N(data!CC60), 2)</f>
        <v>1</v>
      </c>
      <c r="G80" s="207">
        <f>ROUND(N(data!CC61), 0)</f>
        <v>51699</v>
      </c>
      <c r="H80" s="207">
        <f>ROUND(N(data!CC62), 0)</f>
        <v>11174</v>
      </c>
      <c r="I80" s="207">
        <f>ROUND(N(data!CC63), 0)</f>
        <v>0</v>
      </c>
      <c r="J80" s="207">
        <f>ROUND(N(data!CC64), 0)</f>
        <v>28574</v>
      </c>
      <c r="K80" s="207">
        <f>ROUND(N(data!CC65), 0)</f>
        <v>0</v>
      </c>
      <c r="L80" s="207">
        <f>ROUND(N(data!CC66), 0)</f>
        <v>100000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94C1-0DDC-4C98-A68F-E0718CA3807E}">
  <sheetPr codeName="Sheet2">
    <tabColor rgb="FF92D050"/>
    <pageSetUpPr fitToPage="1"/>
  </sheetPr>
  <dimension ref="B1:J42"/>
  <sheetViews>
    <sheetView workbookViewId="0">
      <selection activeCell="C35" sqref="C35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Arbor Health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H-173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PO Box 1138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Morton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11A6-2732-4E84-A59B-FA5BDD52412C}">
  <sheetPr codeName="Sheet9">
    <tabColor rgb="FF92D050"/>
    <pageSetUpPr fitToPage="1"/>
  </sheetPr>
  <dimension ref="A2:M94"/>
  <sheetViews>
    <sheetView topLeftCell="A22" zoomScaleNormal="100" workbookViewId="0">
      <selection activeCell="A37" sqref="A3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173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0" t="s">
        <v>365</v>
      </c>
      <c r="C14" s="240" t="s">
        <v>365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739</v>
      </c>
      <c r="B17" s="240">
        <f>ROUND(N('Prior Year'!E85), 0)</f>
        <v>3924228</v>
      </c>
      <c r="C17" s="240">
        <f>data!E85</f>
        <v>3300543</v>
      </c>
      <c r="D17" s="240">
        <f>ROUND(N('Prior Year'!E59), 0)</f>
        <v>642</v>
      </c>
      <c r="E17" s="1">
        <f>data!E59</f>
        <v>503</v>
      </c>
      <c r="F17" s="216">
        <f t="shared" si="0"/>
        <v>6112.5046728971965</v>
      </c>
      <c r="G17" s="216">
        <f t="shared" si="1"/>
        <v>6561.7157057654076</v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741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742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743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744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746</v>
      </c>
      <c r="B24" s="240">
        <f>ROUND(N('Prior Year'!L85), 0)</f>
        <v>0</v>
      </c>
      <c r="C24" s="240">
        <f>data!L85</f>
        <v>0</v>
      </c>
      <c r="D24" s="240">
        <f>ROUND(N('Prior Year'!L59), 0)</f>
        <v>1145</v>
      </c>
      <c r="E24" s="1">
        <f>data!L59</f>
        <v>902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747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749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750</v>
      </c>
      <c r="B28" s="240">
        <f>ROUND(N('Prior Year'!P85), 0)</f>
        <v>1971898</v>
      </c>
      <c r="C28" s="240">
        <f>data!P85</f>
        <v>2175253</v>
      </c>
      <c r="D28" s="240">
        <f>ROUND(N('Prior Year'!P59), 0)</f>
        <v>36284</v>
      </c>
      <c r="E28" s="1">
        <f>data!P59</f>
        <v>40501</v>
      </c>
      <c r="F28" s="216">
        <f t="shared" si="0"/>
        <v>54.34621320692316</v>
      </c>
      <c r="G28" s="216">
        <f t="shared" si="1"/>
        <v>53.708624478407941</v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751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752</v>
      </c>
      <c r="B30" s="240">
        <f>ROUND(N('Prior Year'!R85), 0)</f>
        <v>622720</v>
      </c>
      <c r="C30" s="240">
        <f>data!R85</f>
        <v>638417</v>
      </c>
      <c r="D30" s="240">
        <f>ROUND(N('Prior Year'!R59), 0)</f>
        <v>36284</v>
      </c>
      <c r="E30" s="1">
        <f>data!R59</f>
        <v>42139</v>
      </c>
      <c r="F30" s="216">
        <f t="shared" si="0"/>
        <v>17.162385624517693</v>
      </c>
      <c r="G30" s="216">
        <f>IFERROR(IF(C30=0,"",IF(E30=0,"",C30/E30)),"")</f>
        <v>15.150264600488859</v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753</v>
      </c>
      <c r="B31" s="240">
        <f>ROUND(N('Prior Year'!S85), 0)</f>
        <v>97493</v>
      </c>
      <c r="C31" s="240">
        <f>data!S85</f>
        <v>101274</v>
      </c>
      <c r="D31" s="240" t="s">
        <v>754</v>
      </c>
      <c r="E31" s="4" t="s">
        <v>754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755</v>
      </c>
      <c r="B32" s="240">
        <f>ROUND(N('Prior Year'!T85), 0)</f>
        <v>0</v>
      </c>
      <c r="C32" s="240">
        <f>data!T85</f>
        <v>0</v>
      </c>
      <c r="D32" s="240" t="s">
        <v>754</v>
      </c>
      <c r="E32" s="4" t="s">
        <v>754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756</v>
      </c>
      <c r="B33" s="240">
        <f>ROUND(N('Prior Year'!U85), 0)</f>
        <v>1873646</v>
      </c>
      <c r="C33" s="240">
        <f>data!U85</f>
        <v>1969687</v>
      </c>
      <c r="D33" s="240">
        <f>ROUND(N('Prior Year'!U59), 0)</f>
        <v>49368</v>
      </c>
      <c r="E33" s="1">
        <f>data!U59</f>
        <v>46906</v>
      </c>
      <c r="F33" s="216">
        <f t="shared" si="0"/>
        <v>37.952641387133369</v>
      </c>
      <c r="G33" s="216">
        <f t="shared" ref="G33:G69" si="5">IF(C33=0,"",IF(E33=0,"",C33/E33))</f>
        <v>41.992218479512218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757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758</v>
      </c>
      <c r="B35" s="240">
        <f>ROUND(N('Prior Year'!W85), 0)</f>
        <v>208097</v>
      </c>
      <c r="C35" s="240">
        <f>data!W85</f>
        <v>225744</v>
      </c>
      <c r="D35" s="240">
        <f>ROUND(N('Prior Year'!W59), 0)</f>
        <v>349</v>
      </c>
      <c r="E35" s="1">
        <f>data!W59</f>
        <v>417</v>
      </c>
      <c r="F35" s="216">
        <f t="shared" si="0"/>
        <v>596.26647564469909</v>
      </c>
      <c r="G35" s="216">
        <f t="shared" si="5"/>
        <v>541.35251798561148</v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759</v>
      </c>
      <c r="B36" s="240">
        <f>ROUND(N('Prior Year'!X85), 0)</f>
        <v>96269</v>
      </c>
      <c r="C36" s="240">
        <f>data!X85</f>
        <v>110780</v>
      </c>
      <c r="D36" s="240">
        <f>ROUND(N('Prior Year'!X59), 0)</f>
        <v>2275</v>
      </c>
      <c r="E36" s="1">
        <f>data!X59</f>
        <v>2534</v>
      </c>
      <c r="F36" s="216">
        <f t="shared" si="0"/>
        <v>42.316043956043956</v>
      </c>
      <c r="G36" s="216">
        <f t="shared" si="5"/>
        <v>43.71744277821626</v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760</v>
      </c>
      <c r="B37" s="240">
        <f>ROUND(N('Prior Year'!Y85), 0)</f>
        <v>1487433</v>
      </c>
      <c r="C37" s="240">
        <f>data!Y85</f>
        <v>1639760</v>
      </c>
      <c r="D37" s="240">
        <f>ROUND(N('Prior Year'!Y59), 0)</f>
        <v>4958</v>
      </c>
      <c r="E37" s="1">
        <f>data!Y59</f>
        <v>5267</v>
      </c>
      <c r="F37" s="216">
        <f t="shared" si="0"/>
        <v>300.00665590964098</v>
      </c>
      <c r="G37" s="216">
        <f t="shared" si="5"/>
        <v>311.32713119422823</v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761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762</v>
      </c>
      <c r="B39" s="240">
        <f>ROUND(N('Prior Year'!AA85), 0)</f>
        <v>60712</v>
      </c>
      <c r="C39" s="240">
        <f>data!AA85</f>
        <v>118133</v>
      </c>
      <c r="D39" s="240">
        <f>ROUND(N('Prior Year'!AA59), 0)</f>
        <v>21</v>
      </c>
      <c r="E39" s="1">
        <f>data!AA59</f>
        <v>53</v>
      </c>
      <c r="F39" s="216">
        <f t="shared" si="0"/>
        <v>2891.0476190476193</v>
      </c>
      <c r="G39" s="216">
        <f t="shared" si="5"/>
        <v>2228.9245283018868</v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763</v>
      </c>
      <c r="B40" s="240">
        <f>ROUND(N('Prior Year'!AB85), 0)</f>
        <v>1057926</v>
      </c>
      <c r="C40" s="240">
        <f>data!AB85</f>
        <v>870584</v>
      </c>
      <c r="D40" s="240" t="s">
        <v>754</v>
      </c>
      <c r="E40" s="4" t="s">
        <v>754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764</v>
      </c>
      <c r="B41" s="240">
        <f>ROUND(N('Prior Year'!AC85), 0)</f>
        <v>470289</v>
      </c>
      <c r="C41" s="240">
        <f>data!AC85</f>
        <v>431771</v>
      </c>
      <c r="D41" s="240">
        <f>ROUND(N('Prior Year'!AC59), 0)</f>
        <v>3944</v>
      </c>
      <c r="E41" s="1">
        <f>data!AC59</f>
        <v>3815</v>
      </c>
      <c r="F41" s="216">
        <f t="shared" si="0"/>
        <v>119.24163286004057</v>
      </c>
      <c r="G41" s="216">
        <f t="shared" si="5"/>
        <v>113.17719528178243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765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766</v>
      </c>
      <c r="B43" s="240">
        <f>ROUND(N('Prior Year'!AE85), 0)</f>
        <v>1473308</v>
      </c>
      <c r="C43" s="240">
        <f>data!AE85</f>
        <v>1738752</v>
      </c>
      <c r="D43" s="240">
        <f>ROUND(N('Prior Year'!AE59), 0)</f>
        <v>24240</v>
      </c>
      <c r="E43" s="1">
        <f>data!AE59</f>
        <v>26935</v>
      </c>
      <c r="F43" s="216">
        <f t="shared" si="0"/>
        <v>60.780033003300332</v>
      </c>
      <c r="G43" s="216">
        <f t="shared" si="5"/>
        <v>64.553629107109714</v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767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768</v>
      </c>
      <c r="B45" s="240">
        <f>ROUND(N('Prior Year'!AG85), 0)</f>
        <v>4074957</v>
      </c>
      <c r="C45" s="240">
        <f>data!AG85</f>
        <v>4347493</v>
      </c>
      <c r="D45" s="240">
        <f>ROUND(N('Prior Year'!AG59), 0)</f>
        <v>5299</v>
      </c>
      <c r="E45" s="1">
        <f>data!AG59</f>
        <v>5474</v>
      </c>
      <c r="F45" s="216">
        <f t="shared" si="0"/>
        <v>769.00490658614831</v>
      </c>
      <c r="G45" s="216">
        <f t="shared" si="5"/>
        <v>794.20770917062475</v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769</v>
      </c>
      <c r="B46" s="240">
        <f>ROUND(N('Prior Year'!AH85), 0)</f>
        <v>299194</v>
      </c>
      <c r="C46" s="240">
        <f>data!AH85</f>
        <v>483337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770</v>
      </c>
      <c r="B47" s="240">
        <f>ROUND(N('Prior Year'!AI85), 0)</f>
        <v>10183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0">
        <f>ROUND(N('Prior Year'!AJ85), 0)</f>
        <v>6594091</v>
      </c>
      <c r="C48" s="240">
        <f>data!AJ85</f>
        <v>6801776</v>
      </c>
      <c r="D48" s="240">
        <f>ROUND(N('Prior Year'!AJ59), 0)</f>
        <v>24660</v>
      </c>
      <c r="E48" s="1">
        <f>data!AJ59</f>
        <v>26228</v>
      </c>
      <c r="F48" s="216">
        <f t="shared" si="0"/>
        <v>267.40028386050284</v>
      </c>
      <c r="G48" s="216">
        <f t="shared" si="5"/>
        <v>259.33262162574346</v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772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773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774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775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776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777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778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779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780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781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782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783</v>
      </c>
      <c r="B60" s="240">
        <f>ROUND(N('Prior Year'!AV85), 0)</f>
        <v>66444</v>
      </c>
      <c r="C60" s="240">
        <f>data!AV85</f>
        <v>874948</v>
      </c>
      <c r="D60" s="240" t="s">
        <v>754</v>
      </c>
      <c r="E60" s="4" t="s">
        <v>754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784</v>
      </c>
      <c r="B61" s="240">
        <f>ROUND(N('Prior Year'!AW85), 0)</f>
        <v>0</v>
      </c>
      <c r="C61" s="240">
        <f>data!AW85</f>
        <v>0</v>
      </c>
      <c r="D61" s="240" t="s">
        <v>754</v>
      </c>
      <c r="E61" s="4" t="s">
        <v>754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785</v>
      </c>
      <c r="B62" s="240">
        <f>ROUND(N('Prior Year'!AX85), 0)</f>
        <v>0</v>
      </c>
      <c r="C62" s="240">
        <f>data!AX85</f>
        <v>0</v>
      </c>
      <c r="D62" s="240" t="s">
        <v>754</v>
      </c>
      <c r="E62" s="4" t="s">
        <v>754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786</v>
      </c>
      <c r="B63" s="240">
        <f>ROUND(N('Prior Year'!AY85), 0)</f>
        <v>706587</v>
      </c>
      <c r="C63" s="240">
        <f>data!AY85</f>
        <v>706933</v>
      </c>
      <c r="D63" s="240">
        <f>ROUND(N('Prior Year'!AY59), 0)</f>
        <v>22166</v>
      </c>
      <c r="E63" s="1">
        <f>data!AY59</f>
        <v>22575</v>
      </c>
      <c r="F63" s="216">
        <f>IF(B63=0,"",IF(D63=0,"",B63/D63))</f>
        <v>31.877063971848777</v>
      </c>
      <c r="G63" s="216">
        <f t="shared" si="5"/>
        <v>31.314861572535992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787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788</v>
      </c>
      <c r="B65" s="240">
        <f>ROUND(N('Prior Year'!BA85), 0)</f>
        <v>120821</v>
      </c>
      <c r="C65" s="240">
        <f>data!BA85</f>
        <v>108208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789</v>
      </c>
      <c r="B66" s="240">
        <f>ROUND(N('Prior Year'!BB85), 0)</f>
        <v>0</v>
      </c>
      <c r="C66" s="240">
        <f>data!BB85</f>
        <v>0</v>
      </c>
      <c r="D66" s="240" t="s">
        <v>754</v>
      </c>
      <c r="E66" s="4" t="s">
        <v>754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790</v>
      </c>
      <c r="B67" s="240">
        <f>ROUND(N('Prior Year'!BC85), 0)</f>
        <v>48308</v>
      </c>
      <c r="C67" s="240">
        <f>data!BC85</f>
        <v>0</v>
      </c>
      <c r="D67" s="240" t="s">
        <v>754</v>
      </c>
      <c r="E67" s="4" t="s">
        <v>754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791</v>
      </c>
      <c r="B68" s="240">
        <f>ROUND(N('Prior Year'!BD85), 0)</f>
        <v>166907</v>
      </c>
      <c r="C68" s="240">
        <f>data!BD85</f>
        <v>242089</v>
      </c>
      <c r="D68" s="240" t="s">
        <v>754</v>
      </c>
      <c r="E68" s="4" t="s">
        <v>754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792</v>
      </c>
      <c r="B69" s="240">
        <f>ROUND(N('Prior Year'!BE85), 0)</f>
        <v>1699488</v>
      </c>
      <c r="C69" s="240">
        <f>data!BE85</f>
        <v>2003234</v>
      </c>
      <c r="D69" s="240">
        <f>ROUND(N('Prior Year'!BE59), 0)</f>
        <v>78440</v>
      </c>
      <c r="E69" s="1">
        <f>data!BE59</f>
        <v>78440</v>
      </c>
      <c r="F69" s="216">
        <f>IF(B69=0,"",IF(D69=0,"",B69/D69))</f>
        <v>21.666088730239675</v>
      </c>
      <c r="G69" s="216">
        <f t="shared" si="5"/>
        <v>25.538424273329934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793</v>
      </c>
      <c r="B70" s="240">
        <f>ROUND(N('Prior Year'!BF85), 0)</f>
        <v>526486</v>
      </c>
      <c r="C70" s="240">
        <f>data!BF85</f>
        <v>605532</v>
      </c>
      <c r="D70" s="240" t="s">
        <v>754</v>
      </c>
      <c r="E70" s="4" t="s">
        <v>754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794</v>
      </c>
      <c r="B71" s="240">
        <f>ROUND(N('Prior Year'!BG85), 0)</f>
        <v>454903</v>
      </c>
      <c r="C71" s="240">
        <f>data!BG85</f>
        <v>154188</v>
      </c>
      <c r="D71" s="240" t="s">
        <v>754</v>
      </c>
      <c r="E71" s="4" t="s">
        <v>754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795</v>
      </c>
      <c r="B72" s="240">
        <f>ROUND(N('Prior Year'!BH85), 0)</f>
        <v>2112549</v>
      </c>
      <c r="C72" s="240">
        <f>data!BH85</f>
        <v>2297900</v>
      </c>
      <c r="D72" s="240" t="s">
        <v>754</v>
      </c>
      <c r="E72" s="4" t="s">
        <v>754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796</v>
      </c>
      <c r="B73" s="240">
        <f>ROUND(N('Prior Year'!BI85), 0)</f>
        <v>0</v>
      </c>
      <c r="C73" s="240">
        <f>data!BI85</f>
        <v>0</v>
      </c>
      <c r="D73" s="240" t="s">
        <v>754</v>
      </c>
      <c r="E73" s="4" t="s">
        <v>754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797</v>
      </c>
      <c r="B74" s="240">
        <f>ROUND(N('Prior Year'!BJ85), 0)</f>
        <v>447262</v>
      </c>
      <c r="C74" s="240">
        <f>data!BJ85</f>
        <v>477312</v>
      </c>
      <c r="D74" s="240" t="s">
        <v>754</v>
      </c>
      <c r="E74" s="4" t="s">
        <v>754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798</v>
      </c>
      <c r="B75" s="240">
        <f>ROUND(N('Prior Year'!BK85), 0)</f>
        <v>1056464</v>
      </c>
      <c r="C75" s="240">
        <f>data!BK85</f>
        <v>1110632</v>
      </c>
      <c r="D75" s="240" t="s">
        <v>754</v>
      </c>
      <c r="E75" s="4" t="s">
        <v>754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799</v>
      </c>
      <c r="B76" s="240">
        <f>ROUND(N('Prior Year'!BL85), 0)</f>
        <v>543495</v>
      </c>
      <c r="C76" s="240">
        <f>data!BL85</f>
        <v>553694</v>
      </c>
      <c r="D76" s="240" t="s">
        <v>754</v>
      </c>
      <c r="E76" s="4" t="s">
        <v>754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800</v>
      </c>
      <c r="B77" s="240">
        <f>ROUND(N('Prior Year'!BM85), 0)</f>
        <v>0</v>
      </c>
      <c r="C77" s="240">
        <f>data!BM85</f>
        <v>0</v>
      </c>
      <c r="D77" s="240" t="s">
        <v>754</v>
      </c>
      <c r="E77" s="4" t="s">
        <v>754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801</v>
      </c>
      <c r="B78" s="240">
        <f>ROUND(N('Prior Year'!BN85), 0)</f>
        <v>1164939</v>
      </c>
      <c r="C78" s="240">
        <f>data!BN85</f>
        <v>1275341</v>
      </c>
      <c r="D78" s="240" t="s">
        <v>754</v>
      </c>
      <c r="E78" s="4" t="s">
        <v>754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802</v>
      </c>
      <c r="B79" s="240">
        <f>ROUND(N('Prior Year'!BO85), 0)</f>
        <v>90610</v>
      </c>
      <c r="C79" s="240">
        <f>data!BO85</f>
        <v>98558</v>
      </c>
      <c r="D79" s="240" t="s">
        <v>754</v>
      </c>
      <c r="E79" s="4" t="s">
        <v>754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0">
        <f>ROUND(N('Prior Year'!BP85), 0)</f>
        <v>0</v>
      </c>
      <c r="C80" s="240">
        <f>data!BP85</f>
        <v>0</v>
      </c>
      <c r="D80" s="240" t="s">
        <v>754</v>
      </c>
      <c r="E80" s="4" t="s">
        <v>754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804</v>
      </c>
      <c r="B81" s="240">
        <f>ROUND(N('Prior Year'!BQ85), 0)</f>
        <v>0</v>
      </c>
      <c r="C81" s="240">
        <f>data!BQ85</f>
        <v>0</v>
      </c>
      <c r="D81" s="240" t="s">
        <v>754</v>
      </c>
      <c r="E81" s="4" t="s">
        <v>754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805</v>
      </c>
      <c r="B82" s="240">
        <f>ROUND(N('Prior Year'!BR85), 0)</f>
        <v>598177</v>
      </c>
      <c r="C82" s="240">
        <f>data!BR85</f>
        <v>534663</v>
      </c>
      <c r="D82" s="240" t="s">
        <v>754</v>
      </c>
      <c r="E82" s="4" t="s">
        <v>754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806</v>
      </c>
      <c r="B83" s="240">
        <f>ROUND(N('Prior Year'!BS85), 0)</f>
        <v>51086</v>
      </c>
      <c r="C83" s="240">
        <f>data!BS85</f>
        <v>0</v>
      </c>
      <c r="D83" s="240" t="s">
        <v>754</v>
      </c>
      <c r="E83" s="4" t="s">
        <v>754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807</v>
      </c>
      <c r="B84" s="240">
        <f>ROUND(N('Prior Year'!BT85), 0)</f>
        <v>0</v>
      </c>
      <c r="C84" s="240">
        <f>data!BT85</f>
        <v>0</v>
      </c>
      <c r="D84" s="240" t="s">
        <v>754</v>
      </c>
      <c r="E84" s="4" t="s">
        <v>754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808</v>
      </c>
      <c r="B85" s="240">
        <f>ROUND(N('Prior Year'!BU85), 0)</f>
        <v>0</v>
      </c>
      <c r="C85" s="240">
        <f>data!BU85</f>
        <v>0</v>
      </c>
      <c r="D85" s="240" t="s">
        <v>754</v>
      </c>
      <c r="E85" s="4" t="s">
        <v>754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809</v>
      </c>
      <c r="B86" s="240">
        <f>ROUND(N('Prior Year'!BV85), 0)</f>
        <v>276100</v>
      </c>
      <c r="C86" s="240">
        <f>data!BV85</f>
        <v>256685</v>
      </c>
      <c r="D86" s="240" t="s">
        <v>754</v>
      </c>
      <c r="E86" s="4" t="s">
        <v>754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810</v>
      </c>
      <c r="B87" s="240">
        <f>ROUND(N('Prior Year'!BW85), 0)</f>
        <v>0</v>
      </c>
      <c r="C87" s="240">
        <f>data!BW85</f>
        <v>0</v>
      </c>
      <c r="D87" s="240" t="s">
        <v>754</v>
      </c>
      <c r="E87" s="4" t="s">
        <v>754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811</v>
      </c>
      <c r="B88" s="240">
        <f>ROUND(N('Prior Year'!BX85), 0)</f>
        <v>163784</v>
      </c>
      <c r="C88" s="240">
        <f>data!BX85</f>
        <v>441229</v>
      </c>
      <c r="D88" s="240" t="s">
        <v>754</v>
      </c>
      <c r="E88" s="4" t="s">
        <v>754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812</v>
      </c>
      <c r="B89" s="240">
        <f>ROUND(N('Prior Year'!BY85), 0)</f>
        <v>853231</v>
      </c>
      <c r="C89" s="240">
        <f>data!BY85</f>
        <v>925033</v>
      </c>
      <c r="D89" s="240" t="s">
        <v>754</v>
      </c>
      <c r="E89" s="4" t="s">
        <v>754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813</v>
      </c>
      <c r="B90" s="240">
        <f>ROUND(N('Prior Year'!BZ85), 0)</f>
        <v>0</v>
      </c>
      <c r="C90" s="240">
        <f>data!BZ85</f>
        <v>0</v>
      </c>
      <c r="D90" s="240" t="s">
        <v>754</v>
      </c>
      <c r="E90" s="4" t="s">
        <v>754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814</v>
      </c>
      <c r="B91" s="240">
        <f>ROUND(N('Prior Year'!CA85), 0)</f>
        <v>0</v>
      </c>
      <c r="C91" s="240">
        <f>data!CA85</f>
        <v>0</v>
      </c>
      <c r="D91" s="240" t="s">
        <v>754</v>
      </c>
      <c r="E91" s="4" t="s">
        <v>754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815</v>
      </c>
      <c r="B92" s="240">
        <f>ROUND(N('Prior Year'!CB85), 0)</f>
        <v>4432</v>
      </c>
      <c r="C92" s="240">
        <f>data!CB85</f>
        <v>0</v>
      </c>
      <c r="D92" s="240" t="s">
        <v>754</v>
      </c>
      <c r="E92" s="4" t="s">
        <v>754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816</v>
      </c>
      <c r="B93" s="240">
        <f>ROUND(N('Prior Year'!CC85), 0)</f>
        <v>631382</v>
      </c>
      <c r="C93" s="240">
        <f>data!CC85</f>
        <v>191447</v>
      </c>
      <c r="D93" s="240" t="s">
        <v>754</v>
      </c>
      <c r="E93" s="4" t="s">
        <v>754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817</v>
      </c>
      <c r="B94" s="240">
        <f>ROUND(N('Prior Year'!CD85), 0)</f>
        <v>2958216</v>
      </c>
      <c r="C94" s="240">
        <f>data!CD85</f>
        <v>1476506</v>
      </c>
      <c r="D94" s="240" t="s">
        <v>754</v>
      </c>
      <c r="E94" s="4" t="s">
        <v>754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0541-67B7-4690-B78B-9D940EBFCBEF}">
  <sheetPr>
    <tabColor rgb="FF92D050"/>
  </sheetPr>
  <dimension ref="A1:D36"/>
  <sheetViews>
    <sheetView workbookViewId="0">
      <selection activeCell="D11" sqref="D11"/>
    </sheetView>
  </sheetViews>
  <sheetFormatPr defaultRowHeight="12.5" x14ac:dyDescent="0.25"/>
  <sheetData>
    <row r="1" spans="1:4" ht="14.5" x14ac:dyDescent="0.35">
      <c r="A1" s="262" t="s">
        <v>818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819</v>
      </c>
      <c r="B3" s="261"/>
      <c r="C3" s="261"/>
      <c r="D3" s="261"/>
    </row>
    <row r="4" spans="1:4" ht="14.5" x14ac:dyDescent="0.35">
      <c r="A4" s="261" t="s">
        <v>820</v>
      </c>
      <c r="B4" s="261"/>
      <c r="C4" s="261"/>
      <c r="D4" s="261"/>
    </row>
    <row r="5" spans="1:4" ht="14.5" x14ac:dyDescent="0.35">
      <c r="A5" s="261" t="s">
        <v>821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822</v>
      </c>
      <c r="B7" s="261"/>
      <c r="C7" s="261"/>
      <c r="D7" s="261"/>
    </row>
    <row r="8" spans="1:4" ht="14.5" x14ac:dyDescent="0.35">
      <c r="A8" s="261" t="s">
        <v>823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824</v>
      </c>
      <c r="B11" s="261"/>
      <c r="C11" s="261"/>
      <c r="D11" s="261">
        <f>N(data!C380)</f>
        <v>485146</v>
      </c>
    </row>
    <row r="12" spans="1:4" ht="14.5" x14ac:dyDescent="0.35">
      <c r="A12" s="263" t="s">
        <v>825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826</v>
      </c>
      <c r="B14" s="261"/>
      <c r="C14" s="261"/>
      <c r="D14" s="263" t="s">
        <v>827</v>
      </c>
    </row>
    <row r="15" spans="1:4" ht="14.5" x14ac:dyDescent="0.35">
      <c r="A15" s="261" t="s">
        <v>828</v>
      </c>
      <c r="B15" s="261"/>
      <c r="C15" s="261"/>
      <c r="D15" s="261"/>
    </row>
    <row r="16" spans="1:4" ht="14.5" x14ac:dyDescent="0.35">
      <c r="A16" s="261" t="s">
        <v>828</v>
      </c>
      <c r="B16" s="261"/>
      <c r="C16" s="261"/>
      <c r="D16" s="261"/>
    </row>
    <row r="17" spans="1:4" ht="14.5" x14ac:dyDescent="0.35">
      <c r="A17" s="261" t="s">
        <v>828</v>
      </c>
      <c r="B17" s="261"/>
      <c r="C17" s="261"/>
      <c r="D17" s="261"/>
    </row>
    <row r="18" spans="1:4" ht="14.5" x14ac:dyDescent="0.35">
      <c r="A18" s="261" t="s">
        <v>828</v>
      </c>
      <c r="B18" s="261"/>
      <c r="C18" s="261"/>
      <c r="D18" s="261"/>
    </row>
    <row r="19" spans="1:4" ht="14.5" x14ac:dyDescent="0.35">
      <c r="A19" s="261" t="s">
        <v>828</v>
      </c>
      <c r="B19" s="261"/>
      <c r="C19" s="261"/>
      <c r="D19" s="261"/>
    </row>
    <row r="20" spans="1:4" ht="14.5" x14ac:dyDescent="0.35">
      <c r="A20" s="261" t="s">
        <v>828</v>
      </c>
      <c r="B20" s="261"/>
      <c r="C20" s="261"/>
      <c r="D20" s="261"/>
    </row>
    <row r="21" spans="1:4" ht="14.5" x14ac:dyDescent="0.35">
      <c r="A21" s="261" t="s">
        <v>828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829</v>
      </c>
      <c r="B25" s="261"/>
      <c r="C25" s="261"/>
      <c r="D25" s="261">
        <f>N(data!C414)</f>
        <v>138792</v>
      </c>
    </row>
    <row r="26" spans="1:4" ht="14.5" x14ac:dyDescent="0.35">
      <c r="A26" s="263" t="s">
        <v>825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826</v>
      </c>
      <c r="B28" s="261"/>
      <c r="C28" s="261"/>
      <c r="D28" s="263" t="s">
        <v>827</v>
      </c>
    </row>
    <row r="29" spans="1:4" ht="14.5" x14ac:dyDescent="0.35">
      <c r="A29" s="261" t="s">
        <v>830</v>
      </c>
      <c r="B29" s="261"/>
      <c r="C29" s="261"/>
      <c r="D29" s="261"/>
    </row>
    <row r="30" spans="1:4" ht="14.5" x14ac:dyDescent="0.35">
      <c r="A30" s="261" t="s">
        <v>830</v>
      </c>
      <c r="B30" s="261"/>
      <c r="C30" s="261"/>
      <c r="D30" s="261"/>
    </row>
    <row r="31" spans="1:4" ht="14.5" x14ac:dyDescent="0.35">
      <c r="A31" s="261" t="s">
        <v>830</v>
      </c>
      <c r="B31" s="261"/>
      <c r="C31" s="261"/>
      <c r="D31" s="261"/>
    </row>
    <row r="32" spans="1:4" ht="14.5" x14ac:dyDescent="0.35">
      <c r="A32" s="261" t="s">
        <v>830</v>
      </c>
      <c r="B32" s="261"/>
      <c r="C32" s="261"/>
      <c r="D32" s="261"/>
    </row>
    <row r="33" spans="1:4" ht="14.5" x14ac:dyDescent="0.35">
      <c r="A33" s="261" t="s">
        <v>830</v>
      </c>
      <c r="B33" s="261"/>
      <c r="C33" s="261"/>
      <c r="D33" s="261"/>
    </row>
    <row r="34" spans="1:4" ht="14.5" x14ac:dyDescent="0.35">
      <c r="A34" s="261" t="s">
        <v>830</v>
      </c>
      <c r="B34" s="261"/>
      <c r="C34" s="261"/>
      <c r="D34" s="261"/>
    </row>
    <row r="35" spans="1:4" ht="14.5" x14ac:dyDescent="0.35">
      <c r="A35" s="261" t="s">
        <v>830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F7FF-BBB1-432E-B04C-FFFBF576F1D7}">
  <sheetPr codeName="Sheet3">
    <pageSetUpPr fitToPage="1"/>
  </sheetPr>
  <dimension ref="A1:G40"/>
  <sheetViews>
    <sheetView workbookViewId="0">
      <selection activeCell="A19" sqref="A19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H-173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Arbor Health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98356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"&amp;data!C104</f>
        <v xml:space="preserve">  Robert Mach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"&amp;data!C105</f>
        <v xml:space="preserve">  Cheryl Cornwell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"&amp;data!C106</f>
        <v xml:space="preserve">  Tom Herrin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360-496-5112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360-496-3511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839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119</v>
      </c>
      <c r="G23" s="76">
        <f>data!D127</f>
        <v>503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71</v>
      </c>
      <c r="G24" s="76">
        <f>data!D128</f>
        <v>902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15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10</v>
      </c>
      <c r="E32" s="73" t="s">
        <v>849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0</v>
      </c>
      <c r="E33" s="73" t="s">
        <v>851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0</v>
      </c>
      <c r="E34" s="73" t="s">
        <v>352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0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299</v>
      </c>
      <c r="D40" s="81">
        <f>data!C147</f>
        <v>1474483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D3D9-1CE6-41BB-BB54-05F0561D67CC}">
  <sheetPr codeName="Sheet4">
    <pageSetUpPr fitToPage="1"/>
  </sheetPr>
  <dimension ref="A1:G33"/>
  <sheetViews>
    <sheetView zoomScaleNormal="100" workbookViewId="0">
      <selection activeCell="E7" sqref="E7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1353</v>
      </c>
      <c r="G1" s="70" t="s">
        <v>1354</v>
      </c>
    </row>
    <row r="2" spans="1:7" ht="20.149999999999999" customHeight="1" x14ac:dyDescent="0.35">
      <c r="A2" s="1" t="str">
        <f>"Hospital: "&amp;data!C98</f>
        <v>Hospital: Arbor Health</v>
      </c>
      <c r="G2" s="4" t="s">
        <v>1355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1357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1358</v>
      </c>
      <c r="B6" s="88" t="s">
        <v>337</v>
      </c>
      <c r="C6" s="88" t="s">
        <v>1359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144</v>
      </c>
      <c r="C7" s="136">
        <f>data!B155</f>
        <v>1068</v>
      </c>
      <c r="D7" s="136">
        <f>data!B156</f>
        <v>15323</v>
      </c>
      <c r="E7" s="136">
        <f>data!B157</f>
        <v>4412733</v>
      </c>
      <c r="F7" s="136">
        <f>data!B158</f>
        <v>24046564</v>
      </c>
      <c r="G7" s="136">
        <f>data!B157+data!B158</f>
        <v>28459297</v>
      </c>
    </row>
    <row r="8" spans="1:7" ht="20.149999999999999" customHeight="1" x14ac:dyDescent="0.35">
      <c r="A8" s="72" t="s">
        <v>359</v>
      </c>
      <c r="B8" s="136">
        <f>data!C154</f>
        <v>15</v>
      </c>
      <c r="C8" s="136">
        <f>data!C155</f>
        <v>112</v>
      </c>
      <c r="D8" s="136">
        <f>data!C156</f>
        <v>1613</v>
      </c>
      <c r="E8" s="136">
        <f>data!C157</f>
        <v>1604630</v>
      </c>
      <c r="F8" s="136">
        <f>data!C158</f>
        <v>8744205</v>
      </c>
      <c r="G8" s="136">
        <f>data!C157+data!C158</f>
        <v>10348835</v>
      </c>
    </row>
    <row r="9" spans="1:7" ht="20.149999999999999" customHeight="1" x14ac:dyDescent="0.35">
      <c r="A9" s="72" t="s">
        <v>1360</v>
      </c>
      <c r="B9" s="136">
        <f>data!D154</f>
        <v>31</v>
      </c>
      <c r="C9" s="136">
        <f>data!D155</f>
        <v>225</v>
      </c>
      <c r="D9" s="136">
        <f>data!D156</f>
        <v>3226</v>
      </c>
      <c r="E9" s="136">
        <f>data!D157</f>
        <v>2005788</v>
      </c>
      <c r="F9" s="136">
        <f>data!D158</f>
        <v>10930257</v>
      </c>
      <c r="G9" s="136">
        <f>data!D157+data!D158</f>
        <v>12936045</v>
      </c>
    </row>
    <row r="10" spans="1:7" ht="20.149999999999999" customHeight="1" x14ac:dyDescent="0.35">
      <c r="A10" s="87" t="s">
        <v>230</v>
      </c>
      <c r="B10" s="136">
        <f>data!E154</f>
        <v>190</v>
      </c>
      <c r="C10" s="136">
        <f>data!E155</f>
        <v>1405</v>
      </c>
      <c r="D10" s="136">
        <f>data!E156</f>
        <v>20162</v>
      </c>
      <c r="E10" s="136">
        <f>data!E157</f>
        <v>8023151</v>
      </c>
      <c r="F10" s="136">
        <f>data!E158</f>
        <v>43721026</v>
      </c>
      <c r="G10" s="136">
        <f>E10+F10</f>
        <v>51744177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1357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1358</v>
      </c>
      <c r="B15" s="88" t="s">
        <v>337</v>
      </c>
      <c r="C15" s="88" t="s">
        <v>1359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64</v>
      </c>
      <c r="C16" s="136">
        <f>data!B161</f>
        <v>846</v>
      </c>
      <c r="D16" s="136">
        <f>data!B162</f>
        <v>0</v>
      </c>
      <c r="E16" s="136">
        <f>data!B163</f>
        <v>3739717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1360</v>
      </c>
      <c r="B18" s="136">
        <f>data!D160</f>
        <v>7</v>
      </c>
      <c r="C18" s="136">
        <f>data!D161</f>
        <v>56</v>
      </c>
      <c r="D18" s="136">
        <f>data!D162</f>
        <v>0</v>
      </c>
      <c r="E18" s="136">
        <f>data!D163</f>
        <v>77657</v>
      </c>
      <c r="F18" s="136">
        <f>data!D164</f>
        <v>0</v>
      </c>
      <c r="G18" s="136">
        <f>data!D163+data!D164</f>
        <v>77657</v>
      </c>
    </row>
    <row r="19" spans="1:7" ht="20.149999999999999" customHeight="1" x14ac:dyDescent="0.35">
      <c r="A19" s="87" t="s">
        <v>230</v>
      </c>
      <c r="B19" s="136">
        <f>data!E160</f>
        <v>71</v>
      </c>
      <c r="C19" s="136">
        <f>data!E161</f>
        <v>902</v>
      </c>
      <c r="D19" s="136">
        <f>data!E162</f>
        <v>0</v>
      </c>
      <c r="E19" s="136">
        <f>data!E163</f>
        <v>3817374</v>
      </c>
      <c r="F19" s="136">
        <f>data!E164</f>
        <v>0</v>
      </c>
      <c r="G19" s="136">
        <f>data!E163+data!E164</f>
        <v>3817374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1357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1358</v>
      </c>
      <c r="B24" s="88" t="s">
        <v>337</v>
      </c>
      <c r="C24" s="88" t="s">
        <v>1359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1364</v>
      </c>
      <c r="C32" s="148">
        <f>data!B173</f>
        <v>1848632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1365</v>
      </c>
      <c r="C33" s="144">
        <f>data!C173</f>
        <v>2213655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D366-CFEA-4D21-8C6E-8D45E47C30F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856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Arbor Health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857</v>
      </c>
      <c r="C6" s="72">
        <f>data!C181</f>
        <v>1166254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32647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217754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2108072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123806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592546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211809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858</v>
      </c>
      <c r="C14" s="72">
        <f>data!D189</f>
        <v>4452888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859</v>
      </c>
      <c r="C18" s="72">
        <f>data!C191</f>
        <v>0</v>
      </c>
    </row>
    <row r="19" spans="1:3" ht="20.149999999999999" customHeight="1" x14ac:dyDescent="0.35">
      <c r="A19" s="72">
        <v>13</v>
      </c>
      <c r="B19" s="73" t="s">
        <v>860</v>
      </c>
      <c r="C19" s="72">
        <f>data!C192</f>
        <v>56598</v>
      </c>
    </row>
    <row r="20" spans="1:3" ht="20.149999999999999" customHeight="1" x14ac:dyDescent="0.35">
      <c r="A20" s="72">
        <v>14</v>
      </c>
      <c r="B20" s="73" t="s">
        <v>861</v>
      </c>
      <c r="C20" s="72">
        <f>data!D193</f>
        <v>56598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862</v>
      </c>
      <c r="C24" s="157"/>
    </row>
    <row r="25" spans="1:3" ht="20.149999999999999" customHeight="1" x14ac:dyDescent="0.35">
      <c r="A25" s="72">
        <v>17</v>
      </c>
      <c r="B25" s="73" t="s">
        <v>863</v>
      </c>
      <c r="C25" s="72">
        <f>data!C195</f>
        <v>156901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213503</v>
      </c>
    </row>
    <row r="27" spans="1:3" ht="20.149999999999999" customHeight="1" x14ac:dyDescent="0.35">
      <c r="A27" s="72">
        <v>19</v>
      </c>
      <c r="B27" s="73" t="s">
        <v>864</v>
      </c>
      <c r="C27" s="72">
        <f>data!D197</f>
        <v>370404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865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28845</v>
      </c>
    </row>
    <row r="32" spans="1:3" ht="20.149999999999999" customHeight="1" x14ac:dyDescent="0.35">
      <c r="A32" s="72">
        <v>22</v>
      </c>
      <c r="B32" s="73" t="s">
        <v>866</v>
      </c>
      <c r="C32" s="72">
        <f>data!C200</f>
        <v>304204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29859</v>
      </c>
    </row>
    <row r="34" spans="1:3" ht="20.149999999999999" customHeight="1" x14ac:dyDescent="0.35">
      <c r="A34" s="72">
        <v>24</v>
      </c>
      <c r="B34" s="73" t="s">
        <v>867</v>
      </c>
      <c r="C34" s="72">
        <f>data!D202</f>
        <v>362908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868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385929</v>
      </c>
    </row>
    <row r="40" spans="1:3" ht="20.149999999999999" customHeight="1" x14ac:dyDescent="0.35">
      <c r="A40" s="72">
        <v>28</v>
      </c>
      <c r="B40" s="73" t="s">
        <v>869</v>
      </c>
      <c r="C40" s="72">
        <f>data!D206</f>
        <v>385929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3D312-8680-4339-8D71-5A96D0FB9902}">
  <sheetPr codeName="Sheet6">
    <pageSetUpPr fitToPage="1"/>
  </sheetPr>
  <dimension ref="A1:F32"/>
  <sheetViews>
    <sheetView workbookViewId="0">
      <selection activeCell="C8" sqref="C8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870</v>
      </c>
    </row>
    <row r="3" spans="1:6" ht="20.149999999999999" customHeight="1" x14ac:dyDescent="0.35">
      <c r="A3" s="129" t="str">
        <f>"Hospital: "&amp;data!C98</f>
        <v>Hospital: Arbor Health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871</v>
      </c>
      <c r="D5" s="160"/>
      <c r="E5" s="160"/>
      <c r="F5" s="160" t="s">
        <v>872</v>
      </c>
    </row>
    <row r="6" spans="1:6" ht="20.149999999999999" customHeight="1" x14ac:dyDescent="0.35">
      <c r="A6" s="161"/>
      <c r="B6" s="79"/>
      <c r="C6" s="162" t="s">
        <v>873</v>
      </c>
      <c r="D6" s="162" t="s">
        <v>391</v>
      </c>
      <c r="E6" s="162" t="s">
        <v>874</v>
      </c>
      <c r="F6" s="162" t="s">
        <v>873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998600</v>
      </c>
      <c r="D7" s="76">
        <f>data!C211</f>
        <v>0</v>
      </c>
      <c r="E7" s="76">
        <f>data!D211</f>
        <v>45851</v>
      </c>
      <c r="F7" s="76">
        <f>data!E211</f>
        <v>952749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1426739</v>
      </c>
      <c r="D8" s="76">
        <f>data!C212</f>
        <v>0</v>
      </c>
      <c r="E8" s="76">
        <f>data!D212</f>
        <v>0</v>
      </c>
      <c r="F8" s="76">
        <f>data!E212</f>
        <v>1426739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16156743</v>
      </c>
      <c r="D9" s="76">
        <f>data!C213</f>
        <v>0</v>
      </c>
      <c r="E9" s="76">
        <f>data!D213</f>
        <v>96960</v>
      </c>
      <c r="F9" s="76">
        <f>data!E213</f>
        <v>16059783</v>
      </c>
    </row>
    <row r="10" spans="1:6" ht="20.149999999999999" customHeight="1" x14ac:dyDescent="0.35">
      <c r="A10" s="72">
        <v>4</v>
      </c>
      <c r="B10" s="76" t="s">
        <v>875</v>
      </c>
      <c r="C10" s="76">
        <f>data!B214</f>
        <v>4598667</v>
      </c>
      <c r="D10" s="76">
        <f>data!C214</f>
        <v>490352</v>
      </c>
      <c r="E10" s="76">
        <f>data!D214</f>
        <v>0</v>
      </c>
      <c r="F10" s="76">
        <f>data!E214</f>
        <v>5089019</v>
      </c>
    </row>
    <row r="11" spans="1:6" ht="20.149999999999999" customHeight="1" x14ac:dyDescent="0.35">
      <c r="A11" s="72">
        <v>5</v>
      </c>
      <c r="B11" s="76" t="s">
        <v>876</v>
      </c>
      <c r="C11" s="76">
        <f>data!B215</f>
        <v>2716640</v>
      </c>
      <c r="D11" s="76">
        <f>data!C215</f>
        <v>0</v>
      </c>
      <c r="E11" s="76">
        <f>data!D215</f>
        <v>4689</v>
      </c>
      <c r="F11" s="76">
        <f>data!E215</f>
        <v>2711951</v>
      </c>
    </row>
    <row r="12" spans="1:6" ht="20.149999999999999" customHeight="1" x14ac:dyDescent="0.35">
      <c r="A12" s="72">
        <v>6</v>
      </c>
      <c r="B12" s="76" t="s">
        <v>877</v>
      </c>
      <c r="C12" s="76">
        <f>data!B216</f>
        <v>9066472</v>
      </c>
      <c r="D12" s="76">
        <f>data!C216</f>
        <v>0</v>
      </c>
      <c r="E12" s="76">
        <f>data!D216</f>
        <v>79898</v>
      </c>
      <c r="F12" s="76">
        <f>data!E216</f>
        <v>8986574</v>
      </c>
    </row>
    <row r="13" spans="1:6" ht="20.149999999999999" customHeight="1" x14ac:dyDescent="0.35">
      <c r="A13" s="72">
        <v>7</v>
      </c>
      <c r="B13" s="76" t="s">
        <v>878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879</v>
      </c>
      <c r="C15" s="76">
        <f>data!B219</f>
        <v>0</v>
      </c>
      <c r="D15" s="76">
        <f>data!C219</f>
        <v>0</v>
      </c>
      <c r="E15" s="76">
        <f>data!D219</f>
        <v>0</v>
      </c>
      <c r="F15" s="76">
        <f>data!E219</f>
        <v>0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34963861</v>
      </c>
      <c r="D16" s="76">
        <f>data!C220</f>
        <v>490352</v>
      </c>
      <c r="E16" s="76">
        <f>data!D220</f>
        <v>227398</v>
      </c>
      <c r="F16" s="76">
        <f>data!E220</f>
        <v>35226815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871</v>
      </c>
      <c r="D21" s="4" t="s">
        <v>230</v>
      </c>
      <c r="E21" s="162"/>
      <c r="F21" s="162" t="s">
        <v>872</v>
      </c>
    </row>
    <row r="22" spans="1:6" ht="20.149999999999999" customHeight="1" x14ac:dyDescent="0.35">
      <c r="A22" s="163"/>
      <c r="B22" s="155"/>
      <c r="C22" s="162" t="s">
        <v>873</v>
      </c>
      <c r="D22" s="162" t="s">
        <v>880</v>
      </c>
      <c r="E22" s="162" t="s">
        <v>874</v>
      </c>
      <c r="F22" s="162" t="s">
        <v>873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1203372</v>
      </c>
      <c r="D24" s="76">
        <f>data!C225</f>
        <v>41617</v>
      </c>
      <c r="E24" s="76">
        <f>data!D225</f>
        <v>0</v>
      </c>
      <c r="F24" s="76">
        <f>data!E225</f>
        <v>1244989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12529066</v>
      </c>
      <c r="D25" s="76">
        <f>data!C226</f>
        <v>401827</v>
      </c>
      <c r="E25" s="76">
        <f>data!D226</f>
        <v>0</v>
      </c>
      <c r="F25" s="76">
        <f>data!E226</f>
        <v>12930893</v>
      </c>
    </row>
    <row r="26" spans="1:6" ht="20.149999999999999" customHeight="1" x14ac:dyDescent="0.35">
      <c r="A26" s="72">
        <v>14</v>
      </c>
      <c r="B26" s="76" t="s">
        <v>875</v>
      </c>
      <c r="C26" s="76">
        <f>data!B227</f>
        <v>1130654</v>
      </c>
      <c r="D26" s="76">
        <f>data!C227</f>
        <v>150551</v>
      </c>
      <c r="E26" s="76">
        <f>data!D227</f>
        <v>0</v>
      </c>
      <c r="F26" s="76">
        <f>data!E227</f>
        <v>1281205</v>
      </c>
    </row>
    <row r="27" spans="1:6" ht="20.149999999999999" customHeight="1" x14ac:dyDescent="0.35">
      <c r="A27" s="72">
        <v>15</v>
      </c>
      <c r="B27" s="76" t="s">
        <v>876</v>
      </c>
      <c r="C27" s="76">
        <f>data!B228</f>
        <v>1989442</v>
      </c>
      <c r="D27" s="76">
        <f>data!C228</f>
        <v>72132</v>
      </c>
      <c r="E27" s="76">
        <f>data!D228</f>
        <v>0</v>
      </c>
      <c r="F27" s="76">
        <f>data!E228</f>
        <v>2061574</v>
      </c>
    </row>
    <row r="28" spans="1:6" ht="20.149999999999999" customHeight="1" x14ac:dyDescent="0.35">
      <c r="A28" s="72">
        <v>16</v>
      </c>
      <c r="B28" s="76" t="s">
        <v>877</v>
      </c>
      <c r="C28" s="76">
        <f>data!B229</f>
        <v>7638528</v>
      </c>
      <c r="D28" s="76">
        <f>data!C229</f>
        <v>226139</v>
      </c>
      <c r="E28" s="76">
        <f>data!D229</f>
        <v>0</v>
      </c>
      <c r="F28" s="76">
        <f>data!E229</f>
        <v>7864667</v>
      </c>
    </row>
    <row r="29" spans="1:6" ht="20.149999999999999" customHeight="1" x14ac:dyDescent="0.35">
      <c r="A29" s="72">
        <v>17</v>
      </c>
      <c r="B29" s="76" t="s">
        <v>878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879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24491062</v>
      </c>
      <c r="D32" s="76">
        <f>data!C233</f>
        <v>892266</v>
      </c>
      <c r="E32" s="76">
        <f>data!D233</f>
        <v>0</v>
      </c>
      <c r="F32" s="76">
        <f>data!E233</f>
        <v>25383328</v>
      </c>
    </row>
  </sheetData>
  <sheetProtection algorithmName="SHA-512" hashValue="ZEki7Av6/8lU6R6ZTWEQ8+gGNDQgcz61GyInm/FkRoz/2uXoaA5MhMX2auEMeLIc6BytuK1F3bOq67RgbLTsXw==" saltValue="kLYHK3/FQvwUsLyfet0+EA==" spinCount="100000" sheet="1" objects="1" scenarios="1"/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EB32-5B5B-44E8-A5BF-97CECB411ED8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881</v>
      </c>
      <c r="B1" s="71"/>
      <c r="C1" s="71"/>
      <c r="D1" s="70" t="s">
        <v>882</v>
      </c>
    </row>
    <row r="2" spans="1:4" ht="20.149999999999999" customHeight="1" x14ac:dyDescent="0.35">
      <c r="A2" s="129" t="str">
        <f>"Hospital: "&amp;data!C98</f>
        <v>Hospital: Arbor Health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883</v>
      </c>
      <c r="C4" s="165" t="s">
        <v>884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922831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11325102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5108911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262374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96747</v>
      </c>
    </row>
    <row r="11" spans="1:4" ht="20.149999999999999" customHeight="1" x14ac:dyDescent="0.35">
      <c r="A11" s="72">
        <v>7</v>
      </c>
      <c r="B11" s="167">
        <v>5850</v>
      </c>
      <c r="C11" s="76" t="s">
        <v>885</v>
      </c>
      <c r="D11" s="76">
        <f>data!C243</f>
        <v>1237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4045364</v>
      </c>
    </row>
    <row r="13" spans="1:4" ht="20.149999999999999" customHeight="1" x14ac:dyDescent="0.35">
      <c r="A13" s="72">
        <v>9</v>
      </c>
      <c r="B13" s="76"/>
      <c r="C13" s="76" t="s">
        <v>886</v>
      </c>
      <c r="D13" s="76">
        <f>data!D245</f>
        <v>20839735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887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888</v>
      </c>
      <c r="D19" s="76">
        <f>data!C250</f>
        <v>726374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889</v>
      </c>
      <c r="D22" s="76">
        <f>data!D252</f>
        <v>726374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482454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891</v>
      </c>
      <c r="C27" s="88"/>
      <c r="D27" s="76">
        <f>data!D256</f>
        <v>482454</v>
      </c>
    </row>
    <row r="28" spans="1:4" ht="20.149999999999999" customHeight="1" x14ac:dyDescent="0.35">
      <c r="A28" s="81">
        <v>24</v>
      </c>
      <c r="B28" s="147" t="s">
        <v>892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'Responses-1'!Print_Area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2024-04-11T16:23:47Z</cp:lastPrinted>
  <dcterms:created xsi:type="dcterms:W3CDTF">1999-06-02T22:01:56Z</dcterms:created>
  <dcterms:modified xsi:type="dcterms:W3CDTF">2024-06-07T17:57:30Z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