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5580810D-69E8-46F8-9B60-17723B90034F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5" i="34"/>
  <c r="D420" i="34"/>
  <c r="F420" i="34" s="1"/>
  <c r="D416" i="34"/>
  <c r="E414" i="34" s="1"/>
  <c r="D415" i="34"/>
  <c r="D383" i="34"/>
  <c r="D381" i="34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Y85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M85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BA85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O85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C85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Q85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E85" i="34" s="1"/>
  <c r="D48" i="34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7" i="24"/>
  <c r="C121" i="8" s="1"/>
  <c r="D366" i="24"/>
  <c r="C120" i="8" s="1"/>
  <c r="D360" i="24"/>
  <c r="D340" i="24"/>
  <c r="C86" i="8" s="1"/>
  <c r="D339" i="24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I380" i="32" s="1"/>
  <c r="AV89" i="24"/>
  <c r="AU89" i="24"/>
  <c r="AT89" i="24"/>
  <c r="AS89" i="24"/>
  <c r="AR89" i="24"/>
  <c r="AE43" i="31" s="1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E28" i="31" s="1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D85" i="24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O77" i="31" s="1"/>
  <c r="BY69" i="24"/>
  <c r="O76" i="31" s="1"/>
  <c r="BX69" i="24"/>
  <c r="O75" i="31" s="1"/>
  <c r="BW69" i="24"/>
  <c r="BV69" i="24"/>
  <c r="O73" i="31" s="1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369" i="32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M73" i="31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M22" i="31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C85" i="24" s="1"/>
  <c r="C620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I236" i="32" s="1"/>
  <c r="BE48" i="24"/>
  <c r="BE62" i="24" s="1"/>
  <c r="BD48" i="24"/>
  <c r="BD62" i="24" s="1"/>
  <c r="H55" i="31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E380" i="34" l="1"/>
  <c r="D341" i="34"/>
  <c r="D350" i="34" s="1"/>
  <c r="D308" i="34"/>
  <c r="D258" i="34"/>
  <c r="AG85" i="24"/>
  <c r="BQ85" i="24"/>
  <c r="C81" i="15" s="1"/>
  <c r="G81" i="15" s="1"/>
  <c r="AS85" i="24"/>
  <c r="BR85" i="24"/>
  <c r="I85" i="24"/>
  <c r="I612" i="24"/>
  <c r="AH85" i="24"/>
  <c r="F149" i="32" s="1"/>
  <c r="AT85" i="24"/>
  <c r="C58" i="15" s="1"/>
  <c r="G58" i="15" s="1"/>
  <c r="L612" i="24"/>
  <c r="H85" i="24"/>
  <c r="C673" i="24" s="1"/>
  <c r="AR85" i="24"/>
  <c r="I181" i="32" s="1"/>
  <c r="BP85" i="24"/>
  <c r="E309" i="32" s="1"/>
  <c r="CF90" i="34"/>
  <c r="I186" i="32"/>
  <c r="CE89" i="34"/>
  <c r="K612" i="34" s="1"/>
  <c r="CE69" i="34"/>
  <c r="AD85" i="34"/>
  <c r="BZ85" i="34"/>
  <c r="B90" i="15" s="1"/>
  <c r="AM85" i="24"/>
  <c r="D181" i="32" s="1"/>
  <c r="F339" i="32"/>
  <c r="G339" i="32"/>
  <c r="H147" i="32"/>
  <c r="H339" i="32"/>
  <c r="K85" i="34"/>
  <c r="C676" i="34" s="1"/>
  <c r="BG85" i="34"/>
  <c r="C618" i="34" s="1"/>
  <c r="L85" i="34"/>
  <c r="C677" i="34" s="1"/>
  <c r="AJ85" i="34"/>
  <c r="C701" i="34" s="1"/>
  <c r="BT85" i="34"/>
  <c r="C640" i="34" s="1"/>
  <c r="AW85" i="34"/>
  <c r="BU85" i="34"/>
  <c r="B85" i="15" s="1"/>
  <c r="N85" i="34"/>
  <c r="C679" i="34" s="1"/>
  <c r="Z85" i="34"/>
  <c r="C691" i="34" s="1"/>
  <c r="AL85" i="34"/>
  <c r="C703" i="34" s="1"/>
  <c r="BJ85" i="34"/>
  <c r="C617" i="34" s="1"/>
  <c r="BV85" i="34"/>
  <c r="C642" i="34" s="1"/>
  <c r="AB85" i="34"/>
  <c r="AZ85" i="34"/>
  <c r="C628" i="34" s="1"/>
  <c r="BX85" i="34"/>
  <c r="C644" i="34" s="1"/>
  <c r="BS85" i="34"/>
  <c r="C639" i="34" s="1"/>
  <c r="AU85" i="34"/>
  <c r="C712" i="34" s="1"/>
  <c r="BO85" i="34"/>
  <c r="B79" i="15" s="1"/>
  <c r="J85" i="24"/>
  <c r="C53" i="32" s="1"/>
  <c r="P85" i="34"/>
  <c r="C681" i="34" s="1"/>
  <c r="AN85" i="34"/>
  <c r="B52" i="15" s="1"/>
  <c r="BL85" i="34"/>
  <c r="C637" i="34" s="1"/>
  <c r="M85" i="34"/>
  <c r="C678" i="34" s="1"/>
  <c r="M79" i="31"/>
  <c r="AI85" i="34"/>
  <c r="C700" i="34" s="1"/>
  <c r="BW85" i="24"/>
  <c r="C643" i="24" s="1"/>
  <c r="AG85" i="34"/>
  <c r="AS85" i="34"/>
  <c r="BE85" i="34"/>
  <c r="BQ85" i="34"/>
  <c r="C623" i="34" s="1"/>
  <c r="CC85" i="34"/>
  <c r="B93" i="15" s="1"/>
  <c r="D337" i="32"/>
  <c r="BH85" i="34"/>
  <c r="C636" i="34" s="1"/>
  <c r="Y85" i="34"/>
  <c r="C690" i="34" s="1"/>
  <c r="BI85" i="34"/>
  <c r="B73" i="15" s="1"/>
  <c r="H57" i="31"/>
  <c r="G236" i="32"/>
  <c r="O85" i="34"/>
  <c r="C680" i="34" s="1"/>
  <c r="AA85" i="34"/>
  <c r="C692" i="34" s="1"/>
  <c r="AM85" i="34"/>
  <c r="C704" i="34" s="1"/>
  <c r="AY85" i="34"/>
  <c r="C625" i="34" s="1"/>
  <c r="BK85" i="34"/>
  <c r="C635" i="34" s="1"/>
  <c r="BW85" i="34"/>
  <c r="B87" i="15" s="1"/>
  <c r="H5" i="31"/>
  <c r="F12" i="32"/>
  <c r="F85" i="24"/>
  <c r="H17" i="31"/>
  <c r="D76" i="32"/>
  <c r="R85" i="24"/>
  <c r="H29" i="31"/>
  <c r="I108" i="32"/>
  <c r="AD85" i="24"/>
  <c r="H41" i="31"/>
  <c r="G172" i="32"/>
  <c r="AP85" i="24"/>
  <c r="H53" i="31"/>
  <c r="E236" i="32"/>
  <c r="BB85" i="24"/>
  <c r="H77" i="31"/>
  <c r="H332" i="32"/>
  <c r="BZ85" i="24"/>
  <c r="M71" i="31"/>
  <c r="I305" i="32"/>
  <c r="M23" i="31"/>
  <c r="C113" i="32"/>
  <c r="M59" i="31"/>
  <c r="D273" i="32"/>
  <c r="M38" i="31"/>
  <c r="D177" i="32"/>
  <c r="E337" i="32"/>
  <c r="M74" i="31"/>
  <c r="M14" i="31"/>
  <c r="H49" i="32"/>
  <c r="M26" i="31"/>
  <c r="F113" i="32"/>
  <c r="M50" i="31"/>
  <c r="I209" i="32"/>
  <c r="C20" i="15"/>
  <c r="G20" i="15" s="1"/>
  <c r="H21" i="32"/>
  <c r="M28" i="31"/>
  <c r="H113" i="32"/>
  <c r="M52" i="31"/>
  <c r="D241" i="32"/>
  <c r="M76" i="31"/>
  <c r="G337" i="32"/>
  <c r="M5" i="31"/>
  <c r="F17" i="32"/>
  <c r="M17" i="31"/>
  <c r="D81" i="32"/>
  <c r="M29" i="31"/>
  <c r="I113" i="32"/>
  <c r="M41" i="31"/>
  <c r="G177" i="32"/>
  <c r="M53" i="31"/>
  <c r="E241" i="32"/>
  <c r="M65" i="31"/>
  <c r="C305" i="32"/>
  <c r="M77" i="31"/>
  <c r="H337" i="32"/>
  <c r="BN85" i="24"/>
  <c r="M4" i="31"/>
  <c r="E17" i="32"/>
  <c r="M16" i="31"/>
  <c r="C81" i="32"/>
  <c r="M40" i="31"/>
  <c r="F177" i="32"/>
  <c r="M64" i="31"/>
  <c r="I273" i="32"/>
  <c r="H4" i="31"/>
  <c r="E12" i="32"/>
  <c r="E85" i="24"/>
  <c r="H16" i="31"/>
  <c r="C76" i="32"/>
  <c r="Q85" i="24"/>
  <c r="H28" i="31"/>
  <c r="H108" i="32"/>
  <c r="AC85" i="24"/>
  <c r="H40" i="31"/>
  <c r="F172" i="32"/>
  <c r="AO85" i="24"/>
  <c r="H52" i="31"/>
  <c r="D236" i="32"/>
  <c r="BA85" i="24"/>
  <c r="H64" i="31"/>
  <c r="I268" i="32"/>
  <c r="BM85" i="24"/>
  <c r="H76" i="31"/>
  <c r="G332" i="32"/>
  <c r="BY85" i="24"/>
  <c r="M6" i="31"/>
  <c r="G17" i="32"/>
  <c r="M18" i="31"/>
  <c r="E81" i="32"/>
  <c r="M42" i="31"/>
  <c r="H177" i="32"/>
  <c r="M66" i="31"/>
  <c r="D305" i="32"/>
  <c r="M78" i="31"/>
  <c r="I337" i="32"/>
  <c r="O65" i="31"/>
  <c r="C307" i="32"/>
  <c r="G44" i="32"/>
  <c r="H13" i="31"/>
  <c r="N85" i="24"/>
  <c r="H25" i="31"/>
  <c r="E108" i="32"/>
  <c r="Z85" i="24"/>
  <c r="H37" i="31"/>
  <c r="C172" i="32"/>
  <c r="AL85" i="24"/>
  <c r="H49" i="31"/>
  <c r="H204" i="32"/>
  <c r="AX85" i="24"/>
  <c r="F268" i="32"/>
  <c r="H61" i="31"/>
  <c r="BJ85" i="24"/>
  <c r="H73" i="31"/>
  <c r="D332" i="32"/>
  <c r="BV85" i="24"/>
  <c r="CE52" i="24"/>
  <c r="H30" i="31"/>
  <c r="AE85" i="24"/>
  <c r="G268" i="32"/>
  <c r="H62" i="31"/>
  <c r="F241" i="32"/>
  <c r="M54" i="31"/>
  <c r="O2" i="31"/>
  <c r="C19" i="32"/>
  <c r="O14" i="31"/>
  <c r="H51" i="32"/>
  <c r="O26" i="31"/>
  <c r="F115" i="32"/>
  <c r="O38" i="31"/>
  <c r="D179" i="32"/>
  <c r="O50" i="31"/>
  <c r="I211" i="32"/>
  <c r="O62" i="31"/>
  <c r="G275" i="32"/>
  <c r="O74" i="31"/>
  <c r="E339" i="32"/>
  <c r="E149" i="32"/>
  <c r="C698" i="24"/>
  <c r="C45" i="15"/>
  <c r="G45" i="15" s="1"/>
  <c r="BK85" i="24"/>
  <c r="CE89" i="24"/>
  <c r="C74" i="8"/>
  <c r="F309" i="34"/>
  <c r="D352" i="34"/>
  <c r="M3" i="31"/>
  <c r="D17" i="32"/>
  <c r="I49" i="32"/>
  <c r="M15" i="31"/>
  <c r="G113" i="32"/>
  <c r="M27" i="31"/>
  <c r="M39" i="31"/>
  <c r="E177" i="32"/>
  <c r="M51" i="31"/>
  <c r="C241" i="32"/>
  <c r="M63" i="31"/>
  <c r="H273" i="32"/>
  <c r="M75" i="31"/>
  <c r="F337" i="32"/>
  <c r="H35" i="31"/>
  <c r="H140" i="32"/>
  <c r="AJ85" i="24"/>
  <c r="C67" i="24"/>
  <c r="AE3" i="31"/>
  <c r="D26" i="32"/>
  <c r="AE15" i="31"/>
  <c r="I58" i="32"/>
  <c r="AE27" i="31"/>
  <c r="G122" i="32"/>
  <c r="AE39" i="31"/>
  <c r="E186" i="32"/>
  <c r="E233" i="24"/>
  <c r="F32" i="6" s="1"/>
  <c r="C85" i="8"/>
  <c r="D341" i="24"/>
  <c r="C87" i="8" s="1"/>
  <c r="I81" i="32"/>
  <c r="H268" i="32"/>
  <c r="H63" i="31"/>
  <c r="BL85" i="24"/>
  <c r="C674" i="24"/>
  <c r="C21" i="15"/>
  <c r="G21" i="15" s="1"/>
  <c r="M43" i="31"/>
  <c r="I177" i="32"/>
  <c r="O55" i="31"/>
  <c r="G243" i="32"/>
  <c r="F81" i="32"/>
  <c r="M19" i="31"/>
  <c r="M11" i="31"/>
  <c r="E49" i="32"/>
  <c r="O31" i="31"/>
  <c r="D147" i="32"/>
  <c r="H12" i="32"/>
  <c r="H7" i="31"/>
  <c r="H19" i="31"/>
  <c r="F76" i="32"/>
  <c r="H31" i="31"/>
  <c r="D140" i="32"/>
  <c r="I172" i="32"/>
  <c r="H43" i="31"/>
  <c r="H67" i="31"/>
  <c r="E300" i="32"/>
  <c r="H79" i="31"/>
  <c r="C364" i="32"/>
  <c r="M8" i="31"/>
  <c r="I17" i="32"/>
  <c r="M20" i="31"/>
  <c r="G81" i="32"/>
  <c r="M32" i="31"/>
  <c r="E145" i="32"/>
  <c r="M44" i="31"/>
  <c r="C209" i="32"/>
  <c r="M56" i="31"/>
  <c r="H241" i="32"/>
  <c r="M68" i="31"/>
  <c r="F305" i="32"/>
  <c r="M80" i="31"/>
  <c r="D369" i="32"/>
  <c r="H47" i="31"/>
  <c r="AV85" i="24"/>
  <c r="F204" i="32"/>
  <c r="O8" i="31"/>
  <c r="I19" i="32"/>
  <c r="O20" i="31"/>
  <c r="G83" i="32"/>
  <c r="O32" i="31"/>
  <c r="E147" i="32"/>
  <c r="O44" i="31"/>
  <c r="C211" i="32"/>
  <c r="O56" i="31"/>
  <c r="H243" i="32"/>
  <c r="O68" i="31"/>
  <c r="F307" i="32"/>
  <c r="O80" i="31"/>
  <c r="D371" i="32"/>
  <c r="T85" i="24"/>
  <c r="AE8" i="31"/>
  <c r="I26" i="32"/>
  <c r="AE20" i="31"/>
  <c r="G90" i="32"/>
  <c r="AE32" i="31"/>
  <c r="E154" i="32"/>
  <c r="AE44" i="31"/>
  <c r="C218" i="32"/>
  <c r="G28" i="4"/>
  <c r="E28" i="4"/>
  <c r="BQ2" i="30"/>
  <c r="D383" i="24"/>
  <c r="H27" i="31"/>
  <c r="G108" i="32"/>
  <c r="AB85" i="24"/>
  <c r="O17" i="31"/>
  <c r="D83" i="32"/>
  <c r="H14" i="31"/>
  <c r="H44" i="32"/>
  <c r="O85" i="24"/>
  <c r="H74" i="31"/>
  <c r="E332" i="32"/>
  <c r="O19" i="31"/>
  <c r="F83" i="32"/>
  <c r="O43" i="31"/>
  <c r="I179" i="32"/>
  <c r="O67" i="31"/>
  <c r="E307" i="32"/>
  <c r="O79" i="31"/>
  <c r="C371" i="32"/>
  <c r="C57" i="15"/>
  <c r="G57" i="15" s="1"/>
  <c r="C710" i="24"/>
  <c r="C213" i="32"/>
  <c r="H8" i="31"/>
  <c r="I12" i="32"/>
  <c r="H20" i="31"/>
  <c r="G76" i="32"/>
  <c r="H32" i="31"/>
  <c r="E140" i="32"/>
  <c r="H44" i="31"/>
  <c r="C204" i="32"/>
  <c r="H56" i="31"/>
  <c r="H236" i="32"/>
  <c r="H68" i="31"/>
  <c r="F300" i="32"/>
  <c r="H80" i="31"/>
  <c r="D364" i="32"/>
  <c r="M9" i="31"/>
  <c r="C49" i="32"/>
  <c r="M21" i="31"/>
  <c r="H81" i="32"/>
  <c r="M33" i="31"/>
  <c r="F145" i="32"/>
  <c r="D209" i="32"/>
  <c r="M45" i="31"/>
  <c r="M57" i="31"/>
  <c r="I241" i="32"/>
  <c r="M69" i="31"/>
  <c r="G305" i="32"/>
  <c r="H18" i="31"/>
  <c r="E76" i="32"/>
  <c r="S85" i="24"/>
  <c r="H50" i="31"/>
  <c r="I204" i="32"/>
  <c r="O9" i="31"/>
  <c r="C51" i="32"/>
  <c r="O21" i="31"/>
  <c r="H83" i="32"/>
  <c r="O33" i="31"/>
  <c r="F147" i="32"/>
  <c r="O45" i="31"/>
  <c r="D211" i="32"/>
  <c r="O57" i="31"/>
  <c r="I243" i="32"/>
  <c r="O69" i="31"/>
  <c r="G307" i="32"/>
  <c r="E371" i="32"/>
  <c r="C615" i="24"/>
  <c r="U85" i="24"/>
  <c r="AY85" i="24"/>
  <c r="CB85" i="24"/>
  <c r="AE9" i="31"/>
  <c r="C58" i="32"/>
  <c r="AE21" i="31"/>
  <c r="H90" i="32"/>
  <c r="AE33" i="31"/>
  <c r="F154" i="32"/>
  <c r="AE45" i="31"/>
  <c r="D218" i="32"/>
  <c r="F24" i="6"/>
  <c r="H65" i="31"/>
  <c r="C300" i="32"/>
  <c r="H71" i="31"/>
  <c r="I300" i="32"/>
  <c r="BT85" i="24"/>
  <c r="M31" i="31"/>
  <c r="D145" i="32"/>
  <c r="H9" i="31"/>
  <c r="C44" i="32"/>
  <c r="H33" i="31"/>
  <c r="F140" i="32"/>
  <c r="H69" i="31"/>
  <c r="G300" i="32"/>
  <c r="M10" i="31"/>
  <c r="D49" i="32"/>
  <c r="M46" i="31"/>
  <c r="E209" i="32"/>
  <c r="H23" i="31"/>
  <c r="C108" i="32"/>
  <c r="X85" i="24"/>
  <c r="M47" i="31"/>
  <c r="F209" i="32"/>
  <c r="AE34" i="31"/>
  <c r="G154" i="32"/>
  <c r="H15" i="31"/>
  <c r="I44" i="32"/>
  <c r="P85" i="24"/>
  <c r="H75" i="31"/>
  <c r="F332" i="32"/>
  <c r="BX85" i="24"/>
  <c r="M30" i="31"/>
  <c r="C145" i="32"/>
  <c r="H11" i="31"/>
  <c r="E44" i="32"/>
  <c r="L85" i="24"/>
  <c r="M35" i="31"/>
  <c r="H145" i="32"/>
  <c r="O41" i="31"/>
  <c r="G179" i="32"/>
  <c r="H17" i="32"/>
  <c r="M7" i="31"/>
  <c r="M67" i="31"/>
  <c r="E305" i="32"/>
  <c r="H10" i="31"/>
  <c r="D44" i="32"/>
  <c r="K85" i="24"/>
  <c r="H34" i="31"/>
  <c r="G140" i="32"/>
  <c r="AI85" i="24"/>
  <c r="H58" i="31"/>
  <c r="C268" i="32"/>
  <c r="BG85" i="24"/>
  <c r="CE48" i="24"/>
  <c r="H26" i="31"/>
  <c r="F108" i="32"/>
  <c r="CE69" i="24"/>
  <c r="I371" i="32" s="1"/>
  <c r="AA85" i="24"/>
  <c r="BD85" i="24"/>
  <c r="E373" i="32"/>
  <c r="C94" i="15"/>
  <c r="G94" i="15" s="1"/>
  <c r="D416" i="24"/>
  <c r="C140" i="32"/>
  <c r="D62" i="34"/>
  <c r="D85" i="34" s="1"/>
  <c r="CE48" i="34"/>
  <c r="H51" i="31"/>
  <c r="C236" i="32"/>
  <c r="AZ85" i="24"/>
  <c r="H6" i="31"/>
  <c r="G12" i="32"/>
  <c r="G85" i="24"/>
  <c r="O29" i="31"/>
  <c r="I115" i="32"/>
  <c r="AE6" i="31"/>
  <c r="G26" i="32"/>
  <c r="AE30" i="31"/>
  <c r="C154" i="32"/>
  <c r="H42" i="31"/>
  <c r="H172" i="32"/>
  <c r="AQ85" i="24"/>
  <c r="H21" i="31"/>
  <c r="H76" i="32"/>
  <c r="G145" i="32"/>
  <c r="M34" i="31"/>
  <c r="M58" i="31"/>
  <c r="C273" i="32"/>
  <c r="M70" i="31"/>
  <c r="H305" i="32"/>
  <c r="H78" i="31"/>
  <c r="I332" i="32"/>
  <c r="CA85" i="24"/>
  <c r="V85" i="24"/>
  <c r="D373" i="32"/>
  <c r="C93" i="15"/>
  <c r="G93" i="15" s="1"/>
  <c r="AE10" i="31"/>
  <c r="D58" i="32"/>
  <c r="AE22" i="31"/>
  <c r="I90" i="32"/>
  <c r="AE46" i="31"/>
  <c r="E218" i="32"/>
  <c r="H46" i="31"/>
  <c r="E204" i="32"/>
  <c r="AU85" i="24"/>
  <c r="M24" i="31"/>
  <c r="D113" i="32"/>
  <c r="M60" i="31"/>
  <c r="E273" i="32"/>
  <c r="I366" i="32"/>
  <c r="F612" i="24"/>
  <c r="BE85" i="24"/>
  <c r="H3" i="31"/>
  <c r="D85" i="24"/>
  <c r="D12" i="32"/>
  <c r="H39" i="31"/>
  <c r="E172" i="32"/>
  <c r="AN85" i="24"/>
  <c r="H38" i="31"/>
  <c r="D172" i="32"/>
  <c r="M62" i="31"/>
  <c r="G273" i="32"/>
  <c r="H66" i="31"/>
  <c r="D300" i="32"/>
  <c r="BO85" i="24"/>
  <c r="O5" i="31"/>
  <c r="F19" i="32"/>
  <c r="O53" i="31"/>
  <c r="E243" i="32"/>
  <c r="F309" i="32"/>
  <c r="I21" i="32"/>
  <c r="G309" i="32"/>
  <c r="C626" i="24"/>
  <c r="C82" i="15"/>
  <c r="G82" i="15" s="1"/>
  <c r="AE18" i="31"/>
  <c r="E90" i="32"/>
  <c r="AE42" i="31"/>
  <c r="H186" i="32"/>
  <c r="M55" i="31"/>
  <c r="G241" i="32"/>
  <c r="O7" i="31"/>
  <c r="H19" i="32"/>
  <c r="H45" i="31"/>
  <c r="D204" i="32"/>
  <c r="H22" i="31"/>
  <c r="I76" i="32"/>
  <c r="W85" i="24"/>
  <c r="H70" i="31"/>
  <c r="H300" i="32"/>
  <c r="BS85" i="24"/>
  <c r="M12" i="31"/>
  <c r="F49" i="32"/>
  <c r="M36" i="31"/>
  <c r="I145" i="32"/>
  <c r="M48" i="31"/>
  <c r="G209" i="32"/>
  <c r="M72" i="31"/>
  <c r="C337" i="32"/>
  <c r="H54" i="31"/>
  <c r="F236" i="32"/>
  <c r="BC85" i="24"/>
  <c r="H12" i="31"/>
  <c r="F44" i="32"/>
  <c r="M85" i="24"/>
  <c r="H24" i="31"/>
  <c r="D108" i="32"/>
  <c r="Y85" i="24"/>
  <c r="H36" i="31"/>
  <c r="I140" i="32"/>
  <c r="AK85" i="24"/>
  <c r="H48" i="31"/>
  <c r="G204" i="32"/>
  <c r="AW85" i="24"/>
  <c r="H60" i="31"/>
  <c r="E268" i="32"/>
  <c r="BI85" i="24"/>
  <c r="H72" i="31"/>
  <c r="C332" i="32"/>
  <c r="BU85" i="24"/>
  <c r="M13" i="31"/>
  <c r="G49" i="32"/>
  <c r="M25" i="31"/>
  <c r="E113" i="32"/>
  <c r="M37" i="31"/>
  <c r="C177" i="32"/>
  <c r="M49" i="31"/>
  <c r="H209" i="32"/>
  <c r="M61" i="31"/>
  <c r="F273" i="32"/>
  <c r="H2" i="31"/>
  <c r="C12" i="32"/>
  <c r="CE62" i="24"/>
  <c r="I364" i="32" s="1"/>
  <c r="H59" i="31"/>
  <c r="D268" i="32"/>
  <c r="BH85" i="24"/>
  <c r="AF85" i="24"/>
  <c r="BF85" i="24"/>
  <c r="I381" i="32"/>
  <c r="CF91" i="24"/>
  <c r="G612" i="24"/>
  <c r="C695" i="34"/>
  <c r="B42" i="15"/>
  <c r="O6" i="31"/>
  <c r="G19" i="32"/>
  <c r="O18" i="31"/>
  <c r="E83" i="32"/>
  <c r="O30" i="31"/>
  <c r="C147" i="32"/>
  <c r="O42" i="31"/>
  <c r="H179" i="32"/>
  <c r="O54" i="31"/>
  <c r="F243" i="32"/>
  <c r="O66" i="31"/>
  <c r="D307" i="32"/>
  <c r="O78" i="31"/>
  <c r="I339" i="32"/>
  <c r="AE7" i="31"/>
  <c r="H26" i="32"/>
  <c r="AE19" i="31"/>
  <c r="F90" i="32"/>
  <c r="AE31" i="31"/>
  <c r="D154" i="32"/>
  <c r="CF2" i="28"/>
  <c r="D5" i="7"/>
  <c r="J612" i="24"/>
  <c r="H122" i="32"/>
  <c r="D339" i="32"/>
  <c r="C670" i="34"/>
  <c r="B17" i="15"/>
  <c r="C682" i="34"/>
  <c r="B29" i="15"/>
  <c r="C694" i="34"/>
  <c r="B41" i="15"/>
  <c r="C706" i="34"/>
  <c r="B53" i="15"/>
  <c r="C630" i="34"/>
  <c r="B65" i="15"/>
  <c r="C638" i="34"/>
  <c r="B77" i="15"/>
  <c r="C645" i="34"/>
  <c r="B89" i="15"/>
  <c r="O10" i="31"/>
  <c r="D51" i="32"/>
  <c r="O22" i="31"/>
  <c r="I83" i="32"/>
  <c r="O34" i="31"/>
  <c r="G147" i="32"/>
  <c r="O46" i="31"/>
  <c r="E211" i="32"/>
  <c r="O58" i="31"/>
  <c r="C275" i="32"/>
  <c r="O70" i="31"/>
  <c r="H307" i="32"/>
  <c r="AE11" i="31"/>
  <c r="E58" i="32"/>
  <c r="AE23" i="31"/>
  <c r="C122" i="32"/>
  <c r="AE35" i="31"/>
  <c r="H154" i="32"/>
  <c r="AE47" i="31"/>
  <c r="F218" i="32"/>
  <c r="D258" i="24"/>
  <c r="G211" i="32"/>
  <c r="O11" i="31"/>
  <c r="E51" i="32"/>
  <c r="O23" i="31"/>
  <c r="C115" i="32"/>
  <c r="O47" i="31"/>
  <c r="F211" i="32"/>
  <c r="O59" i="31"/>
  <c r="D275" i="32"/>
  <c r="O71" i="31"/>
  <c r="I307" i="32"/>
  <c r="AE12" i="31"/>
  <c r="F58" i="32"/>
  <c r="AE24" i="31"/>
  <c r="D122" i="32"/>
  <c r="AE36" i="31"/>
  <c r="I154" i="32"/>
  <c r="G10" i="4"/>
  <c r="DF2" i="30"/>
  <c r="F420" i="24"/>
  <c r="C170" i="8"/>
  <c r="O12" i="31"/>
  <c r="F51" i="32"/>
  <c r="O24" i="31"/>
  <c r="D115" i="32"/>
  <c r="O36" i="31"/>
  <c r="I147" i="32"/>
  <c r="O60" i="31"/>
  <c r="E275" i="32"/>
  <c r="O72" i="31"/>
  <c r="C339" i="32"/>
  <c r="AE13" i="31"/>
  <c r="G58" i="32"/>
  <c r="AE25" i="31"/>
  <c r="E122" i="32"/>
  <c r="AE37" i="31"/>
  <c r="C186" i="32"/>
  <c r="O13" i="31"/>
  <c r="G51" i="32"/>
  <c r="O25" i="31"/>
  <c r="E115" i="32"/>
  <c r="O37" i="31"/>
  <c r="C179" i="32"/>
  <c r="O49" i="31"/>
  <c r="H211" i="32"/>
  <c r="O61" i="31"/>
  <c r="F275" i="32"/>
  <c r="AE2" i="31"/>
  <c r="C26" i="32"/>
  <c r="AE14" i="31"/>
  <c r="H58" i="32"/>
  <c r="AE26" i="31"/>
  <c r="F122" i="32"/>
  <c r="AE38" i="31"/>
  <c r="D186" i="32"/>
  <c r="CF90" i="24"/>
  <c r="D12" i="33"/>
  <c r="D612" i="24"/>
  <c r="G186" i="32"/>
  <c r="C631" i="34"/>
  <c r="B61" i="15"/>
  <c r="C67" i="34"/>
  <c r="CE67" i="34" s="1"/>
  <c r="CE52" i="34"/>
  <c r="F85" i="34"/>
  <c r="BK2" i="30"/>
  <c r="I362" i="32"/>
  <c r="O3" i="31"/>
  <c r="D19" i="32"/>
  <c r="O15" i="31"/>
  <c r="I51" i="32"/>
  <c r="O27" i="31"/>
  <c r="G115" i="32"/>
  <c r="O39" i="31"/>
  <c r="E179" i="32"/>
  <c r="O51" i="31"/>
  <c r="C243" i="32"/>
  <c r="O63" i="31"/>
  <c r="H275" i="32"/>
  <c r="AE4" i="31"/>
  <c r="E26" i="32"/>
  <c r="AE16" i="31"/>
  <c r="C90" i="32"/>
  <c r="AE40" i="31"/>
  <c r="F186" i="32"/>
  <c r="O4" i="31"/>
  <c r="E19" i="32"/>
  <c r="O16" i="31"/>
  <c r="C83" i="32"/>
  <c r="O28" i="31"/>
  <c r="H115" i="32"/>
  <c r="O40" i="31"/>
  <c r="F179" i="32"/>
  <c r="O52" i="31"/>
  <c r="D243" i="32"/>
  <c r="O64" i="31"/>
  <c r="I275" i="32"/>
  <c r="AE5" i="31"/>
  <c r="F26" i="32"/>
  <c r="AE17" i="31"/>
  <c r="D90" i="32"/>
  <c r="AE29" i="31"/>
  <c r="I122" i="32"/>
  <c r="G19" i="4"/>
  <c r="E19" i="4"/>
  <c r="E220" i="24"/>
  <c r="D308" i="24"/>
  <c r="H612" i="24"/>
  <c r="AX85" i="34"/>
  <c r="S85" i="34"/>
  <c r="AQ85" i="34"/>
  <c r="C113" i="8"/>
  <c r="BB85" i="34"/>
  <c r="R85" i="34"/>
  <c r="AP85" i="34"/>
  <c r="BN85" i="34"/>
  <c r="G85" i="34"/>
  <c r="AE85" i="34"/>
  <c r="BC85" i="34"/>
  <c r="CA85" i="34"/>
  <c r="CF91" i="34"/>
  <c r="H85" i="34"/>
  <c r="T85" i="34"/>
  <c r="AF85" i="34"/>
  <c r="AR85" i="34"/>
  <c r="BD85" i="34"/>
  <c r="BP85" i="34"/>
  <c r="CB85" i="34"/>
  <c r="I85" i="34"/>
  <c r="U85" i="34"/>
  <c r="AK85" i="34"/>
  <c r="W85" i="34"/>
  <c r="X85" i="34"/>
  <c r="AV85" i="34"/>
  <c r="E220" i="34"/>
  <c r="E233" i="34"/>
  <c r="J85" i="34"/>
  <c r="V85" i="34"/>
  <c r="AH85" i="34"/>
  <c r="AT85" i="34"/>
  <c r="BF85" i="34"/>
  <c r="BR85" i="34"/>
  <c r="D367" i="34"/>
  <c r="D384" i="34" s="1"/>
  <c r="D417" i="34" s="1"/>
  <c r="D421" i="34" s="1"/>
  <c r="D424" i="34" s="1"/>
  <c r="C623" i="24" l="1"/>
  <c r="C699" i="24"/>
  <c r="D350" i="24"/>
  <c r="B25" i="15"/>
  <c r="C711" i="24"/>
  <c r="D213" i="32"/>
  <c r="C46" i="15"/>
  <c r="G46" i="15" s="1"/>
  <c r="B23" i="15"/>
  <c r="H23" i="15" s="1"/>
  <c r="I23" i="15" s="1"/>
  <c r="C621" i="24"/>
  <c r="C80" i="15"/>
  <c r="G80" i="15" s="1"/>
  <c r="C709" i="24"/>
  <c r="C56" i="15"/>
  <c r="G56" i="15" s="1"/>
  <c r="B24" i="15"/>
  <c r="H24" i="15" s="1"/>
  <c r="I24" i="15" s="1"/>
  <c r="B84" i="15"/>
  <c r="B88" i="15"/>
  <c r="C641" i="34"/>
  <c r="C646" i="34"/>
  <c r="C704" i="24"/>
  <c r="C51" i="15"/>
  <c r="G51" i="15" s="1"/>
  <c r="B64" i="15"/>
  <c r="H64" i="15" s="1"/>
  <c r="I64" i="15" s="1"/>
  <c r="B48" i="15"/>
  <c r="F48" i="15" s="1"/>
  <c r="B71" i="15"/>
  <c r="B83" i="15"/>
  <c r="B59" i="15"/>
  <c r="F59" i="15" s="1"/>
  <c r="B50" i="15"/>
  <c r="F50" i="15" s="1"/>
  <c r="B26" i="15"/>
  <c r="F26" i="15" s="1"/>
  <c r="C627" i="34"/>
  <c r="B38" i="15"/>
  <c r="F38" i="15" s="1"/>
  <c r="B74" i="15"/>
  <c r="B86" i="15"/>
  <c r="E341" i="32"/>
  <c r="C87" i="15"/>
  <c r="G87" i="15" s="1"/>
  <c r="C693" i="34"/>
  <c r="B40" i="15"/>
  <c r="B81" i="15"/>
  <c r="B47" i="15"/>
  <c r="H47" i="15" s="1"/>
  <c r="I47" i="15" s="1"/>
  <c r="C634" i="34"/>
  <c r="C620" i="34"/>
  <c r="B63" i="15"/>
  <c r="F63" i="15" s="1"/>
  <c r="C705" i="34"/>
  <c r="C675" i="24"/>
  <c r="C22" i="15"/>
  <c r="G22" i="15" s="1"/>
  <c r="B28" i="15"/>
  <c r="F28" i="15" s="1"/>
  <c r="F23" i="15"/>
  <c r="B76" i="15"/>
  <c r="B72" i="15"/>
  <c r="B37" i="15"/>
  <c r="F37" i="15" s="1"/>
  <c r="C710" i="34"/>
  <c r="B57" i="15"/>
  <c r="B27" i="15"/>
  <c r="H27" i="15" s="1"/>
  <c r="I27" i="15" s="1"/>
  <c r="C698" i="34"/>
  <c r="B45" i="15"/>
  <c r="F45" i="15" s="1"/>
  <c r="B39" i="15"/>
  <c r="F39" i="15" s="1"/>
  <c r="C614" i="34"/>
  <c r="D615" i="34" s="1"/>
  <c r="D711" i="34" s="1"/>
  <c r="B69" i="15"/>
  <c r="F69" i="15" s="1"/>
  <c r="B51" i="15"/>
  <c r="H51" i="15" s="1"/>
  <c r="I51" i="15" s="1"/>
  <c r="C643" i="34"/>
  <c r="B75" i="15"/>
  <c r="C85" i="15"/>
  <c r="G85" i="15" s="1"/>
  <c r="C341" i="32"/>
  <c r="C641" i="24"/>
  <c r="C674" i="34"/>
  <c r="B21" i="15"/>
  <c r="C671" i="34"/>
  <c r="B18" i="15"/>
  <c r="H53" i="15"/>
  <c r="I53" i="15" s="1"/>
  <c r="F53" i="15"/>
  <c r="I53" i="32"/>
  <c r="C28" i="15"/>
  <c r="G28" i="15" s="1"/>
  <c r="C681" i="24"/>
  <c r="C373" i="32"/>
  <c r="C92" i="15"/>
  <c r="G92" i="15" s="1"/>
  <c r="C622" i="24"/>
  <c r="C137" i="8"/>
  <c r="E380" i="24"/>
  <c r="D384" i="24"/>
  <c r="F85" i="32"/>
  <c r="C685" i="24"/>
  <c r="C32" i="15"/>
  <c r="G32" i="15" s="1"/>
  <c r="H149" i="32"/>
  <c r="C48" i="15"/>
  <c r="C701" i="24"/>
  <c r="I149" i="32"/>
  <c r="C49" i="15"/>
  <c r="G49" i="15" s="1"/>
  <c r="C702" i="24"/>
  <c r="C181" i="32"/>
  <c r="C50" i="15"/>
  <c r="G50" i="15" s="1"/>
  <c r="C703" i="24"/>
  <c r="D21" i="32"/>
  <c r="C16" i="15"/>
  <c r="G16" i="15" s="1"/>
  <c r="C669" i="24"/>
  <c r="C686" i="34"/>
  <c r="B33" i="15"/>
  <c r="F42" i="15"/>
  <c r="D117" i="32"/>
  <c r="C37" i="15"/>
  <c r="G37" i="15" s="1"/>
  <c r="C690" i="24"/>
  <c r="C167" i="8"/>
  <c r="D26" i="33"/>
  <c r="E414" i="24"/>
  <c r="M2" i="31"/>
  <c r="C17" i="32"/>
  <c r="CE67" i="24"/>
  <c r="I369" i="32" s="1"/>
  <c r="C86" i="15"/>
  <c r="G86" i="15" s="1"/>
  <c r="D341" i="32"/>
  <c r="C642" i="24"/>
  <c r="E117" i="32"/>
  <c r="C38" i="15"/>
  <c r="C691" i="24"/>
  <c r="D245" i="32"/>
  <c r="C65" i="15"/>
  <c r="G65" i="15" s="1"/>
  <c r="C630" i="24"/>
  <c r="E21" i="32"/>
  <c r="C17" i="15"/>
  <c r="G17" i="15" s="1"/>
  <c r="C670" i="24"/>
  <c r="CE62" i="34"/>
  <c r="C672" i="34"/>
  <c r="B19" i="15"/>
  <c r="C622" i="34"/>
  <c r="B92" i="15"/>
  <c r="C619" i="34"/>
  <c r="B78" i="15"/>
  <c r="I213" i="32"/>
  <c r="C63" i="15"/>
  <c r="G63" i="15" s="1"/>
  <c r="C625" i="24"/>
  <c r="H53" i="32"/>
  <c r="C27" i="15"/>
  <c r="G27" i="15" s="1"/>
  <c r="C680" i="24"/>
  <c r="C632" i="34"/>
  <c r="B66" i="15"/>
  <c r="G181" i="32"/>
  <c r="C54" i="15"/>
  <c r="G54" i="15" s="1"/>
  <c r="C707" i="24"/>
  <c r="G117" i="32"/>
  <c r="C40" i="15"/>
  <c r="G40" i="15" s="1"/>
  <c r="C693" i="24"/>
  <c r="C633" i="34"/>
  <c r="B67" i="15"/>
  <c r="G277" i="32"/>
  <c r="C75" i="15"/>
  <c r="G75" i="15" s="1"/>
  <c r="C635" i="24"/>
  <c r="C50" i="8"/>
  <c r="D352" i="24"/>
  <c r="C103" i="8" s="1"/>
  <c r="F309" i="24"/>
  <c r="F41" i="15"/>
  <c r="E277" i="32"/>
  <c r="C73" i="15"/>
  <c r="G73" i="15" s="1"/>
  <c r="C634" i="24"/>
  <c r="F53" i="32"/>
  <c r="C25" i="15"/>
  <c r="G25" i="15" s="1"/>
  <c r="C678" i="24"/>
  <c r="C19" i="15"/>
  <c r="G19" i="15" s="1"/>
  <c r="C672" i="24"/>
  <c r="G21" i="32"/>
  <c r="G245" i="32"/>
  <c r="C624" i="24"/>
  <c r="C68" i="15"/>
  <c r="G68" i="15" s="1"/>
  <c r="D53" i="32"/>
  <c r="C23" i="15"/>
  <c r="G23" i="15" s="1"/>
  <c r="C676" i="24"/>
  <c r="G85" i="32"/>
  <c r="C33" i="15"/>
  <c r="G33" i="15" s="1"/>
  <c r="C686" i="24"/>
  <c r="C617" i="24"/>
  <c r="C74" i="15"/>
  <c r="G74" i="15" s="1"/>
  <c r="F277" i="32"/>
  <c r="C26" i="15"/>
  <c r="G26" i="15" s="1"/>
  <c r="G53" i="32"/>
  <c r="C679" i="24"/>
  <c r="C53" i="15"/>
  <c r="G53" i="15" s="1"/>
  <c r="F181" i="32"/>
  <c r="C706" i="24"/>
  <c r="H341" i="32"/>
  <c r="C90" i="15"/>
  <c r="G90" i="15" s="1"/>
  <c r="C646" i="24"/>
  <c r="D85" i="32"/>
  <c r="C683" i="24"/>
  <c r="C30" i="15"/>
  <c r="G30" i="15" s="1"/>
  <c r="C675" i="34"/>
  <c r="B22" i="15"/>
  <c r="C277" i="32"/>
  <c r="C71" i="15"/>
  <c r="G71" i="15" s="1"/>
  <c r="C618" i="24"/>
  <c r="I277" i="32"/>
  <c r="C77" i="15"/>
  <c r="G77" i="15" s="1"/>
  <c r="C638" i="24"/>
  <c r="F341" i="32"/>
  <c r="C88" i="15"/>
  <c r="G88" i="15" s="1"/>
  <c r="C644" i="24"/>
  <c r="I378" i="32"/>
  <c r="K612" i="24"/>
  <c r="F65" i="15"/>
  <c r="C85" i="34"/>
  <c r="H245" i="32"/>
  <c r="C69" i="15"/>
  <c r="C614" i="24"/>
  <c r="G149" i="32"/>
  <c r="C47" i="15"/>
  <c r="G47" i="15" s="1"/>
  <c r="C700" i="24"/>
  <c r="I117" i="32"/>
  <c r="C695" i="24"/>
  <c r="C42" i="15"/>
  <c r="G42" i="15" s="1"/>
  <c r="C621" i="34"/>
  <c r="B80" i="15"/>
  <c r="C707" i="34"/>
  <c r="B54" i="15"/>
  <c r="C626" i="34"/>
  <c r="B82" i="15"/>
  <c r="C713" i="34"/>
  <c r="B60" i="15"/>
  <c r="C624" i="34"/>
  <c r="B68" i="15"/>
  <c r="C683" i="34"/>
  <c r="B30" i="15"/>
  <c r="C708" i="34"/>
  <c r="B55" i="15"/>
  <c r="F16" i="6"/>
  <c r="F234" i="24"/>
  <c r="C39" i="15"/>
  <c r="G39" i="15" s="1"/>
  <c r="F117" i="32"/>
  <c r="C692" i="24"/>
  <c r="C629" i="34"/>
  <c r="B70" i="15"/>
  <c r="C689" i="34"/>
  <c r="B36" i="15"/>
  <c r="C709" i="34"/>
  <c r="B56" i="15"/>
  <c r="C684" i="34"/>
  <c r="B31" i="15"/>
  <c r="F29" i="15"/>
  <c r="I245" i="32"/>
  <c r="C70" i="15"/>
  <c r="G70" i="15" s="1"/>
  <c r="C629" i="24"/>
  <c r="H309" i="32"/>
  <c r="C83" i="15"/>
  <c r="G83" i="15" s="1"/>
  <c r="C639" i="24"/>
  <c r="E53" i="32"/>
  <c r="C677" i="24"/>
  <c r="C24" i="15"/>
  <c r="G24" i="15" s="1"/>
  <c r="C60" i="15"/>
  <c r="F213" i="32"/>
  <c r="C713" i="24"/>
  <c r="C149" i="32"/>
  <c r="C43" i="15"/>
  <c r="G43" i="15" s="1"/>
  <c r="C696" i="24"/>
  <c r="C711" i="34"/>
  <c r="B58" i="15"/>
  <c r="C688" i="34"/>
  <c r="B35" i="15"/>
  <c r="C697" i="34"/>
  <c r="B44" i="15"/>
  <c r="D149" i="32"/>
  <c r="C44" i="15"/>
  <c r="G44" i="15" s="1"/>
  <c r="C697" i="24"/>
  <c r="G213" i="32"/>
  <c r="C631" i="24"/>
  <c r="C61" i="15"/>
  <c r="C67" i="15"/>
  <c r="G67" i="15" s="1"/>
  <c r="F245" i="32"/>
  <c r="C633" i="24"/>
  <c r="E181" i="32"/>
  <c r="C52" i="15"/>
  <c r="G52" i="15" s="1"/>
  <c r="C705" i="24"/>
  <c r="H85" i="32"/>
  <c r="C687" i="24"/>
  <c r="C34" i="15"/>
  <c r="G34" i="15" s="1"/>
  <c r="C708" i="24"/>
  <c r="C55" i="15"/>
  <c r="G55" i="15" s="1"/>
  <c r="H181" i="32"/>
  <c r="C245" i="32"/>
  <c r="C628" i="24"/>
  <c r="C64" i="15"/>
  <c r="G64" i="15" s="1"/>
  <c r="H52" i="15"/>
  <c r="I52" i="15" s="1"/>
  <c r="F52" i="15"/>
  <c r="H213" i="32"/>
  <c r="C616" i="24"/>
  <c r="C62" i="15"/>
  <c r="G341" i="32"/>
  <c r="C645" i="24"/>
  <c r="C89" i="15"/>
  <c r="G89" i="15" s="1"/>
  <c r="C41" i="15"/>
  <c r="G41" i="15" s="1"/>
  <c r="C694" i="24"/>
  <c r="H117" i="32"/>
  <c r="E245" i="32"/>
  <c r="C66" i="15"/>
  <c r="G66" i="15" s="1"/>
  <c r="C632" i="24"/>
  <c r="F21" i="32"/>
  <c r="C671" i="24"/>
  <c r="C18" i="15"/>
  <c r="G18" i="15" s="1"/>
  <c r="F25" i="15"/>
  <c r="H25" i="15"/>
  <c r="I25" i="15" s="1"/>
  <c r="C85" i="32"/>
  <c r="C29" i="15"/>
  <c r="G29" i="15" s="1"/>
  <c r="C682" i="24"/>
  <c r="C647" i="34"/>
  <c r="B91" i="15"/>
  <c r="C309" i="32"/>
  <c r="C78" i="15"/>
  <c r="G78" i="15" s="1"/>
  <c r="C619" i="24"/>
  <c r="C696" i="34"/>
  <c r="B43" i="15"/>
  <c r="C699" i="34"/>
  <c r="B46" i="15"/>
  <c r="C702" i="34"/>
  <c r="B49" i="15"/>
  <c r="C685" i="34"/>
  <c r="B32" i="15"/>
  <c r="F17" i="15"/>
  <c r="C85" i="24"/>
  <c r="E213" i="32"/>
  <c r="C712" i="24"/>
  <c r="C59" i="15"/>
  <c r="I341" i="32"/>
  <c r="C91" i="15"/>
  <c r="G91" i="15" s="1"/>
  <c r="C647" i="24"/>
  <c r="C76" i="15"/>
  <c r="G76" i="15" s="1"/>
  <c r="C637" i="24"/>
  <c r="H277" i="32"/>
  <c r="C669" i="34"/>
  <c r="B16" i="15"/>
  <c r="F234" i="34"/>
  <c r="I309" i="32"/>
  <c r="C84" i="15"/>
  <c r="G84" i="15" s="1"/>
  <c r="C640" i="24"/>
  <c r="C687" i="34"/>
  <c r="B34" i="15"/>
  <c r="C673" i="34"/>
  <c r="B20" i="15"/>
  <c r="C616" i="34"/>
  <c r="B62" i="15"/>
  <c r="D277" i="32"/>
  <c r="C72" i="15"/>
  <c r="G72" i="15" s="1"/>
  <c r="C636" i="24"/>
  <c r="C35" i="15"/>
  <c r="G35" i="15" s="1"/>
  <c r="I85" i="32"/>
  <c r="C688" i="24"/>
  <c r="C79" i="15"/>
  <c r="G79" i="15" s="1"/>
  <c r="D309" i="32"/>
  <c r="C627" i="24"/>
  <c r="C117" i="32"/>
  <c r="C36" i="15"/>
  <c r="G36" i="15" s="1"/>
  <c r="C689" i="24"/>
  <c r="E85" i="32"/>
  <c r="C31" i="15"/>
  <c r="G31" i="15" s="1"/>
  <c r="C684" i="24"/>
  <c r="F24" i="15" l="1"/>
  <c r="D626" i="34"/>
  <c r="D696" i="34"/>
  <c r="D671" i="34"/>
  <c r="F64" i="15"/>
  <c r="H50" i="15"/>
  <c r="I50" i="15" s="1"/>
  <c r="D708" i="34"/>
  <c r="D691" i="34"/>
  <c r="D668" i="34"/>
  <c r="D670" i="34"/>
  <c r="D620" i="34"/>
  <c r="D693" i="34"/>
  <c r="D682" i="34"/>
  <c r="D698" i="34"/>
  <c r="D636" i="34"/>
  <c r="D632" i="34"/>
  <c r="D631" i="34"/>
  <c r="D646" i="34"/>
  <c r="D690" i="34"/>
  <c r="D676" i="34"/>
  <c r="D695" i="34"/>
  <c r="D702" i="34"/>
  <c r="D680" i="34"/>
  <c r="D672" i="34"/>
  <c r="D704" i="34"/>
  <c r="D710" i="34"/>
  <c r="D617" i="34"/>
  <c r="D713" i="34"/>
  <c r="D630" i="34"/>
  <c r="D623" i="34"/>
  <c r="D684" i="34"/>
  <c r="H65" i="15"/>
  <c r="I65" i="15" s="1"/>
  <c r="F47" i="15"/>
  <c r="H39" i="15"/>
  <c r="I39" i="15" s="1"/>
  <c r="H45" i="15"/>
  <c r="I45" i="15" s="1"/>
  <c r="D700" i="34"/>
  <c r="D629" i="34"/>
  <c r="D707" i="34"/>
  <c r="D645" i="34"/>
  <c r="D624" i="34"/>
  <c r="D692" i="34"/>
  <c r="D642" i="34"/>
  <c r="D643" i="34"/>
  <c r="D694" i="34"/>
  <c r="D675" i="34"/>
  <c r="D635" i="34"/>
  <c r="D677" i="34"/>
  <c r="D634" i="34"/>
  <c r="D647" i="34"/>
  <c r="D712" i="34"/>
  <c r="D678" i="34"/>
  <c r="D638" i="34"/>
  <c r="D689" i="34"/>
  <c r="D625" i="34"/>
  <c r="D673" i="34"/>
  <c r="D616" i="34"/>
  <c r="D683" i="34"/>
  <c r="D641" i="34"/>
  <c r="D701" i="34"/>
  <c r="D709" i="34"/>
  <c r="D679" i="34"/>
  <c r="D697" i="34"/>
  <c r="D622" i="34"/>
  <c r="D644" i="34"/>
  <c r="D637" i="34"/>
  <c r="D619" i="34"/>
  <c r="D633" i="34"/>
  <c r="D628" i="34"/>
  <c r="D688" i="34"/>
  <c r="D685" i="34"/>
  <c r="D687" i="34"/>
  <c r="D669" i="34"/>
  <c r="D705" i="34"/>
  <c r="D716" i="34"/>
  <c r="D640" i="34"/>
  <c r="D681" i="34"/>
  <c r="D706" i="34"/>
  <c r="D703" i="34"/>
  <c r="D699" i="34"/>
  <c r="D627" i="34"/>
  <c r="D639" i="34"/>
  <c r="D621" i="34"/>
  <c r="D686" i="34"/>
  <c r="D618" i="34"/>
  <c r="D674" i="34"/>
  <c r="H37" i="15"/>
  <c r="I37" i="15" s="1"/>
  <c r="F27" i="15"/>
  <c r="F51" i="15"/>
  <c r="H57" i="15"/>
  <c r="I57" i="15" s="1"/>
  <c r="F57" i="15"/>
  <c r="G59" i="15"/>
  <c r="H59" i="15" s="1"/>
  <c r="I59" i="15" s="1"/>
  <c r="H17" i="15"/>
  <c r="I17" i="15" s="1"/>
  <c r="H29" i="15"/>
  <c r="I29" i="15" s="1"/>
  <c r="H18" i="15"/>
  <c r="I18" i="15" s="1"/>
  <c r="F18" i="15"/>
  <c r="C648" i="34"/>
  <c r="M716" i="34" s="1"/>
  <c r="C648" i="24"/>
  <c r="M716" i="24" s="1"/>
  <c r="D615" i="24"/>
  <c r="F22" i="15"/>
  <c r="H22" i="15"/>
  <c r="I22" i="15" s="1"/>
  <c r="G38" i="15"/>
  <c r="H38" i="15" s="1"/>
  <c r="I38" i="15" s="1"/>
  <c r="H21" i="15"/>
  <c r="I21" i="15" s="1"/>
  <c r="F21" i="15"/>
  <c r="F43" i="15"/>
  <c r="H43" i="15" s="1"/>
  <c r="I43" i="15" s="1"/>
  <c r="C21" i="32"/>
  <c r="C15" i="15"/>
  <c r="G15" i="15" s="1"/>
  <c r="C668" i="24"/>
  <c r="C715" i="24" s="1"/>
  <c r="CE85" i="24"/>
  <c r="H63" i="15"/>
  <c r="I63" i="15" s="1"/>
  <c r="G69" i="15"/>
  <c r="H69" i="15" s="1"/>
  <c r="I69" i="15" s="1"/>
  <c r="G48" i="15"/>
  <c r="H48" i="15" s="1"/>
  <c r="I48" i="15" s="1"/>
  <c r="F44" i="15"/>
  <c r="H44" i="15" s="1"/>
  <c r="I44" i="15" s="1"/>
  <c r="C138" i="8"/>
  <c r="D417" i="24"/>
  <c r="F34" i="15"/>
  <c r="H34" i="15" s="1"/>
  <c r="I34" i="15" s="1"/>
  <c r="F56" i="15"/>
  <c r="H56" i="15"/>
  <c r="I56" i="15" s="1"/>
  <c r="H54" i="15"/>
  <c r="I54" i="15" s="1"/>
  <c r="F54" i="15"/>
  <c r="H41" i="15"/>
  <c r="I41" i="15" s="1"/>
  <c r="F19" i="15"/>
  <c r="H19" i="15" s="1"/>
  <c r="I19" i="15" s="1"/>
  <c r="H46" i="15"/>
  <c r="I46" i="15" s="1"/>
  <c r="F46" i="15"/>
  <c r="F30" i="15"/>
  <c r="H30" i="15" s="1"/>
  <c r="I30" i="15" s="1"/>
  <c r="F35" i="15"/>
  <c r="H35" i="15" s="1"/>
  <c r="I35" i="15" s="1"/>
  <c r="F58" i="15"/>
  <c r="H58" i="15"/>
  <c r="I58" i="15" s="1"/>
  <c r="C668" i="34"/>
  <c r="CE85" i="34"/>
  <c r="C716" i="34" s="1"/>
  <c r="B15" i="15"/>
  <c r="H42" i="15"/>
  <c r="I42" i="15" s="1"/>
  <c r="F16" i="15"/>
  <c r="H16" i="15" s="1"/>
  <c r="I16" i="15" s="1"/>
  <c r="F20" i="15"/>
  <c r="H20" i="15" s="1"/>
  <c r="I20" i="15" s="1"/>
  <c r="H28" i="15"/>
  <c r="I28" i="15" s="1"/>
  <c r="F49" i="15"/>
  <c r="H49" i="15" s="1"/>
  <c r="I49" i="15" s="1"/>
  <c r="F36" i="15"/>
  <c r="H36" i="15" s="1"/>
  <c r="I36" i="15" s="1"/>
  <c r="F55" i="15"/>
  <c r="H55" i="15"/>
  <c r="I55" i="15" s="1"/>
  <c r="H26" i="15"/>
  <c r="I26" i="15" s="1"/>
  <c r="F33" i="15"/>
  <c r="H33" i="15" s="1"/>
  <c r="I33" i="15" s="1"/>
  <c r="D715" i="34" l="1"/>
  <c r="E612" i="34"/>
  <c r="E700" i="34" s="1"/>
  <c r="E623" i="34"/>
  <c r="C168" i="8"/>
  <c r="D421" i="24"/>
  <c r="F15" i="15"/>
  <c r="H15" i="15" s="1"/>
  <c r="I15" i="15" s="1"/>
  <c r="D709" i="24"/>
  <c r="D711" i="24"/>
  <c r="D707" i="24"/>
  <c r="D716" i="24"/>
  <c r="D695" i="24"/>
  <c r="D683" i="24"/>
  <c r="D671" i="24"/>
  <c r="D642" i="24"/>
  <c r="D639" i="24"/>
  <c r="D636" i="24"/>
  <c r="D633" i="24"/>
  <c r="D630" i="24"/>
  <c r="D696" i="24"/>
  <c r="D684" i="24"/>
  <c r="D672" i="24"/>
  <c r="D713" i="24"/>
  <c r="D698" i="24"/>
  <c r="D686" i="24"/>
  <c r="D674" i="24"/>
  <c r="D646" i="24"/>
  <c r="D710" i="24"/>
  <c r="D699" i="24"/>
  <c r="D687" i="24"/>
  <c r="D675" i="24"/>
  <c r="D643" i="24"/>
  <c r="D640" i="24"/>
  <c r="D637" i="24"/>
  <c r="D634" i="24"/>
  <c r="D631" i="24"/>
  <c r="D625" i="24"/>
  <c r="D700" i="24"/>
  <c r="D688" i="24"/>
  <c r="D676" i="24"/>
  <c r="D620" i="24"/>
  <c r="D704" i="24"/>
  <c r="D702" i="24"/>
  <c r="D681" i="24"/>
  <c r="D679" i="24"/>
  <c r="D677" i="24"/>
  <c r="D619" i="24"/>
  <c r="D694" i="24"/>
  <c r="D692" i="24"/>
  <c r="D690" i="24"/>
  <c r="D673" i="24"/>
  <c r="D706" i="24"/>
  <c r="D701" i="24"/>
  <c r="D632" i="24"/>
  <c r="D624" i="24"/>
  <c r="D617" i="24"/>
  <c r="D697" i="24"/>
  <c r="D669" i="24"/>
  <c r="D647" i="24"/>
  <c r="D645" i="24"/>
  <c r="D627" i="24"/>
  <c r="D616" i="24"/>
  <c r="D708" i="24"/>
  <c r="D703" i="24"/>
  <c r="D682" i="24"/>
  <c r="D680" i="24"/>
  <c r="D678" i="24"/>
  <c r="D638" i="24"/>
  <c r="D685" i="24"/>
  <c r="D644" i="24"/>
  <c r="D635" i="24"/>
  <c r="D626" i="24"/>
  <c r="D621" i="24"/>
  <c r="D689" i="24"/>
  <c r="D618" i="24"/>
  <c r="D691" i="24"/>
  <c r="D670" i="24"/>
  <c r="D628" i="24"/>
  <c r="D712" i="24"/>
  <c r="D641" i="24"/>
  <c r="D623" i="24"/>
  <c r="D693" i="24"/>
  <c r="D622" i="24"/>
  <c r="D629" i="24"/>
  <c r="D705" i="24"/>
  <c r="D668" i="24"/>
  <c r="E685" i="34"/>
  <c r="E712" i="34"/>
  <c r="E690" i="34"/>
  <c r="E705" i="34"/>
  <c r="E698" i="34"/>
  <c r="E668" i="34"/>
  <c r="E711" i="34"/>
  <c r="E706" i="34"/>
  <c r="E701" i="34"/>
  <c r="E670" i="34"/>
  <c r="E636" i="34"/>
  <c r="E633" i="34"/>
  <c r="E630" i="34"/>
  <c r="E694" i="34"/>
  <c r="E672" i="34"/>
  <c r="E646" i="34"/>
  <c r="E679" i="34"/>
  <c r="E643" i="34"/>
  <c r="E631" i="34"/>
  <c r="E625" i="34"/>
  <c r="E624" i="34"/>
  <c r="E629" i="34"/>
  <c r="E687" i="34"/>
  <c r="E682" i="34"/>
  <c r="E677" i="34"/>
  <c r="E628" i="34"/>
  <c r="E686" i="34"/>
  <c r="E695" i="34"/>
  <c r="E638" i="34"/>
  <c r="I373" i="32"/>
  <c r="C716" i="24"/>
  <c r="C715" i="34"/>
  <c r="E678" i="34" l="1"/>
  <c r="E647" i="34"/>
  <c r="E639" i="34"/>
  <c r="E688" i="34"/>
  <c r="E634" i="34"/>
  <c r="E642" i="34"/>
  <c r="E702" i="34"/>
  <c r="E635" i="34"/>
  <c r="E704" i="34"/>
  <c r="E640" i="34"/>
  <c r="E691" i="34"/>
  <c r="E684" i="34"/>
  <c r="E669" i="34"/>
  <c r="E683" i="34"/>
  <c r="E681" i="34"/>
  <c r="E641" i="34"/>
  <c r="E692" i="34"/>
  <c r="E716" i="34"/>
  <c r="E671" i="34"/>
  <c r="E680" i="34"/>
  <c r="E673" i="34"/>
  <c r="E627" i="34"/>
  <c r="E644" i="34"/>
  <c r="E676" i="34"/>
  <c r="E696" i="34"/>
  <c r="E703" i="34"/>
  <c r="E697" i="34"/>
  <c r="E710" i="34"/>
  <c r="E674" i="34"/>
  <c r="E689" i="34"/>
  <c r="E626" i="34"/>
  <c r="E708" i="34"/>
  <c r="E709" i="34"/>
  <c r="E693" i="34"/>
  <c r="E632" i="34"/>
  <c r="E713" i="34"/>
  <c r="E707" i="34"/>
  <c r="E645" i="34"/>
  <c r="E637" i="34"/>
  <c r="E699" i="34"/>
  <c r="E675" i="34"/>
  <c r="E612" i="24"/>
  <c r="D715" i="24"/>
  <c r="E623" i="24"/>
  <c r="F624" i="34"/>
  <c r="D424" i="24"/>
  <c r="C177" i="8" s="1"/>
  <c r="C172" i="8"/>
  <c r="E715" i="34" l="1"/>
  <c r="F710" i="34"/>
  <c r="F698" i="34"/>
  <c r="F686" i="34"/>
  <c r="F674" i="34"/>
  <c r="F713" i="34"/>
  <c r="F701" i="34"/>
  <c r="F689" i="34"/>
  <c r="F677" i="34"/>
  <c r="F716" i="34"/>
  <c r="F703" i="34"/>
  <c r="F691" i="34"/>
  <c r="F679" i="34"/>
  <c r="F706" i="34"/>
  <c r="F694" i="34"/>
  <c r="F682" i="34"/>
  <c r="F685" i="34"/>
  <c r="F680" i="34"/>
  <c r="F711" i="34"/>
  <c r="F693" i="34"/>
  <c r="F669" i="34"/>
  <c r="F688" i="34"/>
  <c r="F683" i="34"/>
  <c r="F675" i="34"/>
  <c r="F670" i="34"/>
  <c r="F645" i="34"/>
  <c r="F626" i="34"/>
  <c r="F696" i="34"/>
  <c r="F678" i="34"/>
  <c r="F671" i="34"/>
  <c r="F642" i="34"/>
  <c r="F639" i="34"/>
  <c r="F636" i="34"/>
  <c r="F633" i="34"/>
  <c r="F630" i="34"/>
  <c r="F709" i="34"/>
  <c r="F704" i="34"/>
  <c r="F628" i="34"/>
  <c r="F712" i="34"/>
  <c r="F707" i="34"/>
  <c r="F676" i="34"/>
  <c r="F646" i="34"/>
  <c r="F702" i="34"/>
  <c r="F684" i="34"/>
  <c r="F643" i="34"/>
  <c r="F640" i="34"/>
  <c r="F637" i="34"/>
  <c r="F634" i="34"/>
  <c r="F631" i="34"/>
  <c r="F625" i="34"/>
  <c r="F697" i="34"/>
  <c r="F692" i="34"/>
  <c r="F673" i="34"/>
  <c r="F708" i="34"/>
  <c r="F644" i="34"/>
  <c r="F647" i="34"/>
  <c r="F629" i="34"/>
  <c r="F687" i="34"/>
  <c r="F632" i="34"/>
  <c r="F681" i="34"/>
  <c r="F672" i="34"/>
  <c r="F627" i="34"/>
  <c r="F705" i="34"/>
  <c r="F635" i="34"/>
  <c r="F668" i="34"/>
  <c r="F641" i="34"/>
  <c r="F700" i="34"/>
  <c r="F699" i="34"/>
  <c r="F695" i="34"/>
  <c r="F690" i="34"/>
  <c r="F638" i="34"/>
  <c r="E710" i="24"/>
  <c r="E712" i="24"/>
  <c r="E708" i="24"/>
  <c r="E709" i="24"/>
  <c r="E696" i="24"/>
  <c r="E684" i="24"/>
  <c r="E672" i="24"/>
  <c r="E628" i="24"/>
  <c r="E706" i="24"/>
  <c r="E703" i="24"/>
  <c r="E697" i="24"/>
  <c r="E685" i="24"/>
  <c r="E673" i="24"/>
  <c r="E699" i="24"/>
  <c r="E687" i="24"/>
  <c r="E675" i="24"/>
  <c r="E643" i="24"/>
  <c r="E640" i="24"/>
  <c r="E637" i="24"/>
  <c r="E700" i="24"/>
  <c r="E688" i="24"/>
  <c r="E676" i="24"/>
  <c r="E707" i="24"/>
  <c r="E704" i="24"/>
  <c r="E689" i="24"/>
  <c r="E677" i="24"/>
  <c r="E627" i="24"/>
  <c r="E694" i="24"/>
  <c r="E692" i="24"/>
  <c r="E690" i="24"/>
  <c r="E641" i="24"/>
  <c r="E639" i="24"/>
  <c r="E625" i="24"/>
  <c r="E711" i="24"/>
  <c r="E701" i="24"/>
  <c r="E686" i="24"/>
  <c r="E632" i="24"/>
  <c r="E624" i="24"/>
  <c r="F624" i="24" s="1"/>
  <c r="F710" i="24" s="1"/>
  <c r="E671" i="24"/>
  <c r="E669" i="24"/>
  <c r="E647" i="24"/>
  <c r="E645" i="24"/>
  <c r="E634" i="24"/>
  <c r="E630" i="24"/>
  <c r="E713" i="24"/>
  <c r="E682" i="24"/>
  <c r="E680" i="24"/>
  <c r="E678" i="24"/>
  <c r="E638" i="24"/>
  <c r="E636" i="24"/>
  <c r="E695" i="24"/>
  <c r="E693" i="24"/>
  <c r="E691" i="24"/>
  <c r="E698" i="24"/>
  <c r="E670" i="24"/>
  <c r="E668" i="24"/>
  <c r="E633" i="24"/>
  <c r="E631" i="24"/>
  <c r="E626" i="24"/>
  <c r="E681" i="24"/>
  <c r="E674" i="24"/>
  <c r="E642" i="24"/>
  <c r="E683" i="24"/>
  <c r="E716" i="24"/>
  <c r="E644" i="24"/>
  <c r="E646" i="24"/>
  <c r="E635" i="24"/>
  <c r="E705" i="24"/>
  <c r="E629" i="24"/>
  <c r="E702" i="24"/>
  <c r="E679" i="24"/>
  <c r="F712" i="24" l="1"/>
  <c r="F643" i="24"/>
  <c r="F674" i="24"/>
  <c r="F626" i="24"/>
  <c r="F669" i="24"/>
  <c r="F696" i="24"/>
  <c r="F716" i="24"/>
  <c r="F695" i="24"/>
  <c r="F671" i="24"/>
  <c r="F627" i="24"/>
  <c r="F673" i="24"/>
  <c r="F647" i="24"/>
  <c r="F632" i="24"/>
  <c r="F672" i="24"/>
  <c r="F693" i="24"/>
  <c r="F690" i="24"/>
  <c r="F698" i="24"/>
  <c r="F668" i="24"/>
  <c r="F694" i="24"/>
  <c r="F708" i="24"/>
  <c r="F699" i="24"/>
  <c r="F677" i="24"/>
  <c r="F685" i="24"/>
  <c r="F686" i="24"/>
  <c r="F633" i="24"/>
  <c r="F637" i="24"/>
  <c r="F636" i="24"/>
  <c r="F701" i="24"/>
  <c r="F689" i="24"/>
  <c r="F697" i="24"/>
  <c r="F670" i="24"/>
  <c r="F642" i="24"/>
  <c r="F638" i="24"/>
  <c r="F628" i="24"/>
  <c r="F704" i="24"/>
  <c r="F703" i="24"/>
  <c r="F645" i="24"/>
  <c r="F687" i="24"/>
  <c r="F646" i="24"/>
  <c r="F680" i="24"/>
  <c r="F675" i="24"/>
  <c r="F707" i="24"/>
  <c r="F706" i="24"/>
  <c r="F635" i="24"/>
  <c r="F691" i="24"/>
  <c r="F640" i="24"/>
  <c r="F679" i="24"/>
  <c r="F682" i="24"/>
  <c r="F625" i="24"/>
  <c r="G625" i="24" s="1"/>
  <c r="F676" i="24"/>
  <c r="F709" i="24"/>
  <c r="F631" i="24"/>
  <c r="F705" i="24"/>
  <c r="F681" i="24"/>
  <c r="F684" i="24"/>
  <c r="F639" i="24"/>
  <c r="F688" i="24"/>
  <c r="F713" i="24"/>
  <c r="F692" i="24"/>
  <c r="F683" i="24"/>
  <c r="F630" i="24"/>
  <c r="F641" i="24"/>
  <c r="F700" i="24"/>
  <c r="F711" i="24"/>
  <c r="F678" i="24"/>
  <c r="F644" i="24"/>
  <c r="F702" i="24"/>
  <c r="F634" i="24"/>
  <c r="F629" i="24"/>
  <c r="E715" i="24"/>
  <c r="F715" i="34"/>
  <c r="G625" i="34"/>
  <c r="F715" i="24" l="1"/>
  <c r="G674" i="24"/>
  <c r="G647" i="24"/>
  <c r="G709" i="24"/>
  <c r="G695" i="24"/>
  <c r="G631" i="24"/>
  <c r="G643" i="24"/>
  <c r="G712" i="24"/>
  <c r="G640" i="24"/>
  <c r="G682" i="24"/>
  <c r="G708" i="24"/>
  <c r="G646" i="24"/>
  <c r="G629" i="24"/>
  <c r="G688" i="24"/>
  <c r="G693" i="24"/>
  <c r="G633" i="24"/>
  <c r="G626" i="24"/>
  <c r="G700" i="24"/>
  <c r="G696" i="24"/>
  <c r="G628" i="24"/>
  <c r="G686" i="24"/>
  <c r="G678" i="24"/>
  <c r="G697" i="24"/>
  <c r="G672" i="24"/>
  <c r="G713" i="24"/>
  <c r="G701" i="24"/>
  <c r="G671" i="24"/>
  <c r="G627" i="24"/>
  <c r="G683" i="24"/>
  <c r="G642" i="24"/>
  <c r="G707" i="24"/>
  <c r="G684" i="24"/>
  <c r="G637" i="24"/>
  <c r="G699" i="24"/>
  <c r="G691" i="24"/>
  <c r="G673" i="24"/>
  <c r="G703" i="24"/>
  <c r="G630" i="24"/>
  <c r="G704" i="24"/>
  <c r="G668" i="24"/>
  <c r="G690" i="24"/>
  <c r="G702" i="24"/>
  <c r="G687" i="24"/>
  <c r="G679" i="24"/>
  <c r="G669" i="24"/>
  <c r="G705" i="24"/>
  <c r="G670" i="24"/>
  <c r="G639" i="24"/>
  <c r="G675" i="24"/>
  <c r="G644" i="24"/>
  <c r="G706" i="24"/>
  <c r="G676" i="24"/>
  <c r="G645" i="24"/>
  <c r="G641" i="24"/>
  <c r="G638" i="24"/>
  <c r="G698" i="24"/>
  <c r="G711" i="24"/>
  <c r="G716" i="24"/>
  <c r="G689" i="24"/>
  <c r="G635" i="24"/>
  <c r="G680" i="24"/>
  <c r="G694" i="24"/>
  <c r="G681" i="24"/>
  <c r="G710" i="24"/>
  <c r="G677" i="24"/>
  <c r="G632" i="24"/>
  <c r="G636" i="24"/>
  <c r="G692" i="24"/>
  <c r="G634" i="24"/>
  <c r="G685" i="24"/>
  <c r="G711" i="34"/>
  <c r="G699" i="34"/>
  <c r="G687" i="34"/>
  <c r="G675" i="34"/>
  <c r="G702" i="34"/>
  <c r="G690" i="34"/>
  <c r="G678" i="34"/>
  <c r="G704" i="34"/>
  <c r="G692" i="34"/>
  <c r="G680" i="34"/>
  <c r="G707" i="34"/>
  <c r="G695" i="34"/>
  <c r="G683" i="34"/>
  <c r="G671" i="34"/>
  <c r="G698" i="34"/>
  <c r="G693" i="34"/>
  <c r="G706" i="34"/>
  <c r="G688" i="34"/>
  <c r="G670" i="34"/>
  <c r="G645" i="34"/>
  <c r="G626" i="34"/>
  <c r="G701" i="34"/>
  <c r="G696" i="34"/>
  <c r="G642" i="34"/>
  <c r="G639" i="34"/>
  <c r="G636" i="34"/>
  <c r="G633" i="34"/>
  <c r="G630" i="34"/>
  <c r="G709" i="34"/>
  <c r="G691" i="34"/>
  <c r="G628" i="34"/>
  <c r="G686" i="34"/>
  <c r="G681" i="34"/>
  <c r="G672" i="34"/>
  <c r="G689" i="34"/>
  <c r="G684" i="34"/>
  <c r="G643" i="34"/>
  <c r="G640" i="34"/>
  <c r="G637" i="34"/>
  <c r="G634" i="34"/>
  <c r="G631" i="34"/>
  <c r="G716" i="34"/>
  <c r="G697" i="34"/>
  <c r="G679" i="34"/>
  <c r="G673" i="34"/>
  <c r="G710" i="34"/>
  <c r="G705" i="34"/>
  <c r="G627" i="34"/>
  <c r="G703" i="34"/>
  <c r="G647" i="34"/>
  <c r="G629" i="34"/>
  <c r="G712" i="34"/>
  <c r="G682" i="34"/>
  <c r="G677" i="34"/>
  <c r="G632" i="34"/>
  <c r="G646" i="34"/>
  <c r="G676" i="34"/>
  <c r="G669" i="34"/>
  <c r="G635" i="34"/>
  <c r="G700" i="34"/>
  <c r="G674" i="34"/>
  <c r="G644" i="34"/>
  <c r="G685" i="34"/>
  <c r="G641" i="34"/>
  <c r="G713" i="34"/>
  <c r="G638" i="34"/>
  <c r="G708" i="34"/>
  <c r="G694" i="34"/>
  <c r="G668" i="34"/>
  <c r="G715" i="24" l="1"/>
  <c r="H628" i="24"/>
  <c r="G715" i="34"/>
  <c r="H628" i="34"/>
  <c r="H703" i="24" l="1"/>
  <c r="H690" i="24"/>
  <c r="H668" i="24"/>
  <c r="H697" i="24"/>
  <c r="H633" i="24"/>
  <c r="H712" i="24"/>
  <c r="H645" i="24"/>
  <c r="H672" i="24"/>
  <c r="H632" i="24"/>
  <c r="H684" i="24"/>
  <c r="H704" i="24"/>
  <c r="H711" i="24"/>
  <c r="H678" i="24"/>
  <c r="H709" i="24"/>
  <c r="H695" i="24"/>
  <c r="H707" i="24"/>
  <c r="H698" i="24"/>
  <c r="H640" i="24"/>
  <c r="H685" i="24"/>
  <c r="H638" i="24"/>
  <c r="H713" i="24"/>
  <c r="H683" i="24"/>
  <c r="H692" i="24"/>
  <c r="H716" i="24"/>
  <c r="H702" i="24"/>
  <c r="H699" i="24"/>
  <c r="H647" i="24"/>
  <c r="H682" i="24"/>
  <c r="H693" i="24"/>
  <c r="H694" i="24"/>
  <c r="H696" i="24"/>
  <c r="H630" i="24"/>
  <c r="H688" i="24"/>
  <c r="H708" i="24"/>
  <c r="H687" i="24"/>
  <c r="H691" i="24"/>
  <c r="H673" i="24"/>
  <c r="H705" i="24"/>
  <c r="H677" i="24"/>
  <c r="H670" i="24"/>
  <c r="H681" i="24"/>
  <c r="H701" i="24"/>
  <c r="H629" i="24"/>
  <c r="H680" i="24"/>
  <c r="H675" i="24"/>
  <c r="H679" i="24"/>
  <c r="H671" i="24"/>
  <c r="H689" i="24"/>
  <c r="H710" i="24"/>
  <c r="H641" i="24"/>
  <c r="H676" i="24"/>
  <c r="H643" i="24"/>
  <c r="H644" i="24"/>
  <c r="H669" i="24"/>
  <c r="H642" i="24"/>
  <c r="H646" i="24"/>
  <c r="H639" i="24"/>
  <c r="H637" i="24"/>
  <c r="H631" i="24"/>
  <c r="H634" i="24"/>
  <c r="H635" i="24"/>
  <c r="H706" i="24"/>
  <c r="H700" i="24"/>
  <c r="H674" i="24"/>
  <c r="H686" i="24"/>
  <c r="H636" i="24"/>
  <c r="H712" i="34"/>
  <c r="H700" i="34"/>
  <c r="H688" i="34"/>
  <c r="H676" i="34"/>
  <c r="H716" i="34"/>
  <c r="H703" i="34"/>
  <c r="H691" i="34"/>
  <c r="H679" i="34"/>
  <c r="H705" i="34"/>
  <c r="H693" i="34"/>
  <c r="H681" i="34"/>
  <c r="H708" i="34"/>
  <c r="H696" i="34"/>
  <c r="H684" i="34"/>
  <c r="H672" i="34"/>
  <c r="H711" i="34"/>
  <c r="H706" i="34"/>
  <c r="H670" i="34"/>
  <c r="H701" i="34"/>
  <c r="H683" i="34"/>
  <c r="H675" i="34"/>
  <c r="H642" i="34"/>
  <c r="H639" i="34"/>
  <c r="H636" i="34"/>
  <c r="H633" i="34"/>
  <c r="H630" i="34"/>
  <c r="H709" i="34"/>
  <c r="H678" i="34"/>
  <c r="H671" i="34"/>
  <c r="H704" i="34"/>
  <c r="H686" i="34"/>
  <c r="H699" i="34"/>
  <c r="H694" i="34"/>
  <c r="H646" i="34"/>
  <c r="H702" i="34"/>
  <c r="H697" i="34"/>
  <c r="H673" i="34"/>
  <c r="H710" i="34"/>
  <c r="H692" i="34"/>
  <c r="H687" i="34"/>
  <c r="H682" i="34"/>
  <c r="H647" i="34"/>
  <c r="H629" i="34"/>
  <c r="H698" i="34"/>
  <c r="H640" i="34"/>
  <c r="H707" i="34"/>
  <c r="H677" i="34"/>
  <c r="H643" i="34"/>
  <c r="H632" i="34"/>
  <c r="H669" i="34"/>
  <c r="H635" i="34"/>
  <c r="H695" i="34"/>
  <c r="H638" i="34"/>
  <c r="H631" i="34"/>
  <c r="H713" i="34"/>
  <c r="H674" i="34"/>
  <c r="H644" i="34"/>
  <c r="H637" i="34"/>
  <c r="H689" i="34"/>
  <c r="H685" i="34"/>
  <c r="H641" i="34"/>
  <c r="H690" i="34"/>
  <c r="H634" i="34"/>
  <c r="H680" i="34"/>
  <c r="H668" i="34"/>
  <c r="H645" i="34"/>
  <c r="H715" i="24" l="1"/>
  <c r="I629" i="24"/>
  <c r="H715" i="34"/>
  <c r="I629" i="34"/>
  <c r="I691" i="24" l="1"/>
  <c r="I705" i="24"/>
  <c r="I682" i="24"/>
  <c r="I640" i="24"/>
  <c r="I687" i="24"/>
  <c r="I701" i="24"/>
  <c r="I685" i="24"/>
  <c r="I702" i="24"/>
  <c r="I679" i="24"/>
  <c r="I693" i="24"/>
  <c r="I643" i="24"/>
  <c r="I674" i="24"/>
  <c r="I698" i="24"/>
  <c r="I676" i="24"/>
  <c r="I645" i="24"/>
  <c r="I694" i="24"/>
  <c r="I686" i="24"/>
  <c r="I708" i="24"/>
  <c r="I704" i="24"/>
  <c r="I644" i="24"/>
  <c r="I681" i="24"/>
  <c r="I636" i="24"/>
  <c r="I672" i="24"/>
  <c r="I639" i="24"/>
  <c r="I683" i="24"/>
  <c r="I678" i="24"/>
  <c r="I677" i="24"/>
  <c r="I712" i="24"/>
  <c r="I641" i="24"/>
  <c r="I669" i="24"/>
  <c r="I634" i="24"/>
  <c r="I670" i="24"/>
  <c r="I709" i="24"/>
  <c r="I692" i="24"/>
  <c r="I631" i="24"/>
  <c r="I689" i="24"/>
  <c r="I646" i="24"/>
  <c r="I684" i="24"/>
  <c r="I700" i="24"/>
  <c r="I638" i="24"/>
  <c r="I675" i="24"/>
  <c r="I632" i="24"/>
  <c r="I633" i="24"/>
  <c r="I690" i="24"/>
  <c r="I671" i="24"/>
  <c r="I713" i="24"/>
  <c r="I635" i="24"/>
  <c r="I673" i="24"/>
  <c r="I699" i="24"/>
  <c r="I716" i="24"/>
  <c r="I637" i="24"/>
  <c r="I688" i="24"/>
  <c r="I697" i="24"/>
  <c r="I695" i="24"/>
  <c r="I710" i="24"/>
  <c r="I680" i="24"/>
  <c r="I630" i="24"/>
  <c r="I647" i="24"/>
  <c r="I696" i="24"/>
  <c r="I707" i="24"/>
  <c r="I668" i="24"/>
  <c r="I706" i="24"/>
  <c r="I703" i="24"/>
  <c r="I711" i="24"/>
  <c r="I642" i="24"/>
  <c r="I713" i="34"/>
  <c r="I701" i="34"/>
  <c r="I689" i="34"/>
  <c r="I677" i="34"/>
  <c r="I704" i="34"/>
  <c r="I692" i="34"/>
  <c r="I680" i="34"/>
  <c r="I706" i="34"/>
  <c r="I694" i="34"/>
  <c r="I682" i="34"/>
  <c r="I709" i="34"/>
  <c r="I697" i="34"/>
  <c r="I685" i="34"/>
  <c r="I673" i="34"/>
  <c r="I688" i="34"/>
  <c r="I683" i="34"/>
  <c r="I675" i="34"/>
  <c r="I696" i="34"/>
  <c r="I678" i="34"/>
  <c r="I671" i="34"/>
  <c r="I691" i="34"/>
  <c r="I686" i="34"/>
  <c r="I699" i="34"/>
  <c r="I681" i="34"/>
  <c r="I672" i="34"/>
  <c r="I646" i="34"/>
  <c r="I712" i="34"/>
  <c r="I707" i="34"/>
  <c r="I676" i="34"/>
  <c r="I643" i="34"/>
  <c r="I640" i="34"/>
  <c r="I637" i="34"/>
  <c r="I634" i="34"/>
  <c r="I631" i="34"/>
  <c r="I716" i="34"/>
  <c r="I710" i="34"/>
  <c r="I679" i="34"/>
  <c r="I705" i="34"/>
  <c r="I687" i="34"/>
  <c r="I647" i="34"/>
  <c r="I700" i="34"/>
  <c r="I695" i="34"/>
  <c r="I674" i="34"/>
  <c r="I644" i="34"/>
  <c r="I641" i="34"/>
  <c r="I638" i="34"/>
  <c r="I635" i="34"/>
  <c r="I632" i="34"/>
  <c r="I693" i="34"/>
  <c r="I670" i="34"/>
  <c r="I633" i="34"/>
  <c r="I702" i="34"/>
  <c r="I636" i="34"/>
  <c r="I669" i="34"/>
  <c r="I711" i="34"/>
  <c r="I639" i="34"/>
  <c r="I690" i="34"/>
  <c r="I642" i="34"/>
  <c r="I708" i="34"/>
  <c r="I630" i="34"/>
  <c r="I703" i="34"/>
  <c r="I684" i="34"/>
  <c r="I698" i="34"/>
  <c r="I668" i="34"/>
  <c r="I645" i="34"/>
  <c r="I715" i="24" l="1"/>
  <c r="J630" i="24"/>
  <c r="I715" i="34"/>
  <c r="J630" i="34"/>
  <c r="J689" i="24" l="1"/>
  <c r="J681" i="24"/>
  <c r="J634" i="24"/>
  <c r="J633" i="24"/>
  <c r="J698" i="24"/>
  <c r="J706" i="24"/>
  <c r="J637" i="24"/>
  <c r="J635" i="24"/>
  <c r="J636" i="24"/>
  <c r="J677" i="24"/>
  <c r="J669" i="24"/>
  <c r="J632" i="24"/>
  <c r="J687" i="24"/>
  <c r="J644" i="24"/>
  <c r="J647" i="24"/>
  <c r="J688" i="24"/>
  <c r="J693" i="24"/>
  <c r="J671" i="24"/>
  <c r="J704" i="24"/>
  <c r="J694" i="24"/>
  <c r="J699" i="24"/>
  <c r="J685" i="24"/>
  <c r="J702" i="24"/>
  <c r="J703" i="24"/>
  <c r="J679" i="24"/>
  <c r="J705" i="24"/>
  <c r="J674" i="24"/>
  <c r="J700" i="24"/>
  <c r="J682" i="24"/>
  <c r="J697" i="24"/>
  <c r="J683" i="24"/>
  <c r="J712" i="24"/>
  <c r="J691" i="24"/>
  <c r="J642" i="24"/>
  <c r="J643" i="24"/>
  <c r="J690" i="24"/>
  <c r="J670" i="24"/>
  <c r="J695" i="24"/>
  <c r="J631" i="24"/>
  <c r="J639" i="24"/>
  <c r="J680" i="24"/>
  <c r="J672" i="24"/>
  <c r="J716" i="24"/>
  <c r="J678" i="24"/>
  <c r="J645" i="24"/>
  <c r="J638" i="24"/>
  <c r="J709" i="24"/>
  <c r="J675" i="24"/>
  <c r="J692" i="24"/>
  <c r="J646" i="24"/>
  <c r="J710" i="24"/>
  <c r="J707" i="24"/>
  <c r="J713" i="24"/>
  <c r="J668" i="24"/>
  <c r="J686" i="24"/>
  <c r="J640" i="24"/>
  <c r="J696" i="24"/>
  <c r="J673" i="24"/>
  <c r="J701" i="24"/>
  <c r="J711" i="24"/>
  <c r="J684" i="24"/>
  <c r="J676" i="24"/>
  <c r="J641" i="24"/>
  <c r="J708" i="24"/>
  <c r="J702" i="34"/>
  <c r="J690" i="34"/>
  <c r="J678" i="34"/>
  <c r="J705" i="34"/>
  <c r="J693" i="34"/>
  <c r="J681" i="34"/>
  <c r="J707" i="34"/>
  <c r="J695" i="34"/>
  <c r="J683" i="34"/>
  <c r="J710" i="34"/>
  <c r="J698" i="34"/>
  <c r="J686" i="34"/>
  <c r="J674" i="34"/>
  <c r="J701" i="34"/>
  <c r="J696" i="34"/>
  <c r="J671" i="34"/>
  <c r="J709" i="34"/>
  <c r="J691" i="34"/>
  <c r="J704" i="34"/>
  <c r="J699" i="34"/>
  <c r="J672" i="34"/>
  <c r="J646" i="34"/>
  <c r="J712" i="34"/>
  <c r="J694" i="34"/>
  <c r="J676" i="34"/>
  <c r="J643" i="34"/>
  <c r="J640" i="34"/>
  <c r="J637" i="34"/>
  <c r="J634" i="34"/>
  <c r="J631" i="34"/>
  <c r="J689" i="34"/>
  <c r="J684" i="34"/>
  <c r="J692" i="34"/>
  <c r="J687" i="34"/>
  <c r="J647" i="34"/>
  <c r="J700" i="34"/>
  <c r="J682" i="34"/>
  <c r="J644" i="34"/>
  <c r="J641" i="34"/>
  <c r="J638" i="34"/>
  <c r="J635" i="34"/>
  <c r="J632" i="34"/>
  <c r="J713" i="34"/>
  <c r="J708" i="34"/>
  <c r="J677" i="34"/>
  <c r="J668" i="34"/>
  <c r="J688" i="34"/>
  <c r="J697" i="34"/>
  <c r="J673" i="34"/>
  <c r="J636" i="34"/>
  <c r="J669" i="34"/>
  <c r="J711" i="34"/>
  <c r="J639" i="34"/>
  <c r="J706" i="34"/>
  <c r="J716" i="34"/>
  <c r="J642" i="34"/>
  <c r="J685" i="34"/>
  <c r="J645" i="34"/>
  <c r="J703" i="34"/>
  <c r="J633" i="34"/>
  <c r="J670" i="34"/>
  <c r="J680" i="34"/>
  <c r="J679" i="34"/>
  <c r="J675" i="34"/>
  <c r="L647" i="34" l="1"/>
  <c r="L704" i="34" s="1"/>
  <c r="J715" i="24"/>
  <c r="L647" i="24"/>
  <c r="K644" i="24"/>
  <c r="J715" i="34"/>
  <c r="L680" i="34"/>
  <c r="L707" i="34"/>
  <c r="L695" i="34"/>
  <c r="L683" i="34"/>
  <c r="L709" i="34"/>
  <c r="L697" i="34"/>
  <c r="L685" i="34"/>
  <c r="L691" i="34"/>
  <c r="L686" i="34"/>
  <c r="L672" i="34"/>
  <c r="L699" i="34"/>
  <c r="L681" i="34"/>
  <c r="L694" i="34"/>
  <c r="L689" i="34"/>
  <c r="L702" i="34"/>
  <c r="L684" i="34"/>
  <c r="L679" i="34"/>
  <c r="L713" i="34"/>
  <c r="L682" i="34"/>
  <c r="L677" i="34"/>
  <c r="L674" i="34"/>
  <c r="L668" i="34"/>
  <c r="L708" i="34"/>
  <c r="L690" i="34"/>
  <c r="L669" i="34"/>
  <c r="L698" i="34"/>
  <c r="L678" i="34"/>
  <c r="L687" i="34"/>
  <c r="L711" i="34"/>
  <c r="L706" i="34"/>
  <c r="L701" i="34"/>
  <c r="L696" i="34"/>
  <c r="L705" i="34"/>
  <c r="L693" i="34"/>
  <c r="L671" i="34"/>
  <c r="K644" i="34"/>
  <c r="L692" i="34" l="1"/>
  <c r="L670" i="34"/>
  <c r="L710" i="34"/>
  <c r="L688" i="34"/>
  <c r="L700" i="34"/>
  <c r="L716" i="34"/>
  <c r="L675" i="34"/>
  <c r="L703" i="34"/>
  <c r="L673" i="34"/>
  <c r="L712" i="34"/>
  <c r="L676" i="34"/>
  <c r="K678" i="24"/>
  <c r="K670" i="24"/>
  <c r="K689" i="24"/>
  <c r="K712" i="24"/>
  <c r="K672" i="24"/>
  <c r="K691" i="24"/>
  <c r="K695" i="24"/>
  <c r="K687" i="24"/>
  <c r="K686" i="24"/>
  <c r="K681" i="24"/>
  <c r="K703" i="24"/>
  <c r="K677" i="24"/>
  <c r="K688" i="24"/>
  <c r="K679" i="24"/>
  <c r="K683" i="24"/>
  <c r="K685" i="24"/>
  <c r="K692" i="24"/>
  <c r="K693" i="24"/>
  <c r="K680" i="24"/>
  <c r="K696" i="24"/>
  <c r="K700" i="24"/>
  <c r="K707" i="24"/>
  <c r="K711" i="24"/>
  <c r="K671" i="24"/>
  <c r="K716" i="24"/>
  <c r="K668" i="24"/>
  <c r="K704" i="24"/>
  <c r="K694" i="24"/>
  <c r="K708" i="24"/>
  <c r="K699" i="24"/>
  <c r="K710" i="24"/>
  <c r="K709" i="24"/>
  <c r="K701" i="24"/>
  <c r="K697" i="24"/>
  <c r="K698" i="24"/>
  <c r="K684" i="24"/>
  <c r="K682" i="24"/>
  <c r="K706" i="24"/>
  <c r="K669" i="24"/>
  <c r="K713" i="24"/>
  <c r="K675" i="24"/>
  <c r="K702" i="24"/>
  <c r="K705" i="24"/>
  <c r="K676" i="24"/>
  <c r="K673" i="24"/>
  <c r="K674" i="24"/>
  <c r="K690" i="24"/>
  <c r="L679" i="24"/>
  <c r="M679" i="24" s="1"/>
  <c r="G55" i="32" s="1"/>
  <c r="L684" i="24"/>
  <c r="M684" i="24" s="1"/>
  <c r="E87" i="32" s="1"/>
  <c r="L687" i="24"/>
  <c r="L699" i="24"/>
  <c r="M699" i="24" s="1"/>
  <c r="F151" i="32" s="1"/>
  <c r="L670" i="24"/>
  <c r="M670" i="24" s="1"/>
  <c r="E23" i="32" s="1"/>
  <c r="L707" i="24"/>
  <c r="L704" i="24"/>
  <c r="L689" i="24"/>
  <c r="M689" i="24" s="1"/>
  <c r="C119" i="32" s="1"/>
  <c r="L692" i="24"/>
  <c r="M692" i="24" s="1"/>
  <c r="F119" i="32" s="1"/>
  <c r="L672" i="24"/>
  <c r="M672" i="24" s="1"/>
  <c r="G23" i="32" s="1"/>
  <c r="L685" i="24"/>
  <c r="M685" i="24" s="1"/>
  <c r="F87" i="32" s="1"/>
  <c r="L681" i="24"/>
  <c r="M681" i="24" s="1"/>
  <c r="I55" i="32" s="1"/>
  <c r="L705" i="24"/>
  <c r="M705" i="24" s="1"/>
  <c r="E183" i="32" s="1"/>
  <c r="L713" i="24"/>
  <c r="M713" i="24" s="1"/>
  <c r="F215" i="32" s="1"/>
  <c r="L677" i="24"/>
  <c r="L691" i="24"/>
  <c r="M691" i="24" s="1"/>
  <c r="E119" i="32" s="1"/>
  <c r="L680" i="24"/>
  <c r="M680" i="24" s="1"/>
  <c r="H55" i="32" s="1"/>
  <c r="L711" i="24"/>
  <c r="L710" i="24"/>
  <c r="L697" i="24"/>
  <c r="M697" i="24" s="1"/>
  <c r="D151" i="32" s="1"/>
  <c r="L668" i="24"/>
  <c r="L669" i="24"/>
  <c r="M669" i="24" s="1"/>
  <c r="D23" i="32" s="1"/>
  <c r="L698" i="24"/>
  <c r="L675" i="24"/>
  <c r="M675" i="24" s="1"/>
  <c r="C55" i="32" s="1"/>
  <c r="L688" i="24"/>
  <c r="L686" i="24"/>
  <c r="M686" i="24" s="1"/>
  <c r="G87" i="32" s="1"/>
  <c r="L671" i="24"/>
  <c r="L694" i="24"/>
  <c r="M694" i="24" s="1"/>
  <c r="H119" i="32" s="1"/>
  <c r="L701" i="24"/>
  <c r="M701" i="24" s="1"/>
  <c r="H151" i="32" s="1"/>
  <c r="L712" i="24"/>
  <c r="M712" i="24" s="1"/>
  <c r="E215" i="32" s="1"/>
  <c r="L673" i="24"/>
  <c r="L695" i="24"/>
  <c r="M695" i="24" s="1"/>
  <c r="I119" i="32" s="1"/>
  <c r="L709" i="24"/>
  <c r="M709" i="24" s="1"/>
  <c r="I183" i="32" s="1"/>
  <c r="L696" i="24"/>
  <c r="M696" i="24" s="1"/>
  <c r="C151" i="32" s="1"/>
  <c r="L682" i="24"/>
  <c r="L693" i="24"/>
  <c r="M693" i="24" s="1"/>
  <c r="G119" i="32" s="1"/>
  <c r="L690" i="24"/>
  <c r="M690" i="24" s="1"/>
  <c r="D119" i="32" s="1"/>
  <c r="L708" i="24"/>
  <c r="M708" i="24" s="1"/>
  <c r="H183" i="32" s="1"/>
  <c r="L702" i="24"/>
  <c r="M702" i="24" s="1"/>
  <c r="I151" i="32" s="1"/>
  <c r="L716" i="24"/>
  <c r="L683" i="24"/>
  <c r="M683" i="24" s="1"/>
  <c r="D87" i="32" s="1"/>
  <c r="L678" i="24"/>
  <c r="L700" i="24"/>
  <c r="M700" i="24" s="1"/>
  <c r="G151" i="32" s="1"/>
  <c r="L703" i="24"/>
  <c r="L676" i="24"/>
  <c r="M676" i="24" s="1"/>
  <c r="D55" i="32" s="1"/>
  <c r="L674" i="24"/>
  <c r="M674" i="24" s="1"/>
  <c r="I23" i="32" s="1"/>
  <c r="L706" i="24"/>
  <c r="M706" i="24" s="1"/>
  <c r="F183" i="32" s="1"/>
  <c r="K716" i="34"/>
  <c r="K703" i="34"/>
  <c r="M703" i="34" s="1"/>
  <c r="K691" i="34"/>
  <c r="M691" i="34" s="1"/>
  <c r="K679" i="34"/>
  <c r="M679" i="34" s="1"/>
  <c r="K706" i="34"/>
  <c r="M706" i="34" s="1"/>
  <c r="K694" i="34"/>
  <c r="M694" i="34" s="1"/>
  <c r="K682" i="34"/>
  <c r="M682" i="34" s="1"/>
  <c r="K708" i="34"/>
  <c r="M708" i="34" s="1"/>
  <c r="K696" i="34"/>
  <c r="M696" i="34" s="1"/>
  <c r="K684" i="34"/>
  <c r="M684" i="34" s="1"/>
  <c r="K711" i="34"/>
  <c r="M711" i="34" s="1"/>
  <c r="K699" i="34"/>
  <c r="M699" i="34" s="1"/>
  <c r="K687" i="34"/>
  <c r="M687" i="34" s="1"/>
  <c r="K675" i="34"/>
  <c r="M675" i="34" s="1"/>
  <c r="K709" i="34"/>
  <c r="M709" i="34" s="1"/>
  <c r="K678" i="34"/>
  <c r="M678" i="34" s="1"/>
  <c r="K704" i="34"/>
  <c r="M704" i="34" s="1"/>
  <c r="K686" i="34"/>
  <c r="M686" i="34" s="1"/>
  <c r="K672" i="34"/>
  <c r="M672" i="34" s="1"/>
  <c r="K712" i="34"/>
  <c r="K681" i="34"/>
  <c r="M681" i="34" s="1"/>
  <c r="K676" i="34"/>
  <c r="K707" i="34"/>
  <c r="M707" i="34" s="1"/>
  <c r="K689" i="34"/>
  <c r="M689" i="34" s="1"/>
  <c r="K702" i="34"/>
  <c r="M702" i="34" s="1"/>
  <c r="K697" i="34"/>
  <c r="M697" i="34" s="1"/>
  <c r="K673" i="34"/>
  <c r="K705" i="34"/>
  <c r="M705" i="34" s="1"/>
  <c r="K700" i="34"/>
  <c r="M700" i="34" s="1"/>
  <c r="K713" i="34"/>
  <c r="M713" i="34" s="1"/>
  <c r="K695" i="34"/>
  <c r="M695" i="34" s="1"/>
  <c r="K677" i="34"/>
  <c r="M677" i="34" s="1"/>
  <c r="K674" i="34"/>
  <c r="M674" i="34" s="1"/>
  <c r="K668" i="34"/>
  <c r="M668" i="34" s="1"/>
  <c r="K690" i="34"/>
  <c r="M690" i="34" s="1"/>
  <c r="K685" i="34"/>
  <c r="M685" i="34" s="1"/>
  <c r="K669" i="34"/>
  <c r="M669" i="34" s="1"/>
  <c r="K683" i="34"/>
  <c r="M683" i="34" s="1"/>
  <c r="K692" i="34"/>
  <c r="M692" i="34" s="1"/>
  <c r="K701" i="34"/>
  <c r="M701" i="34" s="1"/>
  <c r="K710" i="34"/>
  <c r="M710" i="34" s="1"/>
  <c r="K680" i="34"/>
  <c r="M680" i="34" s="1"/>
  <c r="K698" i="34"/>
  <c r="M698" i="34" s="1"/>
  <c r="K670" i="34"/>
  <c r="M670" i="34" s="1"/>
  <c r="K688" i="34"/>
  <c r="M688" i="34" s="1"/>
  <c r="K671" i="34"/>
  <c r="M671" i="34" s="1"/>
  <c r="K693" i="34"/>
  <c r="M693" i="34" s="1"/>
  <c r="M698" i="24" l="1"/>
  <c r="E151" i="32" s="1"/>
  <c r="M703" i="24"/>
  <c r="C183" i="32" s="1"/>
  <c r="M687" i="24"/>
  <c r="H87" i="32" s="1"/>
  <c r="M673" i="24"/>
  <c r="H23" i="32" s="1"/>
  <c r="M688" i="24"/>
  <c r="I87" i="32" s="1"/>
  <c r="M710" i="24"/>
  <c r="C215" i="32" s="1"/>
  <c r="M704" i="24"/>
  <c r="D183" i="32" s="1"/>
  <c r="M711" i="24"/>
  <c r="D215" i="32" s="1"/>
  <c r="M682" i="24"/>
  <c r="C87" i="32" s="1"/>
  <c r="M678" i="24"/>
  <c r="F55" i="32" s="1"/>
  <c r="M707" i="24"/>
  <c r="G183" i="32" s="1"/>
  <c r="M671" i="24"/>
  <c r="F23" i="32" s="1"/>
  <c r="M677" i="24"/>
  <c r="E55" i="32" s="1"/>
  <c r="K715" i="24"/>
  <c r="M712" i="34"/>
  <c r="M673" i="34"/>
  <c r="L715" i="34"/>
  <c r="M676" i="34"/>
  <c r="M715" i="34" s="1"/>
  <c r="L715" i="24"/>
  <c r="M668" i="24"/>
  <c r="K715" i="34"/>
  <c r="M715" i="24" l="1"/>
  <c r="C23" i="32"/>
</calcChain>
</file>

<file path=xl/sharedStrings.xml><?xml version="1.0" encoding="utf-8"?>
<sst xmlns="http://schemas.openxmlformats.org/spreadsheetml/2006/main" count="4817" uniqueCount="1362">
  <si>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</si>
  <si>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</si>
  <si>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</si>
  <si>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</si>
  <si>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</si>
  <si>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</si>
  <si>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</si>
  <si>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</si>
  <si>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</si>
  <si>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</si>
  <si>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</si>
  <si>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</si>
  <si>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</si>
  <si>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</si>
  <si>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</si>
  <si>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</si>
  <si>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</si>
  <si>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</si>
  <si>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</si>
  <si>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</si>
  <si>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</si>
  <si>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</si>
  <si>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</si>
  <si>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</si>
  <si>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</si>
  <si>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</si>
  <si>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</si>
  <si>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</si>
  <si>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</si>
  <si>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</si>
  <si>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</si>
  <si>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</si>
  <si>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</si>
  <si>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</si>
  <si>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</si>
  <si>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</si>
  <si>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</si>
  <si>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</si>
  <si>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</si>
  <si>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</si>
  <si>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</si>
  <si>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</si>
  <si>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</si>
  <si>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</si>
  <si>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</si>
  <si>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</si>
  <si>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</si>
  <si>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</si>
  <si>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</si>
  <si>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</si>
  <si>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</si>
  <si>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</si>
  <si>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</si>
  <si>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</si>
  <si>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</si>
  <si>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</si>
  <si>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</si>
  <si>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</si>
  <si>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</si>
  <si>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</si>
  <si>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</si>
  <si>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</si>
  <si>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</si>
  <si>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</si>
  <si>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</si>
  <si>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</si>
  <si>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</si>
  <si>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</si>
  <si>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</si>
  <si>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</si>
  <si>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</si>
  <si>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</si>
  <si>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</si>
  <si>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</si>
  <si>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</si>
  <si>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</si>
  <si>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</si>
  <si>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</si>
  <si>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</si>
  <si>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</si>
  <si>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</si>
  <si>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</si>
  <si>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</si>
  <si>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</si>
  <si>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</si>
  <si>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</si>
  <si>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</si>
  <si>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</si>
  <si>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</si>
  <si>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</si>
  <si>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</si>
  <si>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</si>
  <si>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</si>
  <si>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</si>
  <si>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</si>
  <si>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</si>
  <si>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</si>
  <si>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</si>
  <si>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</si>
  <si>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</si>
  <si>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</si>
  <si>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</si>
  <si>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</si>
  <si>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</si>
  <si>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</si>
  <si>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</si>
  <si>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</si>
  <si>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</si>
  <si>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</si>
  <si>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</si>
  <si>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</si>
  <si>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</si>
  <si>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</si>
  <si>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</si>
  <si>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</si>
  <si>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</si>
  <si>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</si>
  <si>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</si>
  <si>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</si>
  <si>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</si>
  <si>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</si>
  <si>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</si>
  <si>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</si>
  <si>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</si>
  <si>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</si>
  <si>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</si>
  <si>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</si>
  <si>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</si>
  <si>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</si>
  <si>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</si>
  <si>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</si>
  <si>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</si>
  <si>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</si>
  <si>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</si>
  <si>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</si>
  <si>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</si>
  <si>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</si>
  <si>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</si>
  <si>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</si>
  <si>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</si>
  <si>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</si>
  <si>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</si>
  <si>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</si>
  <si>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</si>
  <si>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</si>
  <si>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</si>
  <si>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</si>
  <si>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</si>
  <si>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</si>
  <si>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</si>
  <si>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</si>
  <si>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</si>
  <si>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</si>
  <si>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</si>
  <si>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</si>
  <si>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</si>
  <si>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</si>
  <si>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</si>
  <si>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</si>
  <si>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</si>
  <si>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</si>
  <si>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</si>
  <si>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</si>
  <si>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</si>
  <si>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</si>
  <si>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</si>
  <si>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</si>
  <si>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</si>
  <si>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</si>
  <si>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</si>
  <si>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</si>
  <si>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</si>
  <si>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</si>
  <si>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</si>
  <si>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</si>
  <si>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</si>
  <si>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</si>
  <si>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</si>
  <si>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</si>
  <si>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</si>
  <si>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</si>
  <si>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</si>
  <si>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</si>
  <si>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</si>
  <si>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</si>
  <si>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</si>
  <si>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</si>
  <si>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</si>
  <si>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</si>
  <si>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</si>
  <si>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</si>
  <si>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</si>
  <si>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</si>
  <si>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</si>
  <si>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</si>
  <si>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</si>
  <si>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</si>
  <si>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</si>
  <si>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</si>
  <si>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</si>
  <si>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</si>
  <si>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</si>
  <si>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</si>
  <si>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</si>
  <si>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</si>
  <si>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</si>
  <si>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</si>
  <si>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</si>
  <si>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</si>
  <si>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</si>
  <si>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</si>
  <si>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</si>
  <si>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</si>
  <si>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</si>
  <si>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</si>
  <si>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</si>
  <si>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</si>
  <si>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</si>
  <si>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</si>
  <si>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</si>
  <si>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</si>
  <si>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</si>
  <si>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</si>
  <si>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</si>
  <si>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</si>
  <si>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</si>
  <si>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</si>
  <si>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</si>
  <si>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</si>
  <si>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</si>
  <si>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</si>
  <si>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</si>
  <si>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</si>
  <si>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</si>
  <si>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</si>
  <si>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</si>
  <si>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</si>
  <si>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</si>
  <si>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</si>
  <si>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</si>
  <si>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</si>
  <si>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</si>
  <si>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</si>
  <si>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</si>
  <si>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</si>
  <si>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</si>
  <si>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</si>
  <si>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</si>
  <si>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</si>
  <si>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</si>
  <si>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</si>
  <si>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</si>
  <si>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</si>
  <si>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</si>
  <si>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</si>
  <si>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</si>
  <si>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</si>
  <si>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</si>
  <si>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</si>
  <si>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</si>
  <si>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</si>
  <si>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</si>
  <si>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</si>
  <si>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</si>
  <si>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</si>
  <si>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</si>
  <si>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</si>
  <si>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</si>
  <si>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</si>
  <si>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</si>
  <si>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</si>
  <si>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</si>
  <si>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</si>
  <si>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</si>
  <si>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</si>
  <si>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</si>
  <si>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</si>
  <si>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</si>
  <si>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</si>
  <si>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</si>
  <si>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</si>
  <si>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</si>
  <si>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</si>
  <si>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</si>
  <si>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</si>
  <si>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</si>
  <si>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</si>
  <si>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</si>
  <si>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</si>
  <si>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</si>
  <si>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</si>
  <si>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</si>
  <si>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</si>
  <si>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</si>
  <si>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</si>
  <si>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</si>
  <si>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</si>
  <si>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</si>
  <si>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</si>
  <si>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</si>
  <si>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029</t>
  </si>
  <si>
    <t>Hospital Name</t>
  </si>
  <si>
    <t>Harborview Medical Center</t>
  </si>
  <si>
    <t>Mailing Address</t>
  </si>
  <si>
    <t>325 Ninth Avenue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</si>
  <si>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</si>
  <si>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</si>
  <si>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</si>
  <si>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</si>
  <si>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</si>
  <si>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</si>
  <si>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</si>
  <si>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</si>
  <si>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Sommer Kleweno-Walley</t>
  </si>
  <si>
    <t>Chief Financial Officer</t>
  </si>
  <si>
    <t>Jacqueline Cabe</t>
  </si>
  <si>
    <t>Chair of Governing Board</t>
  </si>
  <si>
    <t>Steffanie Fain</t>
  </si>
  <si>
    <t>Telephone Number</t>
  </si>
  <si>
    <t>206.744.3000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</si>
  <si>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</si>
  <si>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</si>
  <si>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</si>
  <si>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</si>
  <si>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</si>
  <si>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</si>
  <si>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</si>
  <si>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</si>
  <si>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</si>
  <si>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</si>
  <si>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</si>
  <si>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</si>
  <si>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</si>
  <si>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</si>
  <si>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</si>
  <si>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</si>
  <si>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</si>
  <si>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</si>
  <si>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</si>
  <si>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</si>
  <si>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</si>
  <si>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</si>
  <si>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</si>
  <si>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</si>
  <si>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</si>
  <si>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</si>
  <si>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</si>
  <si>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</si>
  <si>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</si>
  <si>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</si>
  <si>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</si>
  <si>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</si>
  <si>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</si>
  <si>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</si>
  <si>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</si>
  <si>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</si>
  <si>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</si>
  <si>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</si>
  <si>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</si>
  <si>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</si>
  <si>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</si>
  <si>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</si>
  <si>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</si>
  <si>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</si>
  <si>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</si>
  <si>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</si>
  <si>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</si>
  <si>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</si>
  <si>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</si>
  <si>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</si>
  <si>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</si>
  <si>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</si>
  <si>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</si>
  <si>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</si>
  <si>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</si>
  <si>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</si>
  <si>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</si>
  <si>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</si>
  <si>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</si>
  <si>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</si>
  <si>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</si>
  <si>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</si>
  <si>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</si>
  <si>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</si>
  <si>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</si>
  <si>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</si>
  <si>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</si>
  <si>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</si>
  <si>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</si>
  <si>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</si>
  <si>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</si>
  <si>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</si>
  <si>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</si>
  <si>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</si>
  <si>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</si>
  <si>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</si>
  <si>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</si>
  <si>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</si>
  <si>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</si>
  <si>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</si>
  <si>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</si>
  <si>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</si>
  <si>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</si>
  <si>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</si>
  <si>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</si>
  <si>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</si>
  <si>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</si>
  <si>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</si>
  <si>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</si>
  <si>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</si>
  <si>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</si>
  <si>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</si>
  <si>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</si>
  <si>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</si>
  <si>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</si>
  <si>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</si>
  <si>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</si>
  <si>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</si>
  <si>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</si>
  <si>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</si>
  <si>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</si>
  <si>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</si>
  <si>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</si>
  <si>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</si>
  <si>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</si>
  <si>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</si>
  <si>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</si>
  <si>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</si>
  <si>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</si>
  <si>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</si>
  <si>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</si>
  <si>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</si>
  <si>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</si>
  <si>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</si>
  <si>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</si>
  <si>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</si>
  <si>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</si>
  <si>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</si>
  <si>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</si>
  <si>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</si>
  <si>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</si>
  <si>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</si>
  <si>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</si>
  <si>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</si>
  <si>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</si>
  <si>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</si>
  <si>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</si>
  <si>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</si>
  <si>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</si>
  <si>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</si>
  <si>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</si>
  <si>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</si>
  <si>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</si>
  <si>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</si>
  <si>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</si>
  <si>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</si>
  <si>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</si>
  <si>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</si>
  <si>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</si>
  <si>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</si>
  <si>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</si>
  <si>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</si>
  <si>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</si>
  <si>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</si>
  <si>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</si>
  <si>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</si>
  <si>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</si>
  <si>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</si>
  <si>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</si>
  <si>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</si>
  <si>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</si>
  <si>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</si>
  <si>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</si>
  <si>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</si>
  <si>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</si>
  <si>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</si>
  <si>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</si>
  <si>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</si>
  <si>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</si>
  <si>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</si>
  <si>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</si>
  <si>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</si>
  <si>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</si>
  <si>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</si>
  <si>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</si>
  <si>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</si>
  <si>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</si>
  <si>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</si>
  <si>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</si>
  <si>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</si>
  <si>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</si>
  <si>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</si>
  <si>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</si>
  <si>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</si>
  <si>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</si>
  <si>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</si>
  <si>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</si>
  <si>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</si>
  <si>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</si>
  <si>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</si>
  <si>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</si>
  <si>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</si>
  <si>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</si>
  <si>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</si>
  <si>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</si>
  <si>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</si>
  <si>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</si>
  <si>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</si>
  <si>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</si>
  <si>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</si>
  <si>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</si>
  <si>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</si>
  <si>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</si>
  <si>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</si>
  <si>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</si>
  <si>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</si>
  <si>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</si>
  <si>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</si>
  <si>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</si>
  <si>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</si>
  <si>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</si>
  <si>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</si>
  <si>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</si>
  <si>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</si>
  <si>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</si>
  <si>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</si>
  <si>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</si>
  <si>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</si>
  <si>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</si>
  <si>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</si>
  <si>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</si>
  <si>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</si>
  <si>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</si>
  <si>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</si>
  <si>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</si>
  <si>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</si>
  <si>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</si>
  <si>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</si>
  <si>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</si>
  <si>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</si>
  <si>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</si>
  <si>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</si>
  <si>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</si>
  <si>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</si>
  <si>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</si>
  <si>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</si>
  <si>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</si>
  <si>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</si>
  <si>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</si>
  <si>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</si>
  <si>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</si>
  <si>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</si>
  <si>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</si>
  <si>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</si>
  <si>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</si>
  <si>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</si>
  <si>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</si>
  <si>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</si>
  <si>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</si>
  <si>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</si>
  <si>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</si>
  <si>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</si>
  <si>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</si>
  <si>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</si>
  <si>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</si>
  <si>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</si>
  <si>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</si>
  <si>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</si>
  <si>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</si>
  <si>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</si>
  <si>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</si>
  <si>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</si>
  <si>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</si>
  <si>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</si>
  <si>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</si>
  <si>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</si>
  <si>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</si>
  <si>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</si>
  <si>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</si>
  <si>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</si>
  <si>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</si>
  <si>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</si>
  <si>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</si>
  <si>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</si>
  <si>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</si>
  <si>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</si>
  <si>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</si>
  <si>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</si>
  <si>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</si>
  <si>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</si>
  <si>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</si>
  <si>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</si>
  <si>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</si>
  <si>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</si>
  <si>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</si>
  <si>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</si>
  <si>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</si>
  <si>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</si>
  <si>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</si>
  <si>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</si>
  <si>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</si>
  <si>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</si>
  <si>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</si>
  <si>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</si>
  <si>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</si>
  <si>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</si>
  <si>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</si>
  <si>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</si>
  <si>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</si>
  <si>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</si>
  <si>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</si>
  <si>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</si>
  <si>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</si>
  <si>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</si>
  <si>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</si>
  <si>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</si>
  <si>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</si>
  <si>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</si>
  <si>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</si>
  <si>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</si>
  <si>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</si>
  <si>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</si>
  <si>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</si>
  <si>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</si>
  <si>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</si>
  <si>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</si>
  <si>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</si>
  <si>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</si>
  <si>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</si>
  <si>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</si>
  <si>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</si>
  <si>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</si>
  <si>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</si>
  <si>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</si>
  <si>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</si>
  <si>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</si>
  <si>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</si>
  <si>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</si>
  <si>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</si>
  <si>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</si>
  <si>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</si>
  <si>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</si>
  <si>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</si>
  <si>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</si>
  <si>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</si>
  <si>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</si>
  <si>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</si>
  <si>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</si>
  <si>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</si>
  <si>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</si>
  <si>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</si>
  <si>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</si>
  <si>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</si>
  <si>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</si>
  <si>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</si>
  <si>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</si>
  <si>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</si>
  <si>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</si>
  <si>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</si>
  <si>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</si>
  <si>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</si>
  <si>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</si>
  <si>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</si>
  <si>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</si>
  <si>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</si>
  <si>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</si>
  <si>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</si>
  <si>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</si>
  <si>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</si>
  <si>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</si>
  <si>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</si>
  <si>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</si>
  <si>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</si>
  <si>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</si>
  <si>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</si>
  <si>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</si>
  <si>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</si>
  <si>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</si>
  <si>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</si>
  <si>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</si>
  <si>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</si>
  <si>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</si>
  <si>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</si>
  <si>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</si>
  <si>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</si>
  <si>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</si>
  <si>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</si>
  <si>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</si>
  <si>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</si>
  <si>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</si>
  <si>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</si>
  <si>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</si>
  <si>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</si>
  <si>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</si>
  <si>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</si>
  <si>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</si>
  <si>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</si>
  <si>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</si>
  <si>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</si>
  <si>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</si>
  <si>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</si>
  <si>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</si>
  <si>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</si>
  <si>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</si>
  <si>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</si>
  <si>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</si>
  <si>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</si>
  <si>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</si>
  <si>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</si>
  <si>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</si>
  <si>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</si>
  <si>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</si>
  <si>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</si>
  <si>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</si>
  <si>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</si>
  <si>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</si>
  <si>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</si>
  <si>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</si>
  <si>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</si>
  <si>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</si>
  <si>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</si>
  <si>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</si>
  <si>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</si>
  <si>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</si>
  <si>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</si>
  <si>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</si>
  <si>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</si>
  <si>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</si>
  <si>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</si>
  <si>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</si>
  <si>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</si>
  <si>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</si>
  <si>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</si>
  <si>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</si>
  <si>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</si>
  <si>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</si>
  <si>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</si>
  <si>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</si>
  <si>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</si>
  <si>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</si>
  <si>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</si>
  <si>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</si>
  <si>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</si>
  <si>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</si>
  <si>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</si>
  <si>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</si>
  <si>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</si>
  <si>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</si>
  <si>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</si>
  <si>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</si>
  <si>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</si>
  <si>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</si>
  <si>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</si>
  <si>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</si>
  <si>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</si>
  <si>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</si>
  <si>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</si>
  <si>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</si>
  <si>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</si>
  <si>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</si>
  <si>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</si>
  <si>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</si>
  <si>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</si>
  <si>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</si>
  <si>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</si>
  <si>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</si>
  <si>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</si>
  <si>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</si>
  <si>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</si>
  <si>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</si>
  <si>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</si>
  <si>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</si>
  <si>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</si>
  <si>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</si>
  <si>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</si>
  <si>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</si>
  <si>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</si>
  <si>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</si>
  <si>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</si>
  <si>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</si>
  <si>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</si>
  <si>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</si>
  <si>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</si>
  <si>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</si>
  <si>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</si>
  <si>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</si>
  <si>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</si>
  <si>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</si>
  <si>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</si>
  <si>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</si>
  <si>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</si>
  <si>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</si>
  <si>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</si>
  <si>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</si>
  <si>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</si>
  <si>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</si>
  <si>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</si>
  <si>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</si>
  <si>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</si>
  <si>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</si>
  <si>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</si>
  <si>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</si>
  <si>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</si>
  <si>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</si>
  <si>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</si>
  <si>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</si>
  <si>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</si>
  <si>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</si>
  <si>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</si>
  <si>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</si>
  <si>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</si>
  <si>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</si>
  <si>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</si>
  <si>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</si>
  <si>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</si>
  <si>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</si>
  <si>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</si>
  <si>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</si>
  <si>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</si>
  <si>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</si>
  <si>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</si>
  <si>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</si>
  <si>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</si>
  <si>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</si>
  <si>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</si>
  <si>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</si>
  <si>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</si>
  <si>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</si>
  <si>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</si>
  <si>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</si>
  <si>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</si>
  <si>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</si>
  <si>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</si>
  <si>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</si>
  <si>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</si>
  <si>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</si>
  <si>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</si>
  <si>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</si>
  <si>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</si>
  <si>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</si>
  <si>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</si>
  <si>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</si>
  <si>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</si>
  <si>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</si>
  <si>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</si>
  <si>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</si>
  <si>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</si>
  <si>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</si>
  <si>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</si>
  <si>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</si>
  <si>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</si>
  <si>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</si>
  <si>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</si>
  <si>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</si>
  <si>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</si>
  <si>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</si>
  <si>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</si>
  <si>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</si>
  <si>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</si>
  <si>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</si>
  <si>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</si>
  <si>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</si>
  <si>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</si>
  <si>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</si>
  <si>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</si>
  <si>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</si>
  <si>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</si>
  <si>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</si>
  <si>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</si>
  <si>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</si>
  <si>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</si>
  <si>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</si>
  <si>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</si>
  <si>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</si>
  <si>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</si>
  <si>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</si>
  <si>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</si>
  <si>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</si>
  <si>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</si>
  <si>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</si>
  <si>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</si>
  <si>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</si>
  <si>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</si>
  <si>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</si>
  <si>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</si>
  <si>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</si>
  <si>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</si>
  <si>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</si>
  <si>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</si>
  <si>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</si>
  <si>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</si>
  <si>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</si>
  <si>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</si>
  <si>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</si>
  <si>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</si>
  <si>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</si>
  <si>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</si>
  <si>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</si>
  <si>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</si>
  <si>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</si>
  <si>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</si>
  <si>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</si>
  <si>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</si>
  <si>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</si>
  <si>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</si>
  <si>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</si>
  <si>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</si>
  <si>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</si>
  <si>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</si>
  <si>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</si>
  <si>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</si>
  <si>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</si>
  <si>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</si>
  <si>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</si>
  <si>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</si>
  <si>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</si>
  <si>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</si>
  <si>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</si>
  <si>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</si>
  <si>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</si>
  <si>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</si>
  <si>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</si>
  <si>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</si>
  <si>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</si>
  <si>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</si>
  <si>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</si>
  <si>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</si>
  <si>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</si>
  <si>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</si>
  <si>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</si>
  <si>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</si>
  <si>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</si>
  <si>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</si>
  <si>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</si>
  <si>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</si>
  <si>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</si>
  <si>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</si>
  <si>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</si>
  <si>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</si>
  <si>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</si>
  <si>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</si>
  <si>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</si>
  <si>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</si>
  <si>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</si>
  <si>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</si>
  <si>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</si>
  <si>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</si>
  <si>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</si>
  <si>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</si>
  <si>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</si>
  <si>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</si>
  <si>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</si>
  <si>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</si>
  <si>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</si>
  <si>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</si>
  <si>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</si>
  <si>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</si>
  <si>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</si>
  <si>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</si>
  <si>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</si>
  <si>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</si>
  <si>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</si>
  <si>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</si>
  <si>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</si>
  <si>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</si>
  <si>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</si>
  <si>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</si>
  <si>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</si>
  <si>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</si>
  <si>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</si>
  <si>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</si>
  <si>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</si>
  <si>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</si>
  <si>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</si>
  <si>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</si>
  <si>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</si>
  <si>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</si>
  <si>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</si>
  <si>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</si>
  <si>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</si>
  <si>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</si>
  <si>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</si>
  <si>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</si>
  <si>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</si>
  <si>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</si>
  <si>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</si>
  <si>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</si>
  <si>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</si>
  <si>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</si>
  <si>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</si>
  <si>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</si>
  <si>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</si>
  <si>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</si>
  <si>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</si>
  <si>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</si>
  <si>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</si>
  <si>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</si>
  <si>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</si>
  <si>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</si>
  <si>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</si>
  <si>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</si>
  <si>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</si>
  <si>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</si>
  <si>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</si>
  <si>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</si>
  <si>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</si>
  <si>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</si>
  <si>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</si>
  <si>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</si>
  <si>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</si>
  <si>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</si>
  <si>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</si>
  <si>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</si>
  <si>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</si>
  <si>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</si>
  <si>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</si>
  <si>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</si>
  <si>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</si>
  <si>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</si>
  <si>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</si>
  <si>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</si>
  <si>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</si>
  <si>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</si>
  <si>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</si>
  <si>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</si>
  <si>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</si>
  <si>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</si>
  <si>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</si>
  <si>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</si>
  <si>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</si>
  <si>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</si>
  <si>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</si>
  <si>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</si>
  <si>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</si>
  <si>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</si>
  <si>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</si>
  <si>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</si>
  <si>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</si>
  <si>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</si>
  <si>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</si>
  <si>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</si>
  <si>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</si>
  <si>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</si>
  <si>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</si>
  <si>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</si>
  <si>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</si>
  <si>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</si>
  <si>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</si>
  <si>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</si>
  <si>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</si>
  <si>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</si>
  <si>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</si>
  <si>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</si>
  <si>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</si>
  <si>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</si>
  <si>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</si>
  <si>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</si>
  <si>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</si>
  <si>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</si>
  <si>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</si>
  <si>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</si>
  <si>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</si>
  <si>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</si>
  <si>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</si>
  <si>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</si>
  <si>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</si>
  <si>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</si>
  <si>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</si>
  <si>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</si>
  <si>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</si>
  <si>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</si>
  <si>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</si>
  <si>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</si>
  <si>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</si>
  <si>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</si>
  <si>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</si>
  <si>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</si>
  <si>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</si>
  <si>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</si>
  <si>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</si>
  <si>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</si>
  <si>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</si>
  <si>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</si>
  <si>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</si>
  <si>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</si>
  <si>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</si>
  <si>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</si>
  <si>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</si>
  <si>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</si>
  <si>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</si>
  <si>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</si>
  <si>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</si>
  <si>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</si>
  <si>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</si>
  <si>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</si>
  <si>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</si>
  <si>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</si>
  <si>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</si>
  <si>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</si>
  <si>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</si>
  <si>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</si>
  <si>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</si>
  <si>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</si>
  <si>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</si>
  <si>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</si>
  <si>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</si>
  <si>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</si>
  <si>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</si>
  <si>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</si>
  <si>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</si>
  <si>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</si>
  <si>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</si>
  <si>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</si>
  <si>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</si>
  <si>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</si>
  <si>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</si>
  <si>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</si>
  <si>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</si>
  <si>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</si>
  <si>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</si>
  <si>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</si>
  <si>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</si>
  <si>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</si>
  <si>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</si>
  <si>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</si>
  <si>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</si>
  <si>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</si>
  <si>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</si>
  <si>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</si>
  <si>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</si>
  <si>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</si>
  <si>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</si>
  <si>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</si>
  <si>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</si>
  <si>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</si>
  <si>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</si>
  <si>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</si>
  <si>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</si>
  <si>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</si>
  <si>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</si>
  <si>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</si>
  <si>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</si>
  <si>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</si>
  <si>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</si>
  <si>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</si>
  <si>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</si>
  <si>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</si>
  <si>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</si>
  <si>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</si>
  <si>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</si>
  <si>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</si>
  <si>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</si>
  <si>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</si>
  <si>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</si>
  <si>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</si>
  <si>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</si>
  <si>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</si>
  <si>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</si>
  <si>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</si>
  <si>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</si>
  <si>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</si>
  <si>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</si>
  <si>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</si>
  <si>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</si>
  <si>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</si>
  <si>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</si>
  <si>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</si>
  <si>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</si>
  <si>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</si>
  <si>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</si>
  <si>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</si>
  <si>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</si>
  <si>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</si>
  <si>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</si>
  <si>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</si>
  <si>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</si>
  <si>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</si>
  <si>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</si>
  <si>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</si>
  <si>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</si>
  <si>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</si>
  <si>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</si>
  <si>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</si>
  <si>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</si>
  <si>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</si>
  <si>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</si>
  <si>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</si>
  <si>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</si>
  <si>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</si>
  <si>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</si>
  <si>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</si>
  <si>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</si>
  <si>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</si>
  <si>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</si>
  <si>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</si>
  <si>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</si>
  <si>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</si>
  <si>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</si>
  <si>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</si>
  <si>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</si>
  <si>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</si>
  <si>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</si>
  <si>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</si>
  <si>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</si>
  <si>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</si>
  <si>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</si>
  <si>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</si>
  <si>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</si>
  <si>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</si>
  <si>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</si>
  <si>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</si>
  <si>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</si>
  <si>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</si>
  <si>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</si>
  <si>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</si>
  <si>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</si>
  <si>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</si>
  <si>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</si>
  <si>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</si>
  <si>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</si>
  <si>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</si>
  <si>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</si>
  <si>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</si>
  <si>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</si>
  <si>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</si>
  <si>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</si>
  <si>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</si>
  <si>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</si>
  <si>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</si>
  <si>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</si>
  <si>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</si>
  <si>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</si>
  <si>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</si>
  <si>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</si>
  <si>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</si>
  <si>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</si>
  <si>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</si>
  <si>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</si>
  <si>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</si>
  <si>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</si>
  <si>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</si>
  <si>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</si>
  <si>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</si>
  <si>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</si>
  <si>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</si>
  <si>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</si>
  <si>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</si>
  <si>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</si>
  <si>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</si>
  <si>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</si>
  <si>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</si>
  <si>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</si>
  <si>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</si>
  <si>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</si>
  <si>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</si>
  <si>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</si>
  <si>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</si>
  <si>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</si>
  <si>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</si>
  <si>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</si>
  <si>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</si>
  <si>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</si>
  <si>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</si>
  <si>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</si>
  <si>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</si>
  <si>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</si>
  <si>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</si>
  <si>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</si>
  <si>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</si>
  <si>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</si>
  <si>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</si>
  <si>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</si>
  <si>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</si>
  <si>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</si>
  <si>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</si>
  <si>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</si>
  <si>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</si>
  <si>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</si>
  <si>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</si>
  <si>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</si>
  <si>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</si>
  <si>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</si>
  <si>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</si>
  <si>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</si>
  <si>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</si>
  <si>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</si>
  <si>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</si>
  <si>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</si>
  <si>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</si>
  <si>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</si>
  <si>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</si>
  <si>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</si>
  <si>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</si>
  <si>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</si>
  <si>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</si>
  <si>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</si>
  <si>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</si>
  <si>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</si>
  <si>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</si>
  <si>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</si>
  <si>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</si>
  <si>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</si>
  <si>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</si>
  <si>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</si>
  <si>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</si>
  <si>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</si>
  <si>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</si>
  <si>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</si>
  <si>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</si>
  <si>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</si>
  <si>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</si>
  <si>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</si>
  <si>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</si>
  <si>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</si>
  <si>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</si>
  <si>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</si>
  <si>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</si>
  <si>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</si>
  <si>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</si>
  <si>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</si>
  <si>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</si>
  <si>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</si>
  <si>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</si>
  <si>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</si>
  <si>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</si>
  <si>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</si>
  <si>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</si>
  <si>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</si>
  <si>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</si>
  <si>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</si>
  <si>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</si>
  <si>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</si>
  <si>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</si>
  <si>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</si>
  <si>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</si>
  <si>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</si>
  <si>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</si>
  <si>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</si>
  <si>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</si>
  <si>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</si>
  <si>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</si>
  <si>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</si>
  <si>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</si>
  <si>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</si>
  <si>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</si>
  <si>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</si>
  <si>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</si>
  <si>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</si>
  <si>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</si>
  <si>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</si>
  <si>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</si>
  <si>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</si>
  <si>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</si>
  <si>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</si>
  <si>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</si>
  <si>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</si>
  <si>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</si>
  <si>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</si>
  <si>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</si>
  <si>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Austin Wynn</t>
  </si>
  <si>
    <t>auswynn@uw.edu</t>
  </si>
  <si>
    <t>Other Operating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</si>
</sst>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nwong@uw.edu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nwong@uw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8AA6-8F01-416F-BCA3-EC7D1E0864D6}">
  <sheetPr syncVertical="1" syncRef="A90" transitionEvaluation="1" transitionEntry="1" codeName="Sheet1">
    <tabColor rgb="FF92D050"/>
    <pageSetUpPr autoPageBreaks="0" fitToPage="1"/>
  </sheetPr>
  <dimension ref="A1:CF716"/>
  <sheetViews>
    <sheetView tabSelected="1" topLeftCell="A90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5">
        <v>159027450.81</v>
      </c>
      <c r="C47" s="316">
        <v>12039942.5</v>
      </c>
      <c r="D47" s="316">
        <v>18816795.789999999</v>
      </c>
      <c r="E47" s="316">
        <v>957369.03</v>
      </c>
      <c r="F47" s="316">
        <v>0</v>
      </c>
      <c r="G47" s="316">
        <v>2061110.25</v>
      </c>
      <c r="H47" s="316">
        <v>4374684.67</v>
      </c>
      <c r="I47" s="316">
        <v>0</v>
      </c>
      <c r="J47" s="316">
        <v>0</v>
      </c>
      <c r="K47" s="316">
        <v>0</v>
      </c>
      <c r="L47" s="316">
        <v>0</v>
      </c>
      <c r="M47" s="316">
        <v>0</v>
      </c>
      <c r="N47" s="316">
        <v>101305.22</v>
      </c>
      <c r="O47" s="316">
        <v>0</v>
      </c>
      <c r="P47" s="316">
        <v>6621215.54</v>
      </c>
      <c r="Q47" s="316">
        <v>3187016.95</v>
      </c>
      <c r="R47" s="316">
        <v>3305762.02</v>
      </c>
      <c r="S47" s="316">
        <v>1216181.23</v>
      </c>
      <c r="T47" s="316">
        <v>0</v>
      </c>
      <c r="U47" s="316">
        <v>4525495.3099999996</v>
      </c>
      <c r="V47" s="316">
        <v>2342623.61</v>
      </c>
      <c r="W47" s="316">
        <v>590567.39</v>
      </c>
      <c r="X47" s="316">
        <v>954373.72</v>
      </c>
      <c r="Y47" s="316">
        <v>5933201.8399999999</v>
      </c>
      <c r="Z47" s="316">
        <v>372658.71</v>
      </c>
      <c r="AA47" s="316">
        <v>193981.68</v>
      </c>
      <c r="AB47" s="316">
        <v>9175821.1899999995</v>
      </c>
      <c r="AC47" s="316">
        <v>2345119.7799999998</v>
      </c>
      <c r="AD47" s="316">
        <v>0</v>
      </c>
      <c r="AE47" s="316">
        <v>3324671.78</v>
      </c>
      <c r="AF47" s="316">
        <v>2791609.24</v>
      </c>
      <c r="AG47" s="316">
        <v>7374513.0300000003</v>
      </c>
      <c r="AH47" s="316">
        <v>0</v>
      </c>
      <c r="AI47" s="316">
        <v>0</v>
      </c>
      <c r="AJ47" s="316">
        <v>24218639.309999999</v>
      </c>
      <c r="AK47" s="316">
        <v>1160978.83</v>
      </c>
      <c r="AL47" s="316">
        <v>0</v>
      </c>
      <c r="AM47" s="316">
        <v>0</v>
      </c>
      <c r="AN47" s="316">
        <v>0</v>
      </c>
      <c r="AO47" s="316">
        <v>0</v>
      </c>
      <c r="AP47" s="316">
        <v>0</v>
      </c>
      <c r="AQ47" s="316">
        <v>0</v>
      </c>
      <c r="AR47" s="316">
        <v>0</v>
      </c>
      <c r="AS47" s="316">
        <v>0</v>
      </c>
      <c r="AT47" s="316">
        <v>0</v>
      </c>
      <c r="AU47" s="316">
        <v>311287.86</v>
      </c>
      <c r="AV47" s="316">
        <v>1569061.19</v>
      </c>
      <c r="AW47" s="316">
        <v>58250.19</v>
      </c>
      <c r="AX47" s="316">
        <v>0</v>
      </c>
      <c r="AY47" s="316">
        <v>2952632.41</v>
      </c>
      <c r="AZ47" s="316">
        <v>0</v>
      </c>
      <c r="BA47" s="316">
        <v>193829.66</v>
      </c>
      <c r="BB47" s="316">
        <v>3752087.44</v>
      </c>
      <c r="BC47" s="316">
        <v>0</v>
      </c>
      <c r="BD47" s="316">
        <v>0</v>
      </c>
      <c r="BE47" s="316">
        <v>2995004.03</v>
      </c>
      <c r="BF47" s="316">
        <v>4380295.41</v>
      </c>
      <c r="BG47" s="316">
        <v>10180.57</v>
      </c>
      <c r="BH47" s="316">
        <v>345565.21</v>
      </c>
      <c r="BI47" s="316">
        <v>185974.5</v>
      </c>
      <c r="BJ47" s="316">
        <v>0</v>
      </c>
      <c r="BK47" s="316">
        <v>0</v>
      </c>
      <c r="BL47" s="316">
        <v>0</v>
      </c>
      <c r="BM47" s="316">
        <v>0</v>
      </c>
      <c r="BN47" s="316">
        <v>2170267.54</v>
      </c>
      <c r="BO47" s="316">
        <v>504566.71</v>
      </c>
      <c r="BP47" s="316">
        <v>224448.29</v>
      </c>
      <c r="BQ47" s="316">
        <v>0</v>
      </c>
      <c r="BR47" s="316">
        <v>0</v>
      </c>
      <c r="BS47" s="316">
        <v>52677.71</v>
      </c>
      <c r="BT47" s="316">
        <v>191668.68</v>
      </c>
      <c r="BU47" s="316">
        <v>0</v>
      </c>
      <c r="BV47" s="316">
        <v>0</v>
      </c>
      <c r="BW47" s="316">
        <v>7116838.4800000004</v>
      </c>
      <c r="BX47" s="316">
        <v>2513962.0099999998</v>
      </c>
      <c r="BY47" s="316">
        <v>4286729.6500000004</v>
      </c>
      <c r="BZ47" s="316">
        <v>1983558.65</v>
      </c>
      <c r="CA47" s="316">
        <v>1154838.57</v>
      </c>
      <c r="CB47" s="316">
        <v>306191.62</v>
      </c>
      <c r="CC47" s="316">
        <v>3781895.81</v>
      </c>
      <c r="CD47" s="16"/>
      <c r="CE47" s="28">
        <f>SUM(C47:CC47)</f>
        <v>159027450.80999997</v>
      </c>
    </row>
    <row r="48" spans="1:83" x14ac:dyDescent="0.25">
      <c r="A48" s="28" t="s">
        <v>232</v>
      </c>
      <c r="B48" s="315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159027450.81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6">
        <v>41132454.009999998</v>
      </c>
      <c r="C51" s="316">
        <v>314515.84000000003</v>
      </c>
      <c r="D51" s="316">
        <v>230102.53</v>
      </c>
      <c r="E51" s="316">
        <v>0</v>
      </c>
      <c r="F51" s="316">
        <v>0</v>
      </c>
      <c r="G51" s="316">
        <v>26732.45</v>
      </c>
      <c r="H51" s="316">
        <v>63554.51</v>
      </c>
      <c r="I51" s="316">
        <v>0</v>
      </c>
      <c r="J51" s="316">
        <v>0</v>
      </c>
      <c r="K51" s="316">
        <v>0</v>
      </c>
      <c r="L51" s="316">
        <v>0</v>
      </c>
      <c r="M51" s="316">
        <v>0</v>
      </c>
      <c r="N51" s="316">
        <v>0</v>
      </c>
      <c r="O51" s="316">
        <v>0</v>
      </c>
      <c r="P51" s="316">
        <v>3051421.31</v>
      </c>
      <c r="Q51" s="316">
        <v>41706.65</v>
      </c>
      <c r="R51" s="316">
        <v>155642.91</v>
      </c>
      <c r="S51" s="316">
        <v>201552.07</v>
      </c>
      <c r="T51" s="316">
        <v>0</v>
      </c>
      <c r="U51" s="316">
        <v>420165.18</v>
      </c>
      <c r="V51" s="316">
        <v>367216.78</v>
      </c>
      <c r="W51" s="316">
        <v>335440.95</v>
      </c>
      <c r="X51" s="316">
        <v>244700.75</v>
      </c>
      <c r="Y51" s="316">
        <v>1046932.1</v>
      </c>
      <c r="Z51" s="316">
        <v>168277.47</v>
      </c>
      <c r="AA51" s="316">
        <v>244814.07999999999</v>
      </c>
      <c r="AB51" s="316">
        <v>16302.69</v>
      </c>
      <c r="AC51" s="316">
        <v>364324.68</v>
      </c>
      <c r="AD51" s="316">
        <v>69410.899999999994</v>
      </c>
      <c r="AE51" s="316">
        <v>22678.97</v>
      </c>
      <c r="AF51" s="316">
        <v>0</v>
      </c>
      <c r="AG51" s="316">
        <v>300351.21999999997</v>
      </c>
      <c r="AH51" s="316">
        <v>0</v>
      </c>
      <c r="AI51" s="316">
        <v>0</v>
      </c>
      <c r="AJ51" s="316">
        <v>1517643.46</v>
      </c>
      <c r="AK51" s="316">
        <v>30377.360000000001</v>
      </c>
      <c r="AL51" s="316">
        <v>0</v>
      </c>
      <c r="AM51" s="316">
        <v>0</v>
      </c>
      <c r="AN51" s="316">
        <v>0</v>
      </c>
      <c r="AO51" s="316">
        <v>0</v>
      </c>
      <c r="AP51" s="316">
        <v>0</v>
      </c>
      <c r="AQ51" s="316">
        <v>0</v>
      </c>
      <c r="AR51" s="316">
        <v>0</v>
      </c>
      <c r="AS51" s="316">
        <v>0</v>
      </c>
      <c r="AT51" s="316">
        <v>0</v>
      </c>
      <c r="AU51" s="316">
        <v>0</v>
      </c>
      <c r="AV51" s="316">
        <v>1017.11</v>
      </c>
      <c r="AW51" s="316">
        <v>0</v>
      </c>
      <c r="AX51" s="316">
        <v>0</v>
      </c>
      <c r="AY51" s="316">
        <v>130925.46</v>
      </c>
      <c r="AZ51" s="316">
        <v>0</v>
      </c>
      <c r="BA51" s="316">
        <v>0</v>
      </c>
      <c r="BB51" s="316">
        <v>0</v>
      </c>
      <c r="BC51" s="316">
        <v>0</v>
      </c>
      <c r="BD51" s="316">
        <v>0</v>
      </c>
      <c r="BE51" s="316">
        <v>2158814.14</v>
      </c>
      <c r="BF51" s="316">
        <v>52146.66</v>
      </c>
      <c r="BG51" s="316">
        <v>5842.9</v>
      </c>
      <c r="BH51" s="316">
        <v>907256.14</v>
      </c>
      <c r="BI51" s="316">
        <v>0</v>
      </c>
      <c r="BJ51" s="316">
        <v>0</v>
      </c>
      <c r="BK51" s="316">
        <v>0</v>
      </c>
      <c r="BL51" s="316">
        <v>0</v>
      </c>
      <c r="BM51" s="316">
        <v>0</v>
      </c>
      <c r="BN51" s="316">
        <v>0</v>
      </c>
      <c r="BO51" s="316">
        <v>0</v>
      </c>
      <c r="BP51" s="316">
        <v>0</v>
      </c>
      <c r="BQ51" s="316">
        <v>0</v>
      </c>
      <c r="BR51" s="316">
        <v>0</v>
      </c>
      <c r="BS51" s="316">
        <v>0</v>
      </c>
      <c r="BT51" s="316">
        <v>0</v>
      </c>
      <c r="BU51" s="316">
        <v>0</v>
      </c>
      <c r="BV51" s="316">
        <v>10160.61</v>
      </c>
      <c r="BW51" s="316">
        <v>0</v>
      </c>
      <c r="BX51" s="316">
        <v>0</v>
      </c>
      <c r="BY51" s="316">
        <v>0</v>
      </c>
      <c r="BZ51" s="316">
        <v>1775.71</v>
      </c>
      <c r="CA51" s="316">
        <v>9014.2000000000007</v>
      </c>
      <c r="CB51" s="316">
        <v>0</v>
      </c>
      <c r="CC51" s="316">
        <v>28621636.219999999</v>
      </c>
      <c r="CD51" s="16"/>
      <c r="CE51" s="28">
        <f>SUM(C51:CD51)</f>
        <v>41132454.009999998</v>
      </c>
    </row>
    <row r="52" spans="1:83" x14ac:dyDescent="0.25">
      <c r="A52" s="35" t="s">
        <v>235</v>
      </c>
      <c r="B52" s="31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41132454.009999998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6">
        <v>29389</v>
      </c>
      <c r="D59" s="316">
        <v>100587</v>
      </c>
      <c r="E59" s="316">
        <v>8721</v>
      </c>
      <c r="F59" s="316">
        <v>0</v>
      </c>
      <c r="G59" s="316">
        <v>11419</v>
      </c>
      <c r="H59" s="316">
        <v>23021</v>
      </c>
      <c r="I59" s="316">
        <v>0</v>
      </c>
      <c r="J59" s="316">
        <v>0</v>
      </c>
      <c r="K59" s="316">
        <v>0</v>
      </c>
      <c r="L59" s="316">
        <v>0</v>
      </c>
      <c r="M59" s="316">
        <v>0</v>
      </c>
      <c r="N59" s="316">
        <v>0</v>
      </c>
      <c r="O59" s="316">
        <v>0</v>
      </c>
      <c r="P59" s="318">
        <v>2459115</v>
      </c>
      <c r="Q59" s="318">
        <v>1049013</v>
      </c>
      <c r="R59" s="318">
        <v>2867290</v>
      </c>
      <c r="S59" s="278">
        <v>0</v>
      </c>
      <c r="T59" s="278">
        <v>0</v>
      </c>
      <c r="U59" s="319">
        <v>1905284</v>
      </c>
      <c r="V59" s="318">
        <v>67702</v>
      </c>
      <c r="W59" s="318">
        <v>91838</v>
      </c>
      <c r="X59" s="318">
        <v>351825</v>
      </c>
      <c r="Y59" s="318">
        <v>706039</v>
      </c>
      <c r="Z59" s="318">
        <v>9620</v>
      </c>
      <c r="AA59" s="318">
        <v>16403</v>
      </c>
      <c r="AB59" s="278">
        <v>0</v>
      </c>
      <c r="AC59" s="318">
        <v>65855</v>
      </c>
      <c r="AD59" s="318">
        <v>0</v>
      </c>
      <c r="AE59" s="318">
        <v>149086</v>
      </c>
      <c r="AF59" s="318">
        <v>22019</v>
      </c>
      <c r="AG59" s="318">
        <v>54312</v>
      </c>
      <c r="AH59" s="318">
        <v>0</v>
      </c>
      <c r="AI59" s="318">
        <v>0</v>
      </c>
      <c r="AJ59" s="318">
        <v>359656</v>
      </c>
      <c r="AK59" s="318">
        <v>77940</v>
      </c>
      <c r="AL59" s="318">
        <v>0</v>
      </c>
      <c r="AM59" s="318">
        <v>0</v>
      </c>
      <c r="AN59" s="318">
        <v>0</v>
      </c>
      <c r="AO59" s="318">
        <v>0</v>
      </c>
      <c r="AP59" s="318">
        <v>0</v>
      </c>
      <c r="AQ59" s="318">
        <v>0</v>
      </c>
      <c r="AR59" s="318">
        <v>0</v>
      </c>
      <c r="AS59" s="318">
        <v>0</v>
      </c>
      <c r="AT59" s="318">
        <v>0</v>
      </c>
      <c r="AU59" s="318">
        <v>1525</v>
      </c>
      <c r="AV59" s="278">
        <v>0</v>
      </c>
      <c r="AW59" s="278">
        <v>0</v>
      </c>
      <c r="AX59" s="278">
        <v>0</v>
      </c>
      <c r="AY59" s="318">
        <v>743434</v>
      </c>
      <c r="AZ59" s="318">
        <v>0</v>
      </c>
      <c r="BA59" s="278">
        <v>0</v>
      </c>
      <c r="BB59" s="278">
        <v>0</v>
      </c>
      <c r="BC59" s="278">
        <v>0</v>
      </c>
      <c r="BD59" s="278">
        <v>0</v>
      </c>
      <c r="BE59" s="318">
        <v>1163875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0">
        <v>247.68</v>
      </c>
      <c r="D60" s="320">
        <v>343.9</v>
      </c>
      <c r="E60" s="320">
        <v>14.55</v>
      </c>
      <c r="F60" s="320">
        <v>0</v>
      </c>
      <c r="G60" s="320">
        <v>32.5</v>
      </c>
      <c r="H60" s="320">
        <v>66.739999999999995</v>
      </c>
      <c r="I60" s="320">
        <v>0</v>
      </c>
      <c r="J60" s="320">
        <v>0</v>
      </c>
      <c r="K60" s="320">
        <v>0</v>
      </c>
      <c r="L60" s="320">
        <v>0</v>
      </c>
      <c r="M60" s="320">
        <v>0</v>
      </c>
      <c r="N60" s="320">
        <v>0</v>
      </c>
      <c r="O60" s="320">
        <v>0</v>
      </c>
      <c r="P60" s="321">
        <v>93.05</v>
      </c>
      <c r="Q60" s="321">
        <v>55.53</v>
      </c>
      <c r="R60" s="321">
        <v>0</v>
      </c>
      <c r="S60" s="322">
        <v>0.06</v>
      </c>
      <c r="T60" s="322">
        <v>0</v>
      </c>
      <c r="U60" s="323">
        <v>0</v>
      </c>
      <c r="V60" s="321">
        <v>8.18</v>
      </c>
      <c r="W60" s="321">
        <v>0</v>
      </c>
      <c r="X60" s="321">
        <v>0</v>
      </c>
      <c r="Y60" s="321">
        <v>19.170000000000002</v>
      </c>
      <c r="Z60" s="321">
        <v>3.71</v>
      </c>
      <c r="AA60" s="321">
        <v>0</v>
      </c>
      <c r="AB60" s="322">
        <v>0</v>
      </c>
      <c r="AC60" s="321">
        <v>1.8499999999999999</v>
      </c>
      <c r="AD60" s="321">
        <v>0</v>
      </c>
      <c r="AE60" s="321">
        <v>0</v>
      </c>
      <c r="AF60" s="321">
        <v>4.38</v>
      </c>
      <c r="AG60" s="321">
        <v>85.04</v>
      </c>
      <c r="AH60" s="321">
        <v>0</v>
      </c>
      <c r="AI60" s="321">
        <v>0</v>
      </c>
      <c r="AJ60" s="321">
        <v>153.54</v>
      </c>
      <c r="AK60" s="321">
        <v>0</v>
      </c>
      <c r="AL60" s="321">
        <v>0</v>
      </c>
      <c r="AM60" s="321">
        <v>0</v>
      </c>
      <c r="AN60" s="321">
        <v>0</v>
      </c>
      <c r="AO60" s="321">
        <v>0</v>
      </c>
      <c r="AP60" s="321">
        <v>0</v>
      </c>
      <c r="AQ60" s="321">
        <v>0</v>
      </c>
      <c r="AR60" s="321">
        <v>0</v>
      </c>
      <c r="AS60" s="321">
        <v>0</v>
      </c>
      <c r="AT60" s="321">
        <v>0</v>
      </c>
      <c r="AU60" s="321">
        <v>3.8100000000000005</v>
      </c>
      <c r="AV60" s="322">
        <v>9.39</v>
      </c>
      <c r="AW60" s="322">
        <v>0</v>
      </c>
      <c r="AX60" s="322">
        <v>0</v>
      </c>
      <c r="AY60" s="321">
        <v>0</v>
      </c>
      <c r="AZ60" s="321">
        <v>0</v>
      </c>
      <c r="BA60" s="322">
        <v>0</v>
      </c>
      <c r="BB60" s="322">
        <v>1.01</v>
      </c>
      <c r="BC60" s="322">
        <v>0</v>
      </c>
      <c r="BD60" s="322">
        <v>0</v>
      </c>
      <c r="BE60" s="321">
        <v>0</v>
      </c>
      <c r="BF60" s="322">
        <v>0.01</v>
      </c>
      <c r="BG60" s="322">
        <v>0</v>
      </c>
      <c r="BH60" s="322">
        <v>0</v>
      </c>
      <c r="BI60" s="322">
        <v>0.2</v>
      </c>
      <c r="BJ60" s="322">
        <v>0</v>
      </c>
      <c r="BK60" s="322">
        <v>0</v>
      </c>
      <c r="BL60" s="322">
        <v>0</v>
      </c>
      <c r="BM60" s="322">
        <v>0</v>
      </c>
      <c r="BN60" s="322">
        <v>1.01</v>
      </c>
      <c r="BO60" s="322">
        <v>6.7700000000000005</v>
      </c>
      <c r="BP60" s="322">
        <v>0</v>
      </c>
      <c r="BQ60" s="322">
        <v>0</v>
      </c>
      <c r="BR60" s="322">
        <v>0</v>
      </c>
      <c r="BS60" s="322">
        <v>0</v>
      </c>
      <c r="BT60" s="322">
        <v>0</v>
      </c>
      <c r="BU60" s="322">
        <v>0</v>
      </c>
      <c r="BV60" s="322">
        <v>0</v>
      </c>
      <c r="BW60" s="322">
        <v>0.03</v>
      </c>
      <c r="BX60" s="322">
        <v>20.05</v>
      </c>
      <c r="BY60" s="322">
        <v>35.979999999999997</v>
      </c>
      <c r="BZ60" s="322">
        <v>23.27</v>
      </c>
      <c r="CA60" s="322">
        <v>0.61</v>
      </c>
      <c r="CB60" s="322">
        <v>4.62</v>
      </c>
      <c r="CC60" s="322">
        <v>0</v>
      </c>
      <c r="CD60" s="219" t="s">
        <v>248</v>
      </c>
      <c r="CE60" s="237">
        <f t="shared" ref="CE60:CE68" si="6">SUM(C60:CD60)</f>
        <v>1236.6399999999994</v>
      </c>
    </row>
    <row r="61" spans="1:83" x14ac:dyDescent="0.25">
      <c r="A61" s="35" t="s">
        <v>263</v>
      </c>
      <c r="B61" s="16"/>
      <c r="C61" s="316">
        <v>51862790.840000004</v>
      </c>
      <c r="D61" s="316">
        <v>90844286.959999993</v>
      </c>
      <c r="E61" s="316">
        <v>7343075.9800000004</v>
      </c>
      <c r="F61" s="316">
        <v>0</v>
      </c>
      <c r="G61" s="316">
        <v>9880237.4499999993</v>
      </c>
      <c r="H61" s="316">
        <v>14060453.73</v>
      </c>
      <c r="I61" s="316">
        <v>0</v>
      </c>
      <c r="J61" s="316">
        <v>0</v>
      </c>
      <c r="K61" s="316">
        <v>0</v>
      </c>
      <c r="L61" s="316">
        <v>0</v>
      </c>
      <c r="M61" s="316">
        <v>0</v>
      </c>
      <c r="N61" s="316">
        <v>288223.11</v>
      </c>
      <c r="O61" s="316">
        <v>0</v>
      </c>
      <c r="P61" s="318">
        <v>23515196.579999998</v>
      </c>
      <c r="Q61" s="318">
        <v>9526340.0199999996</v>
      </c>
      <c r="R61" s="318">
        <v>10728151.119999999</v>
      </c>
      <c r="S61" s="324">
        <v>4813280.22</v>
      </c>
      <c r="T61" s="324">
        <v>0</v>
      </c>
      <c r="U61" s="319">
        <v>12976668.52</v>
      </c>
      <c r="V61" s="318">
        <v>7230394.0300000003</v>
      </c>
      <c r="W61" s="318">
        <v>1728705.46</v>
      </c>
      <c r="X61" s="318">
        <v>4488088.8499999996</v>
      </c>
      <c r="Y61" s="318">
        <v>19016491.16</v>
      </c>
      <c r="Z61" s="318">
        <v>1147618.8999999999</v>
      </c>
      <c r="AA61" s="318">
        <v>499521.72</v>
      </c>
      <c r="AB61" s="325">
        <v>25136468.059999999</v>
      </c>
      <c r="AC61" s="318">
        <v>9771260.1699999999</v>
      </c>
      <c r="AD61" s="318">
        <v>0</v>
      </c>
      <c r="AE61" s="318">
        <v>9530944.6999999993</v>
      </c>
      <c r="AF61" s="318">
        <v>7945642.2599999998</v>
      </c>
      <c r="AG61" s="318">
        <v>30944758.059999999</v>
      </c>
      <c r="AH61" s="318">
        <v>0</v>
      </c>
      <c r="AI61" s="318">
        <v>0</v>
      </c>
      <c r="AJ61" s="318">
        <v>70814025.709999993</v>
      </c>
      <c r="AK61" s="318">
        <v>3451617.76</v>
      </c>
      <c r="AL61" s="318">
        <v>0</v>
      </c>
      <c r="AM61" s="318">
        <v>0</v>
      </c>
      <c r="AN61" s="318">
        <v>0</v>
      </c>
      <c r="AO61" s="318">
        <v>0</v>
      </c>
      <c r="AP61" s="318">
        <v>0</v>
      </c>
      <c r="AQ61" s="318">
        <v>0</v>
      </c>
      <c r="AR61" s="318">
        <v>0</v>
      </c>
      <c r="AS61" s="318">
        <v>0</v>
      </c>
      <c r="AT61" s="318">
        <v>0</v>
      </c>
      <c r="AU61" s="318">
        <v>888094.84</v>
      </c>
      <c r="AV61" s="324">
        <v>4507921.03</v>
      </c>
      <c r="AW61" s="324">
        <v>241703.34</v>
      </c>
      <c r="AX61" s="324">
        <v>0</v>
      </c>
      <c r="AY61" s="318">
        <v>8117458.9199999999</v>
      </c>
      <c r="AZ61" s="318">
        <v>0</v>
      </c>
      <c r="BA61" s="324">
        <v>527542.96</v>
      </c>
      <c r="BB61" s="324">
        <v>10175189.859999999</v>
      </c>
      <c r="BC61" s="324">
        <v>0</v>
      </c>
      <c r="BD61" s="324">
        <v>0</v>
      </c>
      <c r="BE61" s="318">
        <v>7857587.2999999998</v>
      </c>
      <c r="BF61" s="324">
        <v>12056936.369999999</v>
      </c>
      <c r="BG61" s="324">
        <v>34565.870000000003</v>
      </c>
      <c r="BH61" s="324">
        <v>975104.54</v>
      </c>
      <c r="BI61" s="324">
        <v>526605.03</v>
      </c>
      <c r="BJ61" s="324">
        <v>0</v>
      </c>
      <c r="BK61" s="324">
        <v>0</v>
      </c>
      <c r="BL61" s="324">
        <v>0</v>
      </c>
      <c r="BM61" s="324">
        <v>0</v>
      </c>
      <c r="BN61" s="324">
        <v>6634276.9699999997</v>
      </c>
      <c r="BO61" s="324">
        <v>1382466.14</v>
      </c>
      <c r="BP61" s="324">
        <v>653970.15</v>
      </c>
      <c r="BQ61" s="324">
        <v>0</v>
      </c>
      <c r="BR61" s="324">
        <v>0</v>
      </c>
      <c r="BS61" s="324">
        <v>165652.91</v>
      </c>
      <c r="BT61" s="324">
        <v>639123.30000000005</v>
      </c>
      <c r="BU61" s="324">
        <v>0</v>
      </c>
      <c r="BV61" s="324">
        <v>0</v>
      </c>
      <c r="BW61" s="324">
        <v>24119447.91</v>
      </c>
      <c r="BX61" s="324">
        <v>7400536.1100000003</v>
      </c>
      <c r="BY61" s="324">
        <v>12796948.880000001</v>
      </c>
      <c r="BZ61" s="324">
        <v>10958632.99</v>
      </c>
      <c r="CA61" s="324">
        <v>3553816.81</v>
      </c>
      <c r="CB61" s="324">
        <v>918244.57</v>
      </c>
      <c r="CC61" s="324">
        <v>16985135.100000001</v>
      </c>
      <c r="CD61" s="25" t="s">
        <v>248</v>
      </c>
      <c r="CE61" s="28">
        <f t="shared" si="6"/>
        <v>559661203.26999998</v>
      </c>
    </row>
    <row r="62" spans="1:83" x14ac:dyDescent="0.25">
      <c r="A62" s="35" t="s">
        <v>11</v>
      </c>
      <c r="B62" s="16"/>
      <c r="C62" s="28">
        <f t="shared" ref="C62:AH62" si="7">ROUND(C47+C48,0)</f>
        <v>12039943</v>
      </c>
      <c r="D62" s="28">
        <f t="shared" si="7"/>
        <v>18816796</v>
      </c>
      <c r="E62" s="28">
        <f t="shared" si="7"/>
        <v>957369</v>
      </c>
      <c r="F62" s="28">
        <f t="shared" si="7"/>
        <v>0</v>
      </c>
      <c r="G62" s="28">
        <f t="shared" si="7"/>
        <v>2061110</v>
      </c>
      <c r="H62" s="28">
        <f t="shared" si="7"/>
        <v>4374685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101305</v>
      </c>
      <c r="O62" s="28">
        <f t="shared" si="7"/>
        <v>0</v>
      </c>
      <c r="P62" s="28">
        <f t="shared" si="7"/>
        <v>6621216</v>
      </c>
      <c r="Q62" s="28">
        <f t="shared" si="7"/>
        <v>3187017</v>
      </c>
      <c r="R62" s="28">
        <f t="shared" si="7"/>
        <v>3305762</v>
      </c>
      <c r="S62" s="28">
        <f t="shared" si="7"/>
        <v>1216181</v>
      </c>
      <c r="T62" s="28">
        <f t="shared" si="7"/>
        <v>0</v>
      </c>
      <c r="U62" s="28">
        <f t="shared" si="7"/>
        <v>4525495</v>
      </c>
      <c r="V62" s="28">
        <f t="shared" si="7"/>
        <v>2342624</v>
      </c>
      <c r="W62" s="28">
        <f t="shared" si="7"/>
        <v>590567</v>
      </c>
      <c r="X62" s="28">
        <f t="shared" si="7"/>
        <v>954374</v>
      </c>
      <c r="Y62" s="28">
        <f t="shared" si="7"/>
        <v>5933202</v>
      </c>
      <c r="Z62" s="28">
        <f t="shared" si="7"/>
        <v>372659</v>
      </c>
      <c r="AA62" s="28">
        <f t="shared" si="7"/>
        <v>193982</v>
      </c>
      <c r="AB62" s="28">
        <f t="shared" si="7"/>
        <v>9175821</v>
      </c>
      <c r="AC62" s="28">
        <f t="shared" si="7"/>
        <v>2345120</v>
      </c>
      <c r="AD62" s="28">
        <f t="shared" si="7"/>
        <v>0</v>
      </c>
      <c r="AE62" s="28">
        <f t="shared" si="7"/>
        <v>3324672</v>
      </c>
      <c r="AF62" s="28">
        <f t="shared" si="7"/>
        <v>2791609</v>
      </c>
      <c r="AG62" s="28">
        <f t="shared" si="7"/>
        <v>7374513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24218639</v>
      </c>
      <c r="AK62" s="28">
        <f t="shared" si="8"/>
        <v>1160979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311288</v>
      </c>
      <c r="AV62" s="28">
        <f t="shared" si="8"/>
        <v>1569061</v>
      </c>
      <c r="AW62" s="28">
        <f t="shared" si="8"/>
        <v>58250</v>
      </c>
      <c r="AX62" s="28">
        <f t="shared" si="8"/>
        <v>0</v>
      </c>
      <c r="AY62" s="28">
        <f t="shared" si="8"/>
        <v>2952632</v>
      </c>
      <c r="AZ62" s="28">
        <f t="shared" si="8"/>
        <v>0</v>
      </c>
      <c r="BA62" s="28">
        <f t="shared" si="8"/>
        <v>193830</v>
      </c>
      <c r="BB62" s="28">
        <f t="shared" si="8"/>
        <v>3752087</v>
      </c>
      <c r="BC62" s="28">
        <f t="shared" si="8"/>
        <v>0</v>
      </c>
      <c r="BD62" s="28">
        <f t="shared" si="8"/>
        <v>0</v>
      </c>
      <c r="BE62" s="28">
        <f t="shared" si="8"/>
        <v>2995004</v>
      </c>
      <c r="BF62" s="28">
        <f t="shared" si="8"/>
        <v>4380295</v>
      </c>
      <c r="BG62" s="28">
        <f t="shared" si="8"/>
        <v>10181</v>
      </c>
      <c r="BH62" s="28">
        <f t="shared" si="8"/>
        <v>345565</v>
      </c>
      <c r="BI62" s="28">
        <f t="shared" si="8"/>
        <v>185975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2170268</v>
      </c>
      <c r="BO62" s="28">
        <f t="shared" ref="BO62:CC62" si="9">ROUND(BO47+BO48,0)</f>
        <v>504567</v>
      </c>
      <c r="BP62" s="28">
        <f t="shared" si="9"/>
        <v>224448</v>
      </c>
      <c r="BQ62" s="28">
        <f t="shared" si="9"/>
        <v>0</v>
      </c>
      <c r="BR62" s="28">
        <f t="shared" si="9"/>
        <v>0</v>
      </c>
      <c r="BS62" s="28">
        <f t="shared" si="9"/>
        <v>52678</v>
      </c>
      <c r="BT62" s="28">
        <f t="shared" si="9"/>
        <v>191669</v>
      </c>
      <c r="BU62" s="28">
        <f t="shared" si="9"/>
        <v>0</v>
      </c>
      <c r="BV62" s="28">
        <f t="shared" si="9"/>
        <v>0</v>
      </c>
      <c r="BW62" s="28">
        <f t="shared" si="9"/>
        <v>7116838</v>
      </c>
      <c r="BX62" s="28">
        <f t="shared" si="9"/>
        <v>2513962</v>
      </c>
      <c r="BY62" s="28">
        <f t="shared" si="9"/>
        <v>4286730</v>
      </c>
      <c r="BZ62" s="28">
        <f t="shared" si="9"/>
        <v>1983559</v>
      </c>
      <c r="CA62" s="28">
        <f t="shared" si="9"/>
        <v>1154839</v>
      </c>
      <c r="CB62" s="28">
        <f t="shared" si="9"/>
        <v>306192</v>
      </c>
      <c r="CC62" s="28">
        <f t="shared" si="9"/>
        <v>3781896</v>
      </c>
      <c r="CD62" s="25" t="s">
        <v>248</v>
      </c>
      <c r="CE62" s="28">
        <f t="shared" si="6"/>
        <v>159027454</v>
      </c>
    </row>
    <row r="63" spans="1:83" x14ac:dyDescent="0.25">
      <c r="A63" s="35" t="s">
        <v>264</v>
      </c>
      <c r="B63" s="16"/>
      <c r="C63" s="316">
        <v>1375.7</v>
      </c>
      <c r="D63" s="316">
        <v>0</v>
      </c>
      <c r="E63" s="316">
        <v>0</v>
      </c>
      <c r="F63" s="316">
        <v>0</v>
      </c>
      <c r="G63" s="316">
        <v>0</v>
      </c>
      <c r="H63" s="316">
        <v>0</v>
      </c>
      <c r="I63" s="316">
        <v>0</v>
      </c>
      <c r="J63" s="316">
        <v>0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8">
        <v>0</v>
      </c>
      <c r="Q63" s="318">
        <v>0</v>
      </c>
      <c r="R63" s="318">
        <v>0</v>
      </c>
      <c r="S63" s="324">
        <v>0</v>
      </c>
      <c r="T63" s="324">
        <v>0</v>
      </c>
      <c r="U63" s="319">
        <v>250</v>
      </c>
      <c r="V63" s="318">
        <v>124395</v>
      </c>
      <c r="W63" s="318">
        <v>0</v>
      </c>
      <c r="X63" s="318">
        <v>0</v>
      </c>
      <c r="Y63" s="318">
        <v>2825.54</v>
      </c>
      <c r="Z63" s="318">
        <v>0</v>
      </c>
      <c r="AA63" s="318">
        <v>0</v>
      </c>
      <c r="AB63" s="325">
        <v>116823.4</v>
      </c>
      <c r="AC63" s="318">
        <v>0</v>
      </c>
      <c r="AD63" s="318">
        <v>0</v>
      </c>
      <c r="AE63" s="318">
        <v>0</v>
      </c>
      <c r="AF63" s="318">
        <v>281520.3</v>
      </c>
      <c r="AG63" s="318">
        <v>42768.75</v>
      </c>
      <c r="AH63" s="318">
        <v>0</v>
      </c>
      <c r="AI63" s="318">
        <v>0</v>
      </c>
      <c r="AJ63" s="318">
        <v>247843.78</v>
      </c>
      <c r="AK63" s="318">
        <v>0</v>
      </c>
      <c r="AL63" s="318">
        <v>0</v>
      </c>
      <c r="AM63" s="318">
        <v>0</v>
      </c>
      <c r="AN63" s="318">
        <v>0</v>
      </c>
      <c r="AO63" s="318">
        <v>0</v>
      </c>
      <c r="AP63" s="318">
        <v>0</v>
      </c>
      <c r="AQ63" s="318">
        <v>0</v>
      </c>
      <c r="AR63" s="318">
        <v>0</v>
      </c>
      <c r="AS63" s="318">
        <v>0</v>
      </c>
      <c r="AT63" s="318">
        <v>0</v>
      </c>
      <c r="AU63" s="318">
        <v>0</v>
      </c>
      <c r="AV63" s="324">
        <v>20025</v>
      </c>
      <c r="AW63" s="324">
        <v>0</v>
      </c>
      <c r="AX63" s="324">
        <v>0</v>
      </c>
      <c r="AY63" s="318">
        <v>0</v>
      </c>
      <c r="AZ63" s="318">
        <v>0</v>
      </c>
      <c r="BA63" s="324">
        <v>0</v>
      </c>
      <c r="BB63" s="324">
        <v>288506.42</v>
      </c>
      <c r="BC63" s="324">
        <v>0</v>
      </c>
      <c r="BD63" s="324">
        <v>0</v>
      </c>
      <c r="BE63" s="318">
        <v>0</v>
      </c>
      <c r="BF63" s="324">
        <v>0</v>
      </c>
      <c r="BG63" s="324">
        <v>0</v>
      </c>
      <c r="BH63" s="324">
        <v>0</v>
      </c>
      <c r="BI63" s="324">
        <v>4430.76</v>
      </c>
      <c r="BJ63" s="324">
        <v>495659.65</v>
      </c>
      <c r="BK63" s="324">
        <v>0</v>
      </c>
      <c r="BL63" s="324">
        <v>0</v>
      </c>
      <c r="BM63" s="324">
        <v>0</v>
      </c>
      <c r="BN63" s="324">
        <v>2840655.7</v>
      </c>
      <c r="BO63" s="324">
        <v>0</v>
      </c>
      <c r="BP63" s="324">
        <v>0</v>
      </c>
      <c r="BQ63" s="324">
        <v>0</v>
      </c>
      <c r="BR63" s="324">
        <v>0</v>
      </c>
      <c r="BS63" s="324">
        <v>8532.59</v>
      </c>
      <c r="BT63" s="324">
        <v>0</v>
      </c>
      <c r="BU63" s="324">
        <v>0</v>
      </c>
      <c r="BV63" s="324">
        <v>0</v>
      </c>
      <c r="BW63" s="324">
        <v>39854564.340000004</v>
      </c>
      <c r="BX63" s="324">
        <v>0</v>
      </c>
      <c r="BY63" s="324">
        <v>13160</v>
      </c>
      <c r="BZ63" s="324">
        <v>0</v>
      </c>
      <c r="CA63" s="324">
        <v>350</v>
      </c>
      <c r="CB63" s="324">
        <v>0</v>
      </c>
      <c r="CC63" s="324">
        <v>77925.31</v>
      </c>
      <c r="CD63" s="25" t="s">
        <v>248</v>
      </c>
      <c r="CE63" s="28">
        <f t="shared" si="6"/>
        <v>44421612.24000001</v>
      </c>
    </row>
    <row r="64" spans="1:83" x14ac:dyDescent="0.25">
      <c r="A64" s="35" t="s">
        <v>265</v>
      </c>
      <c r="B64" s="16"/>
      <c r="C64" s="316">
        <v>6479636.2699999996</v>
      </c>
      <c r="D64" s="316">
        <v>6234842.21</v>
      </c>
      <c r="E64" s="316">
        <v>120481</v>
      </c>
      <c r="F64" s="316">
        <v>0</v>
      </c>
      <c r="G64" s="316">
        <v>444612.13</v>
      </c>
      <c r="H64" s="316">
        <v>227956.75</v>
      </c>
      <c r="I64" s="316">
        <v>0</v>
      </c>
      <c r="J64" s="316">
        <v>0</v>
      </c>
      <c r="K64" s="316">
        <v>0</v>
      </c>
      <c r="L64" s="316">
        <v>0</v>
      </c>
      <c r="M64" s="316">
        <v>0</v>
      </c>
      <c r="N64" s="316">
        <v>86492.54</v>
      </c>
      <c r="O64" s="316">
        <v>0</v>
      </c>
      <c r="P64" s="318">
        <v>53096089.299999997</v>
      </c>
      <c r="Q64" s="318">
        <v>872347.17</v>
      </c>
      <c r="R64" s="318">
        <v>2538860.13</v>
      </c>
      <c r="S64" s="324">
        <v>2093177.12</v>
      </c>
      <c r="T64" s="324">
        <v>0</v>
      </c>
      <c r="U64" s="319">
        <v>8474049.7699999996</v>
      </c>
      <c r="V64" s="318">
        <v>1761430.38</v>
      </c>
      <c r="W64" s="318">
        <v>187334.86</v>
      </c>
      <c r="X64" s="318">
        <v>709180.7</v>
      </c>
      <c r="Y64" s="318">
        <v>7071374.1399999997</v>
      </c>
      <c r="Z64" s="318">
        <v>277712.99</v>
      </c>
      <c r="AA64" s="318">
        <v>205242.38</v>
      </c>
      <c r="AB64" s="325">
        <v>104346080.27</v>
      </c>
      <c r="AC64" s="318">
        <v>1074418.83</v>
      </c>
      <c r="AD64" s="318">
        <v>3747.15</v>
      </c>
      <c r="AE64" s="318">
        <v>160205.74</v>
      </c>
      <c r="AF64" s="318">
        <v>56873.55</v>
      </c>
      <c r="AG64" s="318">
        <v>4224855.95</v>
      </c>
      <c r="AH64" s="318">
        <v>0</v>
      </c>
      <c r="AI64" s="318">
        <v>0</v>
      </c>
      <c r="AJ64" s="318">
        <v>9165557.1400000006</v>
      </c>
      <c r="AK64" s="318">
        <v>28580.58</v>
      </c>
      <c r="AL64" s="318">
        <v>0</v>
      </c>
      <c r="AM64" s="318">
        <v>0</v>
      </c>
      <c r="AN64" s="318">
        <v>0</v>
      </c>
      <c r="AO64" s="318">
        <v>0</v>
      </c>
      <c r="AP64" s="318">
        <v>0</v>
      </c>
      <c r="AQ64" s="318">
        <v>0</v>
      </c>
      <c r="AR64" s="318">
        <v>0</v>
      </c>
      <c r="AS64" s="318">
        <v>0</v>
      </c>
      <c r="AT64" s="318">
        <v>0</v>
      </c>
      <c r="AU64" s="318">
        <v>2984.19</v>
      </c>
      <c r="AV64" s="324">
        <v>268836.17</v>
      </c>
      <c r="AW64" s="324">
        <v>618052.09</v>
      </c>
      <c r="AX64" s="324">
        <v>0</v>
      </c>
      <c r="AY64" s="318">
        <v>6832822.96</v>
      </c>
      <c r="AZ64" s="318">
        <v>0</v>
      </c>
      <c r="BA64" s="324">
        <v>641130.85</v>
      </c>
      <c r="BB64" s="324">
        <v>166315.82999999999</v>
      </c>
      <c r="BC64" s="324">
        <v>0</v>
      </c>
      <c r="BD64" s="324">
        <v>0</v>
      </c>
      <c r="BE64" s="318">
        <v>2579081.96</v>
      </c>
      <c r="BF64" s="324">
        <v>1572542.55</v>
      </c>
      <c r="BG64" s="324">
        <v>812.67</v>
      </c>
      <c r="BH64" s="324">
        <v>586717.43000000005</v>
      </c>
      <c r="BI64" s="324">
        <v>277232.06</v>
      </c>
      <c r="BJ64" s="324">
        <v>17.28</v>
      </c>
      <c r="BK64" s="324">
        <v>0</v>
      </c>
      <c r="BL64" s="324">
        <v>0</v>
      </c>
      <c r="BM64" s="324">
        <v>513.66</v>
      </c>
      <c r="BN64" s="324">
        <v>3280162.53</v>
      </c>
      <c r="BO64" s="324">
        <v>55137.37</v>
      </c>
      <c r="BP64" s="324">
        <v>1107.22</v>
      </c>
      <c r="BQ64" s="324">
        <v>0</v>
      </c>
      <c r="BR64" s="324">
        <v>0</v>
      </c>
      <c r="BS64" s="324">
        <v>13975.09</v>
      </c>
      <c r="BT64" s="324">
        <v>3696.84</v>
      </c>
      <c r="BU64" s="324">
        <v>0</v>
      </c>
      <c r="BV64" s="324">
        <v>0</v>
      </c>
      <c r="BW64" s="324">
        <v>20267.61</v>
      </c>
      <c r="BX64" s="324">
        <v>180096.65</v>
      </c>
      <c r="BY64" s="324">
        <v>42723.35</v>
      </c>
      <c r="BZ64" s="324">
        <v>4652.32</v>
      </c>
      <c r="CA64" s="324">
        <v>158583.49</v>
      </c>
      <c r="CB64" s="324">
        <v>56425.26</v>
      </c>
      <c r="CC64" s="324">
        <v>-1586458.6099999999</v>
      </c>
      <c r="CD64" s="25" t="s">
        <v>248</v>
      </c>
      <c r="CE64" s="28">
        <f t="shared" si="6"/>
        <v>225718567.87</v>
      </c>
    </row>
    <row r="65" spans="1:83" x14ac:dyDescent="0.25">
      <c r="A65" s="35" t="s">
        <v>266</v>
      </c>
      <c r="B65" s="16"/>
      <c r="C65" s="316">
        <v>572.52</v>
      </c>
      <c r="D65" s="316">
        <v>68.400000000000006</v>
      </c>
      <c r="E65" s="316">
        <v>0</v>
      </c>
      <c r="F65" s="316">
        <v>0</v>
      </c>
      <c r="G65" s="316">
        <v>41.04</v>
      </c>
      <c r="H65" s="316">
        <v>41.04</v>
      </c>
      <c r="I65" s="316">
        <v>0</v>
      </c>
      <c r="J65" s="316">
        <v>0</v>
      </c>
      <c r="K65" s="316">
        <v>0</v>
      </c>
      <c r="L65" s="316">
        <v>0</v>
      </c>
      <c r="M65" s="316">
        <v>0</v>
      </c>
      <c r="N65" s="316">
        <v>0</v>
      </c>
      <c r="O65" s="316">
        <v>0</v>
      </c>
      <c r="P65" s="318">
        <v>0</v>
      </c>
      <c r="Q65" s="318">
        <v>0</v>
      </c>
      <c r="R65" s="318">
        <v>30.4</v>
      </c>
      <c r="S65" s="324">
        <v>9670.2000000000007</v>
      </c>
      <c r="T65" s="324">
        <v>0</v>
      </c>
      <c r="U65" s="319">
        <v>1630.86</v>
      </c>
      <c r="V65" s="318">
        <v>2601.7199999999998</v>
      </c>
      <c r="W65" s="318">
        <v>0</v>
      </c>
      <c r="X65" s="318">
        <v>315.48</v>
      </c>
      <c r="Y65" s="318">
        <v>41.04</v>
      </c>
      <c r="Z65" s="318">
        <v>761.59</v>
      </c>
      <c r="AA65" s="318">
        <v>0</v>
      </c>
      <c r="AB65" s="325">
        <v>12614.12</v>
      </c>
      <c r="AC65" s="318">
        <v>0</v>
      </c>
      <c r="AD65" s="318">
        <v>0</v>
      </c>
      <c r="AE65" s="318">
        <v>0</v>
      </c>
      <c r="AF65" s="318">
        <v>567.80999999999995</v>
      </c>
      <c r="AG65" s="318">
        <v>0</v>
      </c>
      <c r="AH65" s="318">
        <v>0</v>
      </c>
      <c r="AI65" s="318">
        <v>0</v>
      </c>
      <c r="AJ65" s="318">
        <v>38392.800000000003</v>
      </c>
      <c r="AK65" s="318">
        <v>-82.79</v>
      </c>
      <c r="AL65" s="318">
        <v>0</v>
      </c>
      <c r="AM65" s="318">
        <v>0</v>
      </c>
      <c r="AN65" s="318">
        <v>0</v>
      </c>
      <c r="AO65" s="318">
        <v>0</v>
      </c>
      <c r="AP65" s="318">
        <v>0</v>
      </c>
      <c r="AQ65" s="318">
        <v>0</v>
      </c>
      <c r="AR65" s="318">
        <v>0</v>
      </c>
      <c r="AS65" s="318">
        <v>0</v>
      </c>
      <c r="AT65" s="318">
        <v>0</v>
      </c>
      <c r="AU65" s="318">
        <v>0</v>
      </c>
      <c r="AV65" s="324">
        <v>510.12</v>
      </c>
      <c r="AW65" s="324">
        <v>0</v>
      </c>
      <c r="AX65" s="324">
        <v>0</v>
      </c>
      <c r="AY65" s="318">
        <v>0</v>
      </c>
      <c r="AZ65" s="318">
        <v>0</v>
      </c>
      <c r="BA65" s="324">
        <v>0</v>
      </c>
      <c r="BB65" s="324">
        <v>0</v>
      </c>
      <c r="BC65" s="324">
        <v>0</v>
      </c>
      <c r="BD65" s="324">
        <v>0</v>
      </c>
      <c r="BE65" s="318">
        <v>5421709.8899999997</v>
      </c>
      <c r="BF65" s="324">
        <v>698773.27</v>
      </c>
      <c r="BG65" s="324">
        <v>20043.419999999998</v>
      </c>
      <c r="BH65" s="324">
        <v>192194.88</v>
      </c>
      <c r="BI65" s="324">
        <v>86.64</v>
      </c>
      <c r="BJ65" s="324">
        <v>0</v>
      </c>
      <c r="BK65" s="324">
        <v>0</v>
      </c>
      <c r="BL65" s="324">
        <v>0</v>
      </c>
      <c r="BM65" s="324">
        <v>0</v>
      </c>
      <c r="BN65" s="324">
        <v>82.08</v>
      </c>
      <c r="BO65" s="324">
        <v>0</v>
      </c>
      <c r="BP65" s="324">
        <v>0</v>
      </c>
      <c r="BQ65" s="324">
        <v>0</v>
      </c>
      <c r="BR65" s="324">
        <v>0</v>
      </c>
      <c r="BS65" s="324">
        <v>0</v>
      </c>
      <c r="BT65" s="324">
        <v>0</v>
      </c>
      <c r="BU65" s="324">
        <v>0</v>
      </c>
      <c r="BV65" s="324">
        <v>0</v>
      </c>
      <c r="BW65" s="324">
        <v>12048.36</v>
      </c>
      <c r="BX65" s="324">
        <v>1127.68</v>
      </c>
      <c r="BY65" s="324">
        <v>209.15</v>
      </c>
      <c r="BZ65" s="324">
        <v>0</v>
      </c>
      <c r="CA65" s="324">
        <v>4602.66</v>
      </c>
      <c r="CB65" s="324">
        <v>0</v>
      </c>
      <c r="CC65" s="324">
        <v>6991586.9800000004</v>
      </c>
      <c r="CD65" s="25" t="s">
        <v>248</v>
      </c>
      <c r="CE65" s="28">
        <f t="shared" si="6"/>
        <v>13410241.359999999</v>
      </c>
    </row>
    <row r="66" spans="1:83" x14ac:dyDescent="0.25">
      <c r="A66" s="35" t="s">
        <v>267</v>
      </c>
      <c r="B66" s="16"/>
      <c r="C66" s="316">
        <v>657535.79</v>
      </c>
      <c r="D66" s="316">
        <v>838308.5</v>
      </c>
      <c r="E66" s="316">
        <v>345.72</v>
      </c>
      <c r="F66" s="316">
        <v>0</v>
      </c>
      <c r="G66" s="316">
        <v>108651.36</v>
      </c>
      <c r="H66" s="316">
        <v>102061.95</v>
      </c>
      <c r="I66" s="316">
        <v>0</v>
      </c>
      <c r="J66" s="316">
        <v>0</v>
      </c>
      <c r="K66" s="316">
        <v>0</v>
      </c>
      <c r="L66" s="316">
        <v>0</v>
      </c>
      <c r="M66" s="316">
        <v>0</v>
      </c>
      <c r="N66" s="316">
        <v>3578.8</v>
      </c>
      <c r="O66" s="316">
        <v>0</v>
      </c>
      <c r="P66" s="318">
        <v>1188286.1000000001</v>
      </c>
      <c r="Q66" s="318">
        <v>124924.88</v>
      </c>
      <c r="R66" s="318">
        <v>25938.29</v>
      </c>
      <c r="S66" s="324">
        <v>3890833.01</v>
      </c>
      <c r="T66" s="324">
        <v>0</v>
      </c>
      <c r="U66" s="319">
        <v>11973482.67</v>
      </c>
      <c r="V66" s="318">
        <v>134462.18</v>
      </c>
      <c r="W66" s="318">
        <v>58025.47</v>
      </c>
      <c r="X66" s="318">
        <v>70149.47</v>
      </c>
      <c r="Y66" s="318">
        <v>180553.68</v>
      </c>
      <c r="Z66" s="318">
        <v>5484.55</v>
      </c>
      <c r="AA66" s="318">
        <v>5</v>
      </c>
      <c r="AB66" s="325">
        <v>7038464.3300000001</v>
      </c>
      <c r="AC66" s="318">
        <v>30020.63</v>
      </c>
      <c r="AD66" s="318">
        <v>2182655</v>
      </c>
      <c r="AE66" s="318">
        <v>18215.07</v>
      </c>
      <c r="AF66" s="318">
        <v>94458.87</v>
      </c>
      <c r="AG66" s="318">
        <v>474965.8</v>
      </c>
      <c r="AH66" s="318">
        <v>125297.67</v>
      </c>
      <c r="AI66" s="318">
        <v>0</v>
      </c>
      <c r="AJ66" s="318">
        <v>2496393.2200000002</v>
      </c>
      <c r="AK66" s="318">
        <v>432.78</v>
      </c>
      <c r="AL66" s="318">
        <v>0</v>
      </c>
      <c r="AM66" s="318">
        <v>0</v>
      </c>
      <c r="AN66" s="318">
        <v>0</v>
      </c>
      <c r="AO66" s="318">
        <v>0</v>
      </c>
      <c r="AP66" s="318">
        <v>0</v>
      </c>
      <c r="AQ66" s="318">
        <v>0</v>
      </c>
      <c r="AR66" s="318">
        <v>0</v>
      </c>
      <c r="AS66" s="318">
        <v>0</v>
      </c>
      <c r="AT66" s="318">
        <v>0</v>
      </c>
      <c r="AU66" s="318">
        <v>47592.29</v>
      </c>
      <c r="AV66" s="324">
        <v>7876588.2300000004</v>
      </c>
      <c r="AW66" s="324">
        <v>33259920.920000002</v>
      </c>
      <c r="AX66" s="324">
        <v>0</v>
      </c>
      <c r="AY66" s="318">
        <v>516944.91</v>
      </c>
      <c r="AZ66" s="318">
        <v>0</v>
      </c>
      <c r="BA66" s="324">
        <v>-116722.96</v>
      </c>
      <c r="BB66" s="324">
        <v>9387348.25</v>
      </c>
      <c r="BC66" s="324">
        <v>0</v>
      </c>
      <c r="BD66" s="324">
        <v>3743388.14</v>
      </c>
      <c r="BE66" s="318">
        <v>8962413.8200000003</v>
      </c>
      <c r="BF66" s="324">
        <v>371784.22</v>
      </c>
      <c r="BG66" s="324">
        <v>746005.89</v>
      </c>
      <c r="BH66" s="324">
        <v>83654421.849999994</v>
      </c>
      <c r="BI66" s="324">
        <v>26106</v>
      </c>
      <c r="BJ66" s="324">
        <v>11578019.310000001</v>
      </c>
      <c r="BK66" s="324">
        <v>24976469.850000001</v>
      </c>
      <c r="BL66" s="324">
        <v>6101694.7699999996</v>
      </c>
      <c r="BM66" s="324">
        <v>0</v>
      </c>
      <c r="BN66" s="324">
        <v>6625049.5099999998</v>
      </c>
      <c r="BO66" s="324">
        <v>3053.08</v>
      </c>
      <c r="BP66" s="324">
        <v>358541.22</v>
      </c>
      <c r="BQ66" s="324">
        <v>0</v>
      </c>
      <c r="BR66" s="324">
        <v>7690619.5599999996</v>
      </c>
      <c r="BS66" s="324">
        <v>52927.25</v>
      </c>
      <c r="BT66" s="324">
        <v>4574</v>
      </c>
      <c r="BU66" s="324">
        <v>0</v>
      </c>
      <c r="BV66" s="324">
        <v>7003211.4199999999</v>
      </c>
      <c r="BW66" s="324">
        <v>1347828.97</v>
      </c>
      <c r="BX66" s="324">
        <v>136245.10999999999</v>
      </c>
      <c r="BY66" s="324">
        <v>6598.94</v>
      </c>
      <c r="BZ66" s="324">
        <v>0</v>
      </c>
      <c r="CA66" s="324">
        <v>237093.63</v>
      </c>
      <c r="CB66" s="324">
        <v>3011.54</v>
      </c>
      <c r="CC66" s="324">
        <v>28299767.32</v>
      </c>
      <c r="CD66" s="25" t="s">
        <v>248</v>
      </c>
      <c r="CE66" s="28">
        <f t="shared" si="6"/>
        <v>274724027.83000004</v>
      </c>
    </row>
    <row r="67" spans="1:83" x14ac:dyDescent="0.25">
      <c r="A67" s="35" t="s">
        <v>16</v>
      </c>
      <c r="B67" s="16"/>
      <c r="C67" s="28">
        <f t="shared" ref="C67:AH67" si="10">ROUND(C51+C52,0)</f>
        <v>314516</v>
      </c>
      <c r="D67" s="28">
        <f t="shared" si="10"/>
        <v>230103</v>
      </c>
      <c r="E67" s="28">
        <f t="shared" si="10"/>
        <v>0</v>
      </c>
      <c r="F67" s="28">
        <f t="shared" si="10"/>
        <v>0</v>
      </c>
      <c r="G67" s="28">
        <f t="shared" si="10"/>
        <v>26732</v>
      </c>
      <c r="H67" s="28">
        <f t="shared" si="10"/>
        <v>63555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3051421</v>
      </c>
      <c r="Q67" s="28">
        <f t="shared" si="10"/>
        <v>41707</v>
      </c>
      <c r="R67" s="28">
        <f t="shared" si="10"/>
        <v>155643</v>
      </c>
      <c r="S67" s="28">
        <f t="shared" si="10"/>
        <v>201552</v>
      </c>
      <c r="T67" s="28">
        <f t="shared" si="10"/>
        <v>0</v>
      </c>
      <c r="U67" s="28">
        <f t="shared" si="10"/>
        <v>420165</v>
      </c>
      <c r="V67" s="28">
        <f t="shared" si="10"/>
        <v>367217</v>
      </c>
      <c r="W67" s="28">
        <f t="shared" si="10"/>
        <v>335441</v>
      </c>
      <c r="X67" s="28">
        <f t="shared" si="10"/>
        <v>244701</v>
      </c>
      <c r="Y67" s="28">
        <f t="shared" si="10"/>
        <v>1046932</v>
      </c>
      <c r="Z67" s="28">
        <f t="shared" si="10"/>
        <v>168277</v>
      </c>
      <c r="AA67" s="28">
        <f t="shared" si="10"/>
        <v>244814</v>
      </c>
      <c r="AB67" s="28">
        <f t="shared" si="10"/>
        <v>16303</v>
      </c>
      <c r="AC67" s="28">
        <f t="shared" si="10"/>
        <v>364325</v>
      </c>
      <c r="AD67" s="28">
        <f t="shared" si="10"/>
        <v>69411</v>
      </c>
      <c r="AE67" s="28">
        <f t="shared" si="10"/>
        <v>22679</v>
      </c>
      <c r="AF67" s="28">
        <f t="shared" si="10"/>
        <v>0</v>
      </c>
      <c r="AG67" s="28">
        <f t="shared" si="10"/>
        <v>300351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1517643</v>
      </c>
      <c r="AK67" s="28">
        <f t="shared" si="11"/>
        <v>30377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1017</v>
      </c>
      <c r="AW67" s="28">
        <f t="shared" si="11"/>
        <v>0</v>
      </c>
      <c r="AX67" s="28">
        <f t="shared" si="11"/>
        <v>0</v>
      </c>
      <c r="AY67" s="28">
        <f t="shared" si="11"/>
        <v>130925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2158814</v>
      </c>
      <c r="BF67" s="28">
        <f t="shared" si="11"/>
        <v>52147</v>
      </c>
      <c r="BG67" s="28">
        <f t="shared" si="11"/>
        <v>5843</v>
      </c>
      <c r="BH67" s="28">
        <f t="shared" si="11"/>
        <v>907256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10161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1776</v>
      </c>
      <c r="CA67" s="28">
        <f t="shared" si="12"/>
        <v>9014</v>
      </c>
      <c r="CB67" s="28">
        <f t="shared" si="12"/>
        <v>0</v>
      </c>
      <c r="CC67" s="28">
        <f t="shared" si="12"/>
        <v>28621636</v>
      </c>
      <c r="CD67" s="25" t="s">
        <v>248</v>
      </c>
      <c r="CE67" s="28">
        <f t="shared" si="6"/>
        <v>41132454</v>
      </c>
    </row>
    <row r="68" spans="1:83" x14ac:dyDescent="0.25">
      <c r="A68" s="35" t="s">
        <v>268</v>
      </c>
      <c r="B68" s="28"/>
      <c r="C68" s="316">
        <v>722.26</v>
      </c>
      <c r="D68" s="316">
        <v>88.09</v>
      </c>
      <c r="E68" s="316">
        <v>0</v>
      </c>
      <c r="F68" s="316">
        <v>0</v>
      </c>
      <c r="G68" s="316">
        <v>52.88</v>
      </c>
      <c r="H68" s="316">
        <v>88.1</v>
      </c>
      <c r="I68" s="316">
        <v>0</v>
      </c>
      <c r="J68" s="316">
        <v>0</v>
      </c>
      <c r="K68" s="316">
        <v>0</v>
      </c>
      <c r="L68" s="316">
        <v>0</v>
      </c>
      <c r="M68" s="316">
        <v>0</v>
      </c>
      <c r="N68" s="316">
        <v>0</v>
      </c>
      <c r="O68" s="316">
        <v>0</v>
      </c>
      <c r="P68" s="318">
        <v>39177.78</v>
      </c>
      <c r="Q68" s="318">
        <v>0</v>
      </c>
      <c r="R68" s="318">
        <v>92764.59</v>
      </c>
      <c r="S68" s="324">
        <v>2450678.17</v>
      </c>
      <c r="T68" s="324">
        <v>0</v>
      </c>
      <c r="U68" s="319">
        <v>10647.75</v>
      </c>
      <c r="V68" s="318">
        <v>236308.62</v>
      </c>
      <c r="W68" s="318">
        <v>0</v>
      </c>
      <c r="X68" s="318">
        <v>0</v>
      </c>
      <c r="Y68" s="318">
        <v>122227.51</v>
      </c>
      <c r="Z68" s="318">
        <v>44.05</v>
      </c>
      <c r="AA68" s="318">
        <v>44.05</v>
      </c>
      <c r="AB68" s="325">
        <v>1293992.31</v>
      </c>
      <c r="AC68" s="318">
        <v>7345.06</v>
      </c>
      <c r="AD68" s="318">
        <v>0</v>
      </c>
      <c r="AE68" s="318">
        <v>88.09</v>
      </c>
      <c r="AF68" s="318">
        <v>1375.43</v>
      </c>
      <c r="AG68" s="318">
        <v>88.21</v>
      </c>
      <c r="AH68" s="318">
        <v>0</v>
      </c>
      <c r="AI68" s="318">
        <v>0</v>
      </c>
      <c r="AJ68" s="318">
        <v>809136.16</v>
      </c>
      <c r="AK68" s="318">
        <v>44.05</v>
      </c>
      <c r="AL68" s="318">
        <v>0</v>
      </c>
      <c r="AM68" s="318">
        <v>0</v>
      </c>
      <c r="AN68" s="318">
        <v>0</v>
      </c>
      <c r="AO68" s="318">
        <v>0</v>
      </c>
      <c r="AP68" s="318">
        <v>0</v>
      </c>
      <c r="AQ68" s="318">
        <v>0</v>
      </c>
      <c r="AR68" s="318">
        <v>0</v>
      </c>
      <c r="AS68" s="318">
        <v>0</v>
      </c>
      <c r="AT68" s="318">
        <v>0</v>
      </c>
      <c r="AU68" s="318">
        <v>0</v>
      </c>
      <c r="AV68" s="324">
        <v>30108.48</v>
      </c>
      <c r="AW68" s="324">
        <v>0</v>
      </c>
      <c r="AX68" s="324">
        <v>0</v>
      </c>
      <c r="AY68" s="318">
        <v>88.16</v>
      </c>
      <c r="AZ68" s="318">
        <v>0</v>
      </c>
      <c r="BA68" s="324">
        <v>44.05</v>
      </c>
      <c r="BB68" s="324">
        <v>88.09</v>
      </c>
      <c r="BC68" s="324">
        <v>0</v>
      </c>
      <c r="BD68" s="324">
        <v>0</v>
      </c>
      <c r="BE68" s="318">
        <v>101760.16</v>
      </c>
      <c r="BF68" s="324">
        <v>49921.15</v>
      </c>
      <c r="BG68" s="324">
        <v>132.13999999999999</v>
      </c>
      <c r="BH68" s="324">
        <v>1893429.2</v>
      </c>
      <c r="BI68" s="324">
        <v>917.41</v>
      </c>
      <c r="BJ68" s="324">
        <v>0</v>
      </c>
      <c r="BK68" s="324">
        <v>0</v>
      </c>
      <c r="BL68" s="324">
        <v>0</v>
      </c>
      <c r="BM68" s="324">
        <v>0</v>
      </c>
      <c r="BN68" s="324">
        <v>470.06</v>
      </c>
      <c r="BO68" s="324">
        <v>114.69</v>
      </c>
      <c r="BP68" s="324">
        <v>0</v>
      </c>
      <c r="BQ68" s="324">
        <v>0</v>
      </c>
      <c r="BR68" s="324">
        <v>0</v>
      </c>
      <c r="BS68" s="324">
        <v>44.05</v>
      </c>
      <c r="BT68" s="324">
        <v>44.05</v>
      </c>
      <c r="BU68" s="324">
        <v>0</v>
      </c>
      <c r="BV68" s="324">
        <v>0</v>
      </c>
      <c r="BW68" s="324">
        <v>491.31</v>
      </c>
      <c r="BX68" s="324">
        <v>44.11</v>
      </c>
      <c r="BY68" s="324">
        <v>264.58</v>
      </c>
      <c r="BZ68" s="324">
        <v>0</v>
      </c>
      <c r="CA68" s="324">
        <v>955.01</v>
      </c>
      <c r="CB68" s="324">
        <v>0</v>
      </c>
      <c r="CC68" s="324">
        <v>-3922437.129999999</v>
      </c>
      <c r="CD68" s="25" t="s">
        <v>248</v>
      </c>
      <c r="CE68" s="28">
        <f t="shared" si="6"/>
        <v>3221392.7300000004</v>
      </c>
    </row>
    <row r="69" spans="1:83" x14ac:dyDescent="0.25">
      <c r="A69" s="35" t="s">
        <v>269</v>
      </c>
      <c r="B69" s="16"/>
      <c r="C69" s="28">
        <f t="shared" ref="C69:AH69" si="13">SUM(C70:C83)</f>
        <v>72711.73</v>
      </c>
      <c r="D69" s="28">
        <f t="shared" si="13"/>
        <v>287852.09999999998</v>
      </c>
      <c r="E69" s="28">
        <f t="shared" si="13"/>
        <v>12128.45</v>
      </c>
      <c r="F69" s="28">
        <f t="shared" si="13"/>
        <v>0</v>
      </c>
      <c r="G69" s="28">
        <f t="shared" si="13"/>
        <v>40566.620000000003</v>
      </c>
      <c r="H69" s="28">
        <f t="shared" si="13"/>
        <v>145403.44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8168.97</v>
      </c>
      <c r="Q69" s="28">
        <f t="shared" si="13"/>
        <v>26003.3</v>
      </c>
      <c r="R69" s="28">
        <f t="shared" si="13"/>
        <v>4909.8900000000003</v>
      </c>
      <c r="S69" s="28">
        <f t="shared" si="13"/>
        <v>1194516.9099999999</v>
      </c>
      <c r="T69" s="28">
        <f t="shared" si="13"/>
        <v>0</v>
      </c>
      <c r="U69" s="28">
        <f t="shared" si="13"/>
        <v>119795.99</v>
      </c>
      <c r="V69" s="28">
        <f t="shared" si="13"/>
        <v>19780.27</v>
      </c>
      <c r="W69" s="28">
        <f t="shared" si="13"/>
        <v>0</v>
      </c>
      <c r="X69" s="28">
        <f t="shared" si="13"/>
        <v>16109.23</v>
      </c>
      <c r="Y69" s="28">
        <f t="shared" si="13"/>
        <v>14657.35</v>
      </c>
      <c r="Z69" s="28">
        <f t="shared" si="13"/>
        <v>10107.43</v>
      </c>
      <c r="AA69" s="28">
        <f t="shared" si="13"/>
        <v>494.54</v>
      </c>
      <c r="AB69" s="28">
        <f t="shared" si="13"/>
        <v>367809.99</v>
      </c>
      <c r="AC69" s="28">
        <f t="shared" si="13"/>
        <v>11590.25</v>
      </c>
      <c r="AD69" s="28">
        <f t="shared" si="13"/>
        <v>0</v>
      </c>
      <c r="AE69" s="28">
        <f t="shared" si="13"/>
        <v>1195.08</v>
      </c>
      <c r="AF69" s="28">
        <f t="shared" si="13"/>
        <v>95461.69</v>
      </c>
      <c r="AG69" s="28">
        <f t="shared" si="13"/>
        <v>179198.34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230998.33</v>
      </c>
      <c r="AK69" s="28">
        <f t="shared" si="14"/>
        <v>4301.03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2606.83</v>
      </c>
      <c r="AV69" s="28">
        <f t="shared" si="14"/>
        <v>-197651.43</v>
      </c>
      <c r="AW69" s="28">
        <f t="shared" si="14"/>
        <v>19042</v>
      </c>
      <c r="AX69" s="28">
        <f t="shared" si="14"/>
        <v>0</v>
      </c>
      <c r="AY69" s="28">
        <f t="shared" si="14"/>
        <v>-754797.58</v>
      </c>
      <c r="AZ69" s="28">
        <f t="shared" si="14"/>
        <v>0</v>
      </c>
      <c r="BA69" s="28">
        <f t="shared" si="14"/>
        <v>0</v>
      </c>
      <c r="BB69" s="28">
        <f t="shared" si="14"/>
        <v>145360.28</v>
      </c>
      <c r="BC69" s="28">
        <f t="shared" si="14"/>
        <v>0</v>
      </c>
      <c r="BD69" s="28">
        <f t="shared" si="14"/>
        <v>0</v>
      </c>
      <c r="BE69" s="28">
        <f t="shared" si="14"/>
        <v>83642.64</v>
      </c>
      <c r="BF69" s="28">
        <f t="shared" si="14"/>
        <v>5270.27</v>
      </c>
      <c r="BG69" s="28">
        <f t="shared" si="14"/>
        <v>0</v>
      </c>
      <c r="BH69" s="28">
        <f t="shared" si="14"/>
        <v>47952.67</v>
      </c>
      <c r="BI69" s="28">
        <f t="shared" si="14"/>
        <v>11255.36</v>
      </c>
      <c r="BJ69" s="28">
        <f t="shared" si="14"/>
        <v>0</v>
      </c>
      <c r="BK69" s="28">
        <f t="shared" si="14"/>
        <v>-1696.21</v>
      </c>
      <c r="BL69" s="28">
        <f t="shared" si="14"/>
        <v>0</v>
      </c>
      <c r="BM69" s="28">
        <f t="shared" si="14"/>
        <v>0</v>
      </c>
      <c r="BN69" s="28">
        <f t="shared" si="14"/>
        <v>914045.19</v>
      </c>
      <c r="BO69" s="28">
        <f t="shared" ref="BO69:CD69" si="15">SUM(BO70:BO83)</f>
        <v>108.89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1864.68</v>
      </c>
      <c r="BT69" s="28">
        <f t="shared" si="15"/>
        <v>11860.13</v>
      </c>
      <c r="BU69" s="28">
        <f t="shared" si="15"/>
        <v>0</v>
      </c>
      <c r="BV69" s="28">
        <f t="shared" si="15"/>
        <v>0</v>
      </c>
      <c r="BW69" s="28">
        <f t="shared" si="15"/>
        <v>35932</v>
      </c>
      <c r="BX69" s="28">
        <f t="shared" si="15"/>
        <v>805203.39</v>
      </c>
      <c r="BY69" s="28">
        <f t="shared" si="15"/>
        <v>56739.33</v>
      </c>
      <c r="BZ69" s="28">
        <f t="shared" si="15"/>
        <v>-545</v>
      </c>
      <c r="CA69" s="28">
        <f t="shared" si="15"/>
        <v>1096249.76</v>
      </c>
      <c r="CB69" s="28">
        <f t="shared" si="15"/>
        <v>51832.38</v>
      </c>
      <c r="CC69" s="28">
        <f t="shared" si="15"/>
        <v>27239.57</v>
      </c>
      <c r="CD69" s="28">
        <f t="shared" si="15"/>
        <v>11166833.84</v>
      </c>
      <c r="CE69" s="28">
        <f>SUM(CE70:CE84)</f>
        <v>123335386.34000002</v>
      </c>
    </row>
    <row r="70" spans="1:83" x14ac:dyDescent="0.25">
      <c r="A70" s="29" t="s">
        <v>270</v>
      </c>
      <c r="B70" s="30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0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326">
        <v>0</v>
      </c>
      <c r="D71" s="326">
        <v>0</v>
      </c>
      <c r="E71" s="326">
        <v>0</v>
      </c>
      <c r="F71" s="326">
        <v>0</v>
      </c>
      <c r="G71" s="326">
        <v>0</v>
      </c>
      <c r="H71" s="326">
        <v>0</v>
      </c>
      <c r="I71" s="326">
        <v>0</v>
      </c>
      <c r="J71" s="326">
        <v>0</v>
      </c>
      <c r="K71" s="326">
        <v>0</v>
      </c>
      <c r="L71" s="326">
        <v>0</v>
      </c>
      <c r="M71" s="326">
        <v>0</v>
      </c>
      <c r="N71" s="326">
        <v>0</v>
      </c>
      <c r="O71" s="326">
        <v>0</v>
      </c>
      <c r="P71" s="326">
        <v>0</v>
      </c>
      <c r="Q71" s="326">
        <v>0</v>
      </c>
      <c r="R71" s="326">
        <v>0</v>
      </c>
      <c r="S71" s="326">
        <v>0</v>
      </c>
      <c r="T71" s="326">
        <v>0</v>
      </c>
      <c r="U71" s="326">
        <v>0</v>
      </c>
      <c r="V71" s="326">
        <v>0</v>
      </c>
      <c r="W71" s="326">
        <v>0</v>
      </c>
      <c r="X71" s="326">
        <v>0</v>
      </c>
      <c r="Y71" s="326">
        <v>0</v>
      </c>
      <c r="Z71" s="326">
        <v>0</v>
      </c>
      <c r="AA71" s="326">
        <v>0</v>
      </c>
      <c r="AB71" s="326">
        <v>0</v>
      </c>
      <c r="AC71" s="326">
        <v>0</v>
      </c>
      <c r="AD71" s="326">
        <v>0</v>
      </c>
      <c r="AE71" s="326">
        <v>0</v>
      </c>
      <c r="AF71" s="326">
        <v>0</v>
      </c>
      <c r="AG71" s="326">
        <v>0</v>
      </c>
      <c r="AH71" s="326">
        <v>0</v>
      </c>
      <c r="AI71" s="326">
        <v>0</v>
      </c>
      <c r="AJ71" s="326">
        <v>0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0</v>
      </c>
      <c r="AW71" s="326">
        <v>0</v>
      </c>
      <c r="AX71" s="326">
        <v>0</v>
      </c>
      <c r="AY71" s="326">
        <v>0</v>
      </c>
      <c r="AZ71" s="326">
        <v>0</v>
      </c>
      <c r="BA71" s="326">
        <v>0</v>
      </c>
      <c r="BB71" s="326">
        <v>0</v>
      </c>
      <c r="BC71" s="326">
        <v>0</v>
      </c>
      <c r="BD71" s="326">
        <v>0</v>
      </c>
      <c r="BE71" s="326">
        <v>0</v>
      </c>
      <c r="BF71" s="326">
        <v>0</v>
      </c>
      <c r="BG71" s="326">
        <v>0</v>
      </c>
      <c r="BH71" s="326">
        <v>0</v>
      </c>
      <c r="BI71" s="326">
        <v>0</v>
      </c>
      <c r="BJ71" s="326">
        <v>0</v>
      </c>
      <c r="BK71" s="326">
        <v>0</v>
      </c>
      <c r="BL71" s="326">
        <v>0</v>
      </c>
      <c r="BM71" s="326">
        <v>0</v>
      </c>
      <c r="BN71" s="326">
        <v>0</v>
      </c>
      <c r="BO71" s="326">
        <v>0</v>
      </c>
      <c r="BP71" s="326">
        <v>0</v>
      </c>
      <c r="BQ71" s="326">
        <v>0</v>
      </c>
      <c r="BR71" s="326">
        <v>0</v>
      </c>
      <c r="BS71" s="326">
        <v>0</v>
      </c>
      <c r="BT71" s="326">
        <v>0</v>
      </c>
      <c r="BU71" s="326">
        <v>0</v>
      </c>
      <c r="BV71" s="326">
        <v>0</v>
      </c>
      <c r="BW71" s="326">
        <v>0</v>
      </c>
      <c r="BX71" s="326">
        <v>0</v>
      </c>
      <c r="BY71" s="326">
        <v>0</v>
      </c>
      <c r="BZ71" s="326">
        <v>0</v>
      </c>
      <c r="CA71" s="326">
        <v>0</v>
      </c>
      <c r="CB71" s="326">
        <v>0</v>
      </c>
      <c r="CC71" s="326">
        <v>0</v>
      </c>
      <c r="CD71" s="326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326">
        <v>0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0</v>
      </c>
      <c r="M72" s="326">
        <v>0</v>
      </c>
      <c r="N72" s="326">
        <v>0</v>
      </c>
      <c r="O72" s="326">
        <v>0</v>
      </c>
      <c r="P72" s="326">
        <v>0</v>
      </c>
      <c r="Q72" s="326">
        <v>0</v>
      </c>
      <c r="R72" s="326">
        <v>0</v>
      </c>
      <c r="S72" s="326">
        <v>0</v>
      </c>
      <c r="T72" s="326">
        <v>0</v>
      </c>
      <c r="U72" s="326">
        <v>0</v>
      </c>
      <c r="V72" s="326">
        <v>0</v>
      </c>
      <c r="W72" s="326">
        <v>0</v>
      </c>
      <c r="X72" s="326">
        <v>0</v>
      </c>
      <c r="Y72" s="326">
        <v>0</v>
      </c>
      <c r="Z72" s="326">
        <v>0</v>
      </c>
      <c r="AA72" s="326">
        <v>0</v>
      </c>
      <c r="AB72" s="326">
        <v>0</v>
      </c>
      <c r="AC72" s="326">
        <v>0</v>
      </c>
      <c r="AD72" s="326">
        <v>0</v>
      </c>
      <c r="AE72" s="326">
        <v>0</v>
      </c>
      <c r="AF72" s="326">
        <v>0</v>
      </c>
      <c r="AG72" s="326">
        <v>0</v>
      </c>
      <c r="AH72" s="326">
        <v>0</v>
      </c>
      <c r="AI72" s="326">
        <v>0</v>
      </c>
      <c r="AJ72" s="326">
        <v>0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0</v>
      </c>
      <c r="AV72" s="326">
        <v>0</v>
      </c>
      <c r="AW72" s="326">
        <v>0</v>
      </c>
      <c r="AX72" s="326">
        <v>0</v>
      </c>
      <c r="AY72" s="326">
        <v>0</v>
      </c>
      <c r="AZ72" s="326">
        <v>0</v>
      </c>
      <c r="BA72" s="326">
        <v>0</v>
      </c>
      <c r="BB72" s="326">
        <v>0</v>
      </c>
      <c r="BC72" s="326">
        <v>0</v>
      </c>
      <c r="BD72" s="326">
        <v>0</v>
      </c>
      <c r="BE72" s="326">
        <v>0</v>
      </c>
      <c r="BF72" s="326">
        <v>0</v>
      </c>
      <c r="BG72" s="326">
        <v>0</v>
      </c>
      <c r="BH72" s="326">
        <v>0</v>
      </c>
      <c r="BI72" s="326">
        <v>0</v>
      </c>
      <c r="BJ72" s="326">
        <v>0</v>
      </c>
      <c r="BK72" s="326">
        <v>0</v>
      </c>
      <c r="BL72" s="326">
        <v>0</v>
      </c>
      <c r="BM72" s="326">
        <v>0</v>
      </c>
      <c r="BN72" s="326">
        <v>0</v>
      </c>
      <c r="BO72" s="326">
        <v>0</v>
      </c>
      <c r="BP72" s="326">
        <v>0</v>
      </c>
      <c r="BQ72" s="326">
        <v>0</v>
      </c>
      <c r="BR72" s="326">
        <v>0</v>
      </c>
      <c r="BS72" s="326">
        <v>0</v>
      </c>
      <c r="BT72" s="326">
        <v>0</v>
      </c>
      <c r="BU72" s="326">
        <v>0</v>
      </c>
      <c r="BV72" s="326">
        <v>0</v>
      </c>
      <c r="BW72" s="326">
        <v>0</v>
      </c>
      <c r="BX72" s="326">
        <v>0</v>
      </c>
      <c r="BY72" s="326">
        <v>0</v>
      </c>
      <c r="BZ72" s="326">
        <v>0</v>
      </c>
      <c r="CA72" s="326">
        <v>0</v>
      </c>
      <c r="CB72" s="326">
        <v>0</v>
      </c>
      <c r="CC72" s="326">
        <v>0</v>
      </c>
      <c r="CD72" s="326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0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0</v>
      </c>
      <c r="Z73" s="326">
        <v>0</v>
      </c>
      <c r="AA73" s="326">
        <v>0</v>
      </c>
      <c r="AB73" s="326">
        <v>0</v>
      </c>
      <c r="AC73" s="326">
        <v>0</v>
      </c>
      <c r="AD73" s="326">
        <v>0</v>
      </c>
      <c r="AE73" s="326">
        <v>0</v>
      </c>
      <c r="AF73" s="326">
        <v>0</v>
      </c>
      <c r="AG73" s="326">
        <v>0</v>
      </c>
      <c r="AH73" s="326">
        <v>0</v>
      </c>
      <c r="AI73" s="326">
        <v>0</v>
      </c>
      <c r="AJ73" s="326">
        <v>0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0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0</v>
      </c>
      <c r="BI73" s="326">
        <v>0</v>
      </c>
      <c r="BJ73" s="326">
        <v>0</v>
      </c>
      <c r="BK73" s="326">
        <v>0</v>
      </c>
      <c r="BL73" s="326">
        <v>0</v>
      </c>
      <c r="BM73" s="326">
        <v>0</v>
      </c>
      <c r="BN73" s="326">
        <v>0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326">
        <v>0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0</v>
      </c>
      <c r="AX74" s="326">
        <v>0</v>
      </c>
      <c r="AY74" s="326">
        <v>0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0</v>
      </c>
      <c r="BF74" s="326">
        <v>0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0</v>
      </c>
      <c r="CD74" s="326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326">
        <v>0</v>
      </c>
      <c r="D75" s="326">
        <v>0</v>
      </c>
      <c r="E75" s="326">
        <v>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0</v>
      </c>
      <c r="X75" s="326">
        <v>0</v>
      </c>
      <c r="Y75" s="326">
        <v>0</v>
      </c>
      <c r="Z75" s="326">
        <v>0</v>
      </c>
      <c r="AA75" s="326">
        <v>0</v>
      </c>
      <c r="AB75" s="326">
        <v>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0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0</v>
      </c>
      <c r="BI75" s="326">
        <v>0</v>
      </c>
      <c r="BJ75" s="326">
        <v>0</v>
      </c>
      <c r="BK75" s="326">
        <v>0</v>
      </c>
      <c r="BL75" s="326">
        <v>0</v>
      </c>
      <c r="BM75" s="326">
        <v>0</v>
      </c>
      <c r="BN75" s="326">
        <v>0</v>
      </c>
      <c r="BO75" s="326">
        <v>0</v>
      </c>
      <c r="BP75" s="326">
        <v>0</v>
      </c>
      <c r="BQ75" s="326">
        <v>0</v>
      </c>
      <c r="BR75" s="326">
        <v>0</v>
      </c>
      <c r="BS75" s="326">
        <v>0</v>
      </c>
      <c r="BT75" s="326">
        <v>0</v>
      </c>
      <c r="BU75" s="326">
        <v>0</v>
      </c>
      <c r="BV75" s="326">
        <v>0</v>
      </c>
      <c r="BW75" s="326">
        <v>0</v>
      </c>
      <c r="BX75" s="326">
        <v>0</v>
      </c>
      <c r="BY75" s="326">
        <v>0</v>
      </c>
      <c r="BZ75" s="326">
        <v>0</v>
      </c>
      <c r="CA75" s="326">
        <v>0</v>
      </c>
      <c r="CB75" s="326">
        <v>0</v>
      </c>
      <c r="CC75" s="326">
        <v>0</v>
      </c>
      <c r="CD75" s="326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0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0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0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326">
        <v>0</v>
      </c>
      <c r="D77" s="326">
        <v>0</v>
      </c>
      <c r="E77" s="326">
        <v>0</v>
      </c>
      <c r="F77" s="326">
        <v>0</v>
      </c>
      <c r="G77" s="326">
        <v>0</v>
      </c>
      <c r="H77" s="326">
        <v>0</v>
      </c>
      <c r="I77" s="326">
        <v>0</v>
      </c>
      <c r="J77" s="326">
        <v>0</v>
      </c>
      <c r="K77" s="326">
        <v>0</v>
      </c>
      <c r="L77" s="326">
        <v>0</v>
      </c>
      <c r="M77" s="326">
        <v>0</v>
      </c>
      <c r="N77" s="326">
        <v>0</v>
      </c>
      <c r="O77" s="326">
        <v>0</v>
      </c>
      <c r="P77" s="326">
        <v>0</v>
      </c>
      <c r="Q77" s="326">
        <v>0</v>
      </c>
      <c r="R77" s="326">
        <v>0</v>
      </c>
      <c r="S77" s="326">
        <v>0</v>
      </c>
      <c r="T77" s="326">
        <v>0</v>
      </c>
      <c r="U77" s="326">
        <v>0</v>
      </c>
      <c r="V77" s="326">
        <v>0</v>
      </c>
      <c r="W77" s="326">
        <v>0</v>
      </c>
      <c r="X77" s="326">
        <v>0</v>
      </c>
      <c r="Y77" s="326">
        <v>0</v>
      </c>
      <c r="Z77" s="326">
        <v>0</v>
      </c>
      <c r="AA77" s="326">
        <v>0</v>
      </c>
      <c r="AB77" s="326">
        <v>0</v>
      </c>
      <c r="AC77" s="326">
        <v>0</v>
      </c>
      <c r="AD77" s="326">
        <v>0</v>
      </c>
      <c r="AE77" s="326">
        <v>0</v>
      </c>
      <c r="AF77" s="326">
        <v>0</v>
      </c>
      <c r="AG77" s="326">
        <v>0</v>
      </c>
      <c r="AH77" s="326">
        <v>0</v>
      </c>
      <c r="AI77" s="326">
        <v>0</v>
      </c>
      <c r="AJ77" s="326">
        <v>0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0</v>
      </c>
      <c r="AQ77" s="326">
        <v>0</v>
      </c>
      <c r="AR77" s="326">
        <v>0</v>
      </c>
      <c r="AS77" s="326">
        <v>0</v>
      </c>
      <c r="AT77" s="326">
        <v>0</v>
      </c>
      <c r="AU77" s="326">
        <v>0</v>
      </c>
      <c r="AV77" s="326">
        <v>0</v>
      </c>
      <c r="AW77" s="326">
        <v>0</v>
      </c>
      <c r="AX77" s="326">
        <v>0</v>
      </c>
      <c r="AY77" s="326">
        <v>0</v>
      </c>
      <c r="AZ77" s="326">
        <v>0</v>
      </c>
      <c r="BA77" s="326">
        <v>0</v>
      </c>
      <c r="BB77" s="326">
        <v>0</v>
      </c>
      <c r="BC77" s="326">
        <v>0</v>
      </c>
      <c r="BD77" s="326">
        <v>0</v>
      </c>
      <c r="BE77" s="326">
        <v>0</v>
      </c>
      <c r="BF77" s="326">
        <v>0</v>
      </c>
      <c r="BG77" s="326">
        <v>0</v>
      </c>
      <c r="BH77" s="326">
        <v>0</v>
      </c>
      <c r="BI77" s="326">
        <v>0</v>
      </c>
      <c r="BJ77" s="326">
        <v>0</v>
      </c>
      <c r="BK77" s="326">
        <v>0</v>
      </c>
      <c r="BL77" s="326">
        <v>0</v>
      </c>
      <c r="BM77" s="326">
        <v>0</v>
      </c>
      <c r="BN77" s="326">
        <v>0</v>
      </c>
      <c r="BO77" s="326">
        <v>0</v>
      </c>
      <c r="BP77" s="326">
        <v>0</v>
      </c>
      <c r="BQ77" s="326">
        <v>0</v>
      </c>
      <c r="BR77" s="326">
        <v>0</v>
      </c>
      <c r="BS77" s="326">
        <v>0</v>
      </c>
      <c r="BT77" s="326">
        <v>0</v>
      </c>
      <c r="BU77" s="326">
        <v>0</v>
      </c>
      <c r="BV77" s="326">
        <v>0</v>
      </c>
      <c r="BW77" s="326">
        <v>0</v>
      </c>
      <c r="BX77" s="326">
        <v>0</v>
      </c>
      <c r="BY77" s="326">
        <v>0</v>
      </c>
      <c r="BZ77" s="326">
        <v>0</v>
      </c>
      <c r="CA77" s="326">
        <v>0</v>
      </c>
      <c r="CB77" s="326">
        <v>0</v>
      </c>
      <c r="CC77" s="326">
        <v>0</v>
      </c>
      <c r="CD77" s="326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0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0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0</v>
      </c>
      <c r="BO79" s="326">
        <v>0</v>
      </c>
      <c r="BP79" s="326">
        <v>0</v>
      </c>
      <c r="BQ79" s="326">
        <v>0</v>
      </c>
      <c r="BR79" s="326">
        <v>0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326">
        <v>0</v>
      </c>
      <c r="D80" s="326">
        <v>0</v>
      </c>
      <c r="E80" s="326">
        <v>0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v>0</v>
      </c>
      <c r="P80" s="326">
        <v>0</v>
      </c>
      <c r="Q80" s="326">
        <v>0</v>
      </c>
      <c r="R80" s="326">
        <v>0</v>
      </c>
      <c r="S80" s="326">
        <v>0</v>
      </c>
      <c r="T80" s="326">
        <v>0</v>
      </c>
      <c r="U80" s="326">
        <v>0</v>
      </c>
      <c r="V80" s="326">
        <v>0</v>
      </c>
      <c r="W80" s="326">
        <v>0</v>
      </c>
      <c r="X80" s="326">
        <v>0</v>
      </c>
      <c r="Y80" s="326">
        <v>0</v>
      </c>
      <c r="Z80" s="326">
        <v>0</v>
      </c>
      <c r="AA80" s="326">
        <v>0</v>
      </c>
      <c r="AB80" s="326">
        <v>0</v>
      </c>
      <c r="AC80" s="326">
        <v>0</v>
      </c>
      <c r="AD80" s="326">
        <v>0</v>
      </c>
      <c r="AE80" s="326">
        <v>0</v>
      </c>
      <c r="AF80" s="326">
        <v>0</v>
      </c>
      <c r="AG80" s="326">
        <v>0</v>
      </c>
      <c r="AH80" s="326">
        <v>0</v>
      </c>
      <c r="AI80" s="326">
        <v>0</v>
      </c>
      <c r="AJ80" s="326">
        <v>0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v>0</v>
      </c>
      <c r="AQ80" s="326">
        <v>0</v>
      </c>
      <c r="AR80" s="326">
        <v>0</v>
      </c>
      <c r="AS80" s="326">
        <v>0</v>
      </c>
      <c r="AT80" s="326">
        <v>0</v>
      </c>
      <c r="AU80" s="326">
        <v>0</v>
      </c>
      <c r="AV80" s="326">
        <v>0</v>
      </c>
      <c r="AW80" s="326">
        <v>0</v>
      </c>
      <c r="AX80" s="326">
        <v>0</v>
      </c>
      <c r="AY80" s="326">
        <v>0</v>
      </c>
      <c r="AZ80" s="326">
        <v>0</v>
      </c>
      <c r="BA80" s="326">
        <v>0</v>
      </c>
      <c r="BB80" s="326">
        <v>0</v>
      </c>
      <c r="BC80" s="326">
        <v>0</v>
      </c>
      <c r="BD80" s="326">
        <v>0</v>
      </c>
      <c r="BE80" s="326">
        <v>0</v>
      </c>
      <c r="BF80" s="326">
        <v>0</v>
      </c>
      <c r="BG80" s="326">
        <v>0</v>
      </c>
      <c r="BH80" s="326">
        <v>0</v>
      </c>
      <c r="BI80" s="326">
        <v>0</v>
      </c>
      <c r="BJ80" s="326">
        <v>0</v>
      </c>
      <c r="BK80" s="326">
        <v>0</v>
      </c>
      <c r="BL80" s="326">
        <v>0</v>
      </c>
      <c r="BM80" s="326">
        <v>0</v>
      </c>
      <c r="BN80" s="326">
        <v>0</v>
      </c>
      <c r="BO80" s="326">
        <v>0</v>
      </c>
      <c r="BP80" s="326">
        <v>0</v>
      </c>
      <c r="BQ80" s="326">
        <v>0</v>
      </c>
      <c r="BR80" s="326">
        <v>0</v>
      </c>
      <c r="BS80" s="326">
        <v>0</v>
      </c>
      <c r="BT80" s="326">
        <v>0</v>
      </c>
      <c r="BU80" s="326">
        <v>0</v>
      </c>
      <c r="BV80" s="326">
        <v>0</v>
      </c>
      <c r="BW80" s="326">
        <v>0</v>
      </c>
      <c r="BX80" s="326">
        <v>0</v>
      </c>
      <c r="BY80" s="326">
        <v>0</v>
      </c>
      <c r="BZ80" s="326">
        <v>0</v>
      </c>
      <c r="CA80" s="326">
        <v>0</v>
      </c>
      <c r="CB80" s="326">
        <v>0</v>
      </c>
      <c r="CC80" s="326">
        <v>0</v>
      </c>
      <c r="CD80" s="326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326">
        <v>0</v>
      </c>
      <c r="Q81" s="326">
        <v>0</v>
      </c>
      <c r="R81" s="326">
        <v>0</v>
      </c>
      <c r="S81" s="326">
        <v>0</v>
      </c>
      <c r="T81" s="326">
        <v>0</v>
      </c>
      <c r="U81" s="326">
        <v>0</v>
      </c>
      <c r="V81" s="326">
        <v>0</v>
      </c>
      <c r="W81" s="326">
        <v>0</v>
      </c>
      <c r="X81" s="326">
        <v>0</v>
      </c>
      <c r="Y81" s="326">
        <v>0</v>
      </c>
      <c r="Z81" s="326">
        <v>0</v>
      </c>
      <c r="AA81" s="326">
        <v>0</v>
      </c>
      <c r="AB81" s="326">
        <v>0</v>
      </c>
      <c r="AC81" s="326">
        <v>0</v>
      </c>
      <c r="AD81" s="326">
        <v>0</v>
      </c>
      <c r="AE81" s="326">
        <v>0</v>
      </c>
      <c r="AF81" s="326">
        <v>0</v>
      </c>
      <c r="AG81" s="326">
        <v>0</v>
      </c>
      <c r="AH81" s="326">
        <v>0</v>
      </c>
      <c r="AI81" s="326">
        <v>0</v>
      </c>
      <c r="AJ81" s="326">
        <v>0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0</v>
      </c>
      <c r="AQ81" s="326">
        <v>0</v>
      </c>
      <c r="AR81" s="326">
        <v>0</v>
      </c>
      <c r="AS81" s="326">
        <v>0</v>
      </c>
      <c r="AT81" s="326">
        <v>0</v>
      </c>
      <c r="AU81" s="326">
        <v>0</v>
      </c>
      <c r="AV81" s="326">
        <v>0</v>
      </c>
      <c r="AW81" s="326">
        <v>0</v>
      </c>
      <c r="AX81" s="326">
        <v>0</v>
      </c>
      <c r="AY81" s="326">
        <v>0</v>
      </c>
      <c r="AZ81" s="326">
        <v>0</v>
      </c>
      <c r="BA81" s="326">
        <v>0</v>
      </c>
      <c r="BB81" s="326">
        <v>0</v>
      </c>
      <c r="BC81" s="326">
        <v>0</v>
      </c>
      <c r="BD81" s="326">
        <v>0</v>
      </c>
      <c r="BE81" s="326">
        <v>0</v>
      </c>
      <c r="BF81" s="326">
        <v>0</v>
      </c>
      <c r="BG81" s="326">
        <v>0</v>
      </c>
      <c r="BH81" s="326">
        <v>0</v>
      </c>
      <c r="BI81" s="326">
        <v>0</v>
      </c>
      <c r="BJ81" s="326">
        <v>0</v>
      </c>
      <c r="BK81" s="326">
        <v>0</v>
      </c>
      <c r="BL81" s="326">
        <v>0</v>
      </c>
      <c r="BM81" s="326">
        <v>0</v>
      </c>
      <c r="BN81" s="326">
        <v>0</v>
      </c>
      <c r="BO81" s="326">
        <v>0</v>
      </c>
      <c r="BP81" s="326">
        <v>0</v>
      </c>
      <c r="BQ81" s="326">
        <v>0</v>
      </c>
      <c r="BR81" s="326">
        <v>0</v>
      </c>
      <c r="BS81" s="326">
        <v>0</v>
      </c>
      <c r="BT81" s="326">
        <v>0</v>
      </c>
      <c r="BU81" s="326">
        <v>0</v>
      </c>
      <c r="BV81" s="326">
        <v>0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326">
        <v>0</v>
      </c>
      <c r="D82" s="326">
        <v>0</v>
      </c>
      <c r="E82" s="326">
        <v>0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326">
        <v>0</v>
      </c>
      <c r="Q82" s="326">
        <v>0</v>
      </c>
      <c r="R82" s="326">
        <v>0</v>
      </c>
      <c r="S82" s="326">
        <v>0</v>
      </c>
      <c r="T82" s="326">
        <v>0</v>
      </c>
      <c r="U82" s="326">
        <v>0</v>
      </c>
      <c r="V82" s="326">
        <v>0</v>
      </c>
      <c r="W82" s="326">
        <v>0</v>
      </c>
      <c r="X82" s="326">
        <v>0</v>
      </c>
      <c r="Y82" s="326">
        <v>0</v>
      </c>
      <c r="Z82" s="326">
        <v>0</v>
      </c>
      <c r="AA82" s="326">
        <v>0</v>
      </c>
      <c r="AB82" s="326">
        <v>0</v>
      </c>
      <c r="AC82" s="326">
        <v>0</v>
      </c>
      <c r="AD82" s="326">
        <v>0</v>
      </c>
      <c r="AE82" s="326">
        <v>0</v>
      </c>
      <c r="AF82" s="326">
        <v>0</v>
      </c>
      <c r="AG82" s="326">
        <v>0</v>
      </c>
      <c r="AH82" s="326">
        <v>0</v>
      </c>
      <c r="AI82" s="326">
        <v>0</v>
      </c>
      <c r="AJ82" s="326">
        <v>0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0</v>
      </c>
      <c r="AV82" s="326">
        <v>0</v>
      </c>
      <c r="AW82" s="326">
        <v>0</v>
      </c>
      <c r="AX82" s="326">
        <v>0</v>
      </c>
      <c r="AY82" s="326">
        <v>0</v>
      </c>
      <c r="AZ82" s="326">
        <v>0</v>
      </c>
      <c r="BA82" s="326">
        <v>0</v>
      </c>
      <c r="BB82" s="326">
        <v>0</v>
      </c>
      <c r="BC82" s="326">
        <v>0</v>
      </c>
      <c r="BD82" s="326">
        <v>0</v>
      </c>
      <c r="BE82" s="326">
        <v>0</v>
      </c>
      <c r="BF82" s="326">
        <v>0</v>
      </c>
      <c r="BG82" s="326">
        <v>0</v>
      </c>
      <c r="BH82" s="326">
        <v>0</v>
      </c>
      <c r="BI82" s="326">
        <v>0</v>
      </c>
      <c r="BJ82" s="326">
        <v>0</v>
      </c>
      <c r="BK82" s="326">
        <v>0</v>
      </c>
      <c r="BL82" s="326">
        <v>0</v>
      </c>
      <c r="BM82" s="326">
        <v>0</v>
      </c>
      <c r="BN82" s="326">
        <v>0</v>
      </c>
      <c r="BO82" s="326">
        <v>0</v>
      </c>
      <c r="BP82" s="326">
        <v>0</v>
      </c>
      <c r="BQ82" s="326">
        <v>0</v>
      </c>
      <c r="BR82" s="326">
        <v>0</v>
      </c>
      <c r="BS82" s="326">
        <v>0</v>
      </c>
      <c r="BT82" s="326">
        <v>0</v>
      </c>
      <c r="BU82" s="326">
        <v>0</v>
      </c>
      <c r="BV82" s="326">
        <v>0</v>
      </c>
      <c r="BW82" s="326">
        <v>0</v>
      </c>
      <c r="BX82" s="326">
        <v>0</v>
      </c>
      <c r="BY82" s="326">
        <v>0</v>
      </c>
      <c r="BZ82" s="326">
        <v>0</v>
      </c>
      <c r="CA82" s="326">
        <v>0</v>
      </c>
      <c r="CB82" s="326">
        <v>0</v>
      </c>
      <c r="CC82" s="326">
        <v>0</v>
      </c>
      <c r="CD82" s="326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6">
        <v>72711.73</v>
      </c>
      <c r="D83" s="316">
        <v>287852.09999999998</v>
      </c>
      <c r="E83" s="318">
        <v>12128.45</v>
      </c>
      <c r="F83" s="318">
        <v>0</v>
      </c>
      <c r="G83" s="316">
        <v>40566.620000000003</v>
      </c>
      <c r="H83" s="316">
        <v>145403.44</v>
      </c>
      <c r="I83" s="318">
        <v>0</v>
      </c>
      <c r="J83" s="318">
        <v>0</v>
      </c>
      <c r="K83" s="318">
        <v>0</v>
      </c>
      <c r="L83" s="318">
        <v>0</v>
      </c>
      <c r="M83" s="316">
        <v>0</v>
      </c>
      <c r="N83" s="316">
        <v>0</v>
      </c>
      <c r="O83" s="316">
        <v>0</v>
      </c>
      <c r="P83" s="318">
        <v>8168.97</v>
      </c>
      <c r="Q83" s="318">
        <v>26003.3</v>
      </c>
      <c r="R83" s="319">
        <v>4909.8900000000003</v>
      </c>
      <c r="S83" s="318">
        <v>1194516.9099999999</v>
      </c>
      <c r="T83" s="316">
        <v>0</v>
      </c>
      <c r="U83" s="318">
        <v>119795.99</v>
      </c>
      <c r="V83" s="318">
        <v>19780.27</v>
      </c>
      <c r="W83" s="316">
        <v>0</v>
      </c>
      <c r="X83" s="318">
        <v>16109.23</v>
      </c>
      <c r="Y83" s="318">
        <v>14657.35</v>
      </c>
      <c r="Z83" s="318">
        <v>10107.43</v>
      </c>
      <c r="AA83" s="318">
        <v>494.54</v>
      </c>
      <c r="AB83" s="318">
        <v>367809.99</v>
      </c>
      <c r="AC83" s="318">
        <v>11590.25</v>
      </c>
      <c r="AD83" s="318">
        <v>0</v>
      </c>
      <c r="AE83" s="318">
        <v>1195.08</v>
      </c>
      <c r="AF83" s="318">
        <v>95461.69</v>
      </c>
      <c r="AG83" s="318">
        <v>179198.34</v>
      </c>
      <c r="AH83" s="318">
        <v>0</v>
      </c>
      <c r="AI83" s="318">
        <v>0</v>
      </c>
      <c r="AJ83" s="318">
        <v>230998.33</v>
      </c>
      <c r="AK83" s="318">
        <v>4301.03</v>
      </c>
      <c r="AL83" s="318">
        <v>0</v>
      </c>
      <c r="AM83" s="318">
        <v>0</v>
      </c>
      <c r="AN83" s="318">
        <v>0</v>
      </c>
      <c r="AO83" s="316">
        <v>0</v>
      </c>
      <c r="AP83" s="318">
        <v>0</v>
      </c>
      <c r="AQ83" s="316">
        <v>0</v>
      </c>
      <c r="AR83" s="316">
        <v>0</v>
      </c>
      <c r="AS83" s="316">
        <v>0</v>
      </c>
      <c r="AT83" s="316">
        <v>0</v>
      </c>
      <c r="AU83" s="318">
        <v>2606.83</v>
      </c>
      <c r="AV83" s="318">
        <v>-197651.43</v>
      </c>
      <c r="AW83" s="318">
        <v>19042</v>
      </c>
      <c r="AX83" s="318">
        <v>0</v>
      </c>
      <c r="AY83" s="318">
        <v>-754797.58</v>
      </c>
      <c r="AZ83" s="318">
        <v>0</v>
      </c>
      <c r="BA83" s="318">
        <v>0</v>
      </c>
      <c r="BB83" s="318">
        <v>145360.28</v>
      </c>
      <c r="BC83" s="318">
        <v>0</v>
      </c>
      <c r="BD83" s="318">
        <v>0</v>
      </c>
      <c r="BE83" s="318">
        <v>83642.64</v>
      </c>
      <c r="BF83" s="318">
        <v>5270.27</v>
      </c>
      <c r="BG83" s="318">
        <v>0</v>
      </c>
      <c r="BH83" s="319">
        <v>47952.67</v>
      </c>
      <c r="BI83" s="318">
        <v>11255.36</v>
      </c>
      <c r="BJ83" s="318">
        <v>0</v>
      </c>
      <c r="BK83" s="318">
        <v>-1696.21</v>
      </c>
      <c r="BL83" s="318">
        <v>0</v>
      </c>
      <c r="BM83" s="318">
        <v>0</v>
      </c>
      <c r="BN83" s="318">
        <v>914045.19</v>
      </c>
      <c r="BO83" s="318">
        <v>108.89</v>
      </c>
      <c r="BP83" s="318">
        <v>0</v>
      </c>
      <c r="BQ83" s="318">
        <v>0</v>
      </c>
      <c r="BR83" s="318">
        <v>0</v>
      </c>
      <c r="BS83" s="318">
        <v>1864.68</v>
      </c>
      <c r="BT83" s="318">
        <v>11860.13</v>
      </c>
      <c r="BU83" s="318">
        <v>0</v>
      </c>
      <c r="BV83" s="318">
        <v>0</v>
      </c>
      <c r="BW83" s="318">
        <v>35932</v>
      </c>
      <c r="BX83" s="318">
        <v>805203.39</v>
      </c>
      <c r="BY83" s="318">
        <v>56739.33</v>
      </c>
      <c r="BZ83" s="318">
        <v>-545</v>
      </c>
      <c r="CA83" s="318">
        <v>1096249.76</v>
      </c>
      <c r="CB83" s="318">
        <v>51832.38</v>
      </c>
      <c r="CC83" s="318">
        <v>27239.57</v>
      </c>
      <c r="CD83" s="326">
        <v>11166833.84</v>
      </c>
      <c r="CE83" s="28">
        <f t="shared" si="16"/>
        <v>16392109.92</v>
      </c>
    </row>
    <row r="84" spans="1:84" x14ac:dyDescent="0.25">
      <c r="A84" s="35" t="s">
        <v>284</v>
      </c>
      <c r="B84" s="16"/>
      <c r="C84" s="316">
        <v>2106.15</v>
      </c>
      <c r="D84" s="316">
        <v>0</v>
      </c>
      <c r="E84" s="316">
        <v>0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0</v>
      </c>
      <c r="M84" s="316">
        <v>0</v>
      </c>
      <c r="N84" s="316">
        <v>290114.65000000002</v>
      </c>
      <c r="O84" s="316">
        <v>0</v>
      </c>
      <c r="P84" s="316">
        <v>0</v>
      </c>
      <c r="Q84" s="316">
        <v>0</v>
      </c>
      <c r="R84" s="316">
        <v>0</v>
      </c>
      <c r="S84" s="316">
        <v>0</v>
      </c>
      <c r="T84" s="316">
        <v>0</v>
      </c>
      <c r="U84" s="316">
        <v>115222.25</v>
      </c>
      <c r="V84" s="316">
        <v>313.7</v>
      </c>
      <c r="W84" s="316">
        <v>0</v>
      </c>
      <c r="X84" s="316">
        <v>0</v>
      </c>
      <c r="Y84" s="316">
        <v>31160.6</v>
      </c>
      <c r="Z84" s="316">
        <v>0</v>
      </c>
      <c r="AA84" s="316">
        <v>0</v>
      </c>
      <c r="AB84" s="316">
        <v>39220691.840000004</v>
      </c>
      <c r="AC84" s="316">
        <v>5748.35</v>
      </c>
      <c r="AD84" s="316">
        <v>0</v>
      </c>
      <c r="AE84" s="316">
        <v>0</v>
      </c>
      <c r="AF84" s="316">
        <v>7140205.2800000003</v>
      </c>
      <c r="AG84" s="316">
        <v>298653.99</v>
      </c>
      <c r="AH84" s="316">
        <v>0</v>
      </c>
      <c r="AI84" s="316">
        <v>0</v>
      </c>
      <c r="AJ84" s="316">
        <v>19594261.870000001</v>
      </c>
      <c r="AK84" s="316">
        <v>402385.64</v>
      </c>
      <c r="AL84" s="316">
        <v>0</v>
      </c>
      <c r="AM84" s="316">
        <v>0</v>
      </c>
      <c r="AN84" s="316">
        <v>0</v>
      </c>
      <c r="AO84" s="316">
        <v>0</v>
      </c>
      <c r="AP84" s="316">
        <v>0</v>
      </c>
      <c r="AQ84" s="316">
        <v>0</v>
      </c>
      <c r="AR84" s="316">
        <v>0</v>
      </c>
      <c r="AS84" s="316">
        <v>0</v>
      </c>
      <c r="AT84" s="316">
        <v>0</v>
      </c>
      <c r="AU84" s="316">
        <v>1067875.56</v>
      </c>
      <c r="AV84" s="316">
        <v>6407448.1600000001</v>
      </c>
      <c r="AW84" s="316">
        <v>0</v>
      </c>
      <c r="AX84" s="316">
        <v>0</v>
      </c>
      <c r="AY84" s="316">
        <v>4387596.7</v>
      </c>
      <c r="AZ84" s="316">
        <v>0</v>
      </c>
      <c r="BA84" s="316">
        <v>0</v>
      </c>
      <c r="BB84" s="316">
        <v>2453884.9700000002</v>
      </c>
      <c r="BC84" s="316">
        <v>0</v>
      </c>
      <c r="BD84" s="316">
        <v>0</v>
      </c>
      <c r="BE84" s="316">
        <v>173267.88</v>
      </c>
      <c r="BF84" s="316">
        <v>305.10000000000002</v>
      </c>
      <c r="BG84" s="316">
        <v>0</v>
      </c>
      <c r="BH84" s="316">
        <v>6451238.7400000002</v>
      </c>
      <c r="BI84" s="316">
        <v>878004.27</v>
      </c>
      <c r="BJ84" s="316">
        <v>0</v>
      </c>
      <c r="BK84" s="316">
        <v>205716.01</v>
      </c>
      <c r="BL84" s="316">
        <v>0</v>
      </c>
      <c r="BM84" s="316">
        <v>0</v>
      </c>
      <c r="BN84" s="316">
        <v>-38250</v>
      </c>
      <c r="BO84" s="316">
        <v>0</v>
      </c>
      <c r="BP84" s="316">
        <v>0</v>
      </c>
      <c r="BQ84" s="316">
        <v>0</v>
      </c>
      <c r="BR84" s="316">
        <v>0</v>
      </c>
      <c r="BS84" s="316">
        <v>25775.73</v>
      </c>
      <c r="BT84" s="316">
        <v>0</v>
      </c>
      <c r="BU84" s="316">
        <v>0</v>
      </c>
      <c r="BV84" s="316">
        <v>0</v>
      </c>
      <c r="BW84" s="316">
        <v>0</v>
      </c>
      <c r="BX84" s="316">
        <v>309650.33</v>
      </c>
      <c r="BY84" s="316">
        <v>838.2</v>
      </c>
      <c r="BZ84" s="316">
        <v>0</v>
      </c>
      <c r="CA84" s="316">
        <v>71568.039999999994</v>
      </c>
      <c r="CB84" s="316">
        <v>181305.45</v>
      </c>
      <c r="CC84" s="316">
        <v>20726211.760000002</v>
      </c>
      <c r="CD84" s="326">
        <v>-3460024.8</v>
      </c>
      <c r="CE84" s="28">
        <f t="shared" si="16"/>
        <v>106943276.42000002</v>
      </c>
    </row>
    <row r="85" spans="1:84" x14ac:dyDescent="0.25">
      <c r="A85" s="35" t="s">
        <v>285</v>
      </c>
      <c r="B85" s="28"/>
      <c r="C85" s="28">
        <f t="shared" ref="C85:AH85" si="17">SUM(C61:C69)-C84</f>
        <v>71427697.960000008</v>
      </c>
      <c r="D85" s="28">
        <f t="shared" si="17"/>
        <v>117252345.25999999</v>
      </c>
      <c r="E85" s="28">
        <f t="shared" si="17"/>
        <v>8433400.1500000004</v>
      </c>
      <c r="F85" s="28">
        <f t="shared" si="17"/>
        <v>0</v>
      </c>
      <c r="G85" s="28">
        <f t="shared" si="17"/>
        <v>12562003.479999999</v>
      </c>
      <c r="H85" s="28">
        <f t="shared" si="17"/>
        <v>18974245.010000002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189484.79999999993</v>
      </c>
      <c r="O85" s="28">
        <f t="shared" si="17"/>
        <v>0</v>
      </c>
      <c r="P85" s="28">
        <f t="shared" si="17"/>
        <v>87519555.729999989</v>
      </c>
      <c r="Q85" s="28">
        <f t="shared" si="17"/>
        <v>13778339.370000001</v>
      </c>
      <c r="R85" s="28">
        <f t="shared" si="17"/>
        <v>16852059.420000002</v>
      </c>
      <c r="S85" s="28">
        <f t="shared" si="17"/>
        <v>15869888.630000001</v>
      </c>
      <c r="T85" s="28">
        <f t="shared" si="17"/>
        <v>0</v>
      </c>
      <c r="U85" s="28">
        <f t="shared" si="17"/>
        <v>38386963.310000002</v>
      </c>
      <c r="V85" s="28">
        <f t="shared" si="17"/>
        <v>12218899.5</v>
      </c>
      <c r="W85" s="28">
        <f t="shared" si="17"/>
        <v>2900073.79</v>
      </c>
      <c r="X85" s="28">
        <f t="shared" si="17"/>
        <v>6482918.7300000004</v>
      </c>
      <c r="Y85" s="28">
        <f t="shared" si="17"/>
        <v>33357143.82</v>
      </c>
      <c r="Z85" s="28">
        <f t="shared" si="17"/>
        <v>1982665.51</v>
      </c>
      <c r="AA85" s="28">
        <f t="shared" si="17"/>
        <v>1144103.6900000002</v>
      </c>
      <c r="AB85" s="28">
        <f t="shared" si="17"/>
        <v>108283684.64000002</v>
      </c>
      <c r="AC85" s="28">
        <f t="shared" si="17"/>
        <v>13598331.590000002</v>
      </c>
      <c r="AD85" s="28">
        <f t="shared" si="17"/>
        <v>2255813.15</v>
      </c>
      <c r="AE85" s="28">
        <f t="shared" si="17"/>
        <v>13057999.68</v>
      </c>
      <c r="AF85" s="28">
        <f t="shared" si="17"/>
        <v>4127303.63</v>
      </c>
      <c r="AG85" s="28">
        <f t="shared" si="17"/>
        <v>43242845.120000005</v>
      </c>
      <c r="AH85" s="28">
        <f t="shared" si="17"/>
        <v>125297.67</v>
      </c>
      <c r="AI85" s="28">
        <f t="shared" ref="AI85:BN85" si="18">SUM(AI61:AI69)-AI84</f>
        <v>0</v>
      </c>
      <c r="AJ85" s="28">
        <f t="shared" si="18"/>
        <v>89944367.269999981</v>
      </c>
      <c r="AK85" s="28">
        <f t="shared" si="18"/>
        <v>4273863.7700000005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184690.58999999985</v>
      </c>
      <c r="AV85" s="28">
        <f t="shared" si="18"/>
        <v>7668967.4400000013</v>
      </c>
      <c r="AW85" s="28">
        <f t="shared" si="18"/>
        <v>34196968.350000001</v>
      </c>
      <c r="AX85" s="28">
        <f t="shared" si="18"/>
        <v>0</v>
      </c>
      <c r="AY85" s="28">
        <f t="shared" si="18"/>
        <v>13408477.670000002</v>
      </c>
      <c r="AZ85" s="28">
        <f t="shared" si="18"/>
        <v>0</v>
      </c>
      <c r="BA85" s="28">
        <f t="shared" si="18"/>
        <v>1245824.9000000001</v>
      </c>
      <c r="BB85" s="28">
        <f t="shared" si="18"/>
        <v>21461010.760000002</v>
      </c>
      <c r="BC85" s="28">
        <f t="shared" si="18"/>
        <v>0</v>
      </c>
      <c r="BD85" s="28">
        <f t="shared" si="18"/>
        <v>3743388.14</v>
      </c>
      <c r="BE85" s="28">
        <f t="shared" si="18"/>
        <v>29986745.890000004</v>
      </c>
      <c r="BF85" s="28">
        <f t="shared" si="18"/>
        <v>19187364.729999993</v>
      </c>
      <c r="BG85" s="28">
        <f t="shared" si="18"/>
        <v>817583.99</v>
      </c>
      <c r="BH85" s="28">
        <f t="shared" si="18"/>
        <v>82151402.829999998</v>
      </c>
      <c r="BI85" s="28">
        <f t="shared" si="18"/>
        <v>154603.99000000011</v>
      </c>
      <c r="BJ85" s="28">
        <f t="shared" si="18"/>
        <v>12073696.24</v>
      </c>
      <c r="BK85" s="28">
        <f t="shared" si="18"/>
        <v>24769057.629999999</v>
      </c>
      <c r="BL85" s="28">
        <f t="shared" si="18"/>
        <v>6101694.7699999996</v>
      </c>
      <c r="BM85" s="28">
        <f t="shared" si="18"/>
        <v>513.66</v>
      </c>
      <c r="BN85" s="28">
        <f t="shared" si="18"/>
        <v>22503260.039999999</v>
      </c>
      <c r="BO85" s="28">
        <f t="shared" ref="BO85:CD85" si="19">SUM(BO61:BO69)-BO84</f>
        <v>1945447.17</v>
      </c>
      <c r="BP85" s="28">
        <f t="shared" si="19"/>
        <v>1238066.5899999999</v>
      </c>
      <c r="BQ85" s="28">
        <f t="shared" si="19"/>
        <v>0</v>
      </c>
      <c r="BR85" s="28">
        <f t="shared" si="19"/>
        <v>7690619.5599999996</v>
      </c>
      <c r="BS85" s="28">
        <f t="shared" si="19"/>
        <v>269898.83999999997</v>
      </c>
      <c r="BT85" s="28">
        <f t="shared" si="19"/>
        <v>850967.32000000007</v>
      </c>
      <c r="BU85" s="28">
        <f t="shared" si="19"/>
        <v>0</v>
      </c>
      <c r="BV85" s="28">
        <f t="shared" si="19"/>
        <v>7013372.4199999999</v>
      </c>
      <c r="BW85" s="28">
        <f t="shared" si="19"/>
        <v>72507418.5</v>
      </c>
      <c r="BX85" s="28">
        <f t="shared" si="19"/>
        <v>10727564.719999999</v>
      </c>
      <c r="BY85" s="28">
        <f t="shared" si="19"/>
        <v>17202536.030000001</v>
      </c>
      <c r="BZ85" s="28">
        <f t="shared" si="19"/>
        <v>12948075.310000001</v>
      </c>
      <c r="CA85" s="28">
        <f t="shared" si="19"/>
        <v>6143936.3200000003</v>
      </c>
      <c r="CB85" s="28">
        <f t="shared" si="19"/>
        <v>1154400.2999999998</v>
      </c>
      <c r="CC85" s="28">
        <f t="shared" si="19"/>
        <v>58550078.779999986</v>
      </c>
      <c r="CD85" s="28">
        <f t="shared" si="19"/>
        <v>14626858.640000001</v>
      </c>
      <c r="CE85" s="28">
        <f t="shared" si="16"/>
        <v>1230765786.7999997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6">
        <v>0</v>
      </c>
    </row>
    <row r="87" spans="1:84" x14ac:dyDescent="0.25">
      <c r="A87" s="22" t="s">
        <v>287</v>
      </c>
      <c r="B87" s="16"/>
      <c r="C87" s="316">
        <v>324909658.67000002</v>
      </c>
      <c r="D87" s="316">
        <v>320157244.38999999</v>
      </c>
      <c r="E87" s="316">
        <v>31930771.670000002</v>
      </c>
      <c r="F87" s="316">
        <v>0</v>
      </c>
      <c r="G87" s="316">
        <v>40471800.960000001</v>
      </c>
      <c r="H87" s="316">
        <v>72462790.659999996</v>
      </c>
      <c r="I87" s="316">
        <v>0</v>
      </c>
      <c r="J87" s="316">
        <v>0</v>
      </c>
      <c r="K87" s="316">
        <v>0</v>
      </c>
      <c r="L87" s="316">
        <v>0</v>
      </c>
      <c r="M87" s="316">
        <v>0</v>
      </c>
      <c r="N87" s="316">
        <v>0</v>
      </c>
      <c r="O87" s="316">
        <v>0</v>
      </c>
      <c r="P87" s="316">
        <v>537075936.13</v>
      </c>
      <c r="Q87" s="316">
        <v>14230919.32</v>
      </c>
      <c r="R87" s="316">
        <v>62672674.270000003</v>
      </c>
      <c r="S87" s="316">
        <v>0</v>
      </c>
      <c r="T87" s="316">
        <v>0</v>
      </c>
      <c r="U87" s="316">
        <v>128832432.15000001</v>
      </c>
      <c r="V87" s="316">
        <v>57036203.399999999</v>
      </c>
      <c r="W87" s="316">
        <v>14276735.59</v>
      </c>
      <c r="X87" s="316">
        <v>119102526.17</v>
      </c>
      <c r="Y87" s="316">
        <v>102594721.98</v>
      </c>
      <c r="Z87" s="316">
        <v>79432.679999999993</v>
      </c>
      <c r="AA87" s="316">
        <v>1137587.3600000001</v>
      </c>
      <c r="AB87" s="316">
        <v>163394570.88999999</v>
      </c>
      <c r="AC87" s="316">
        <v>20778528.460000001</v>
      </c>
      <c r="AD87" s="316">
        <v>12248080.66</v>
      </c>
      <c r="AE87" s="316">
        <v>25911614.239999998</v>
      </c>
      <c r="AF87" s="316">
        <v>61195.14</v>
      </c>
      <c r="AG87" s="316">
        <v>98438433.219999999</v>
      </c>
      <c r="AH87" s="316">
        <v>0</v>
      </c>
      <c r="AI87" s="316">
        <v>0</v>
      </c>
      <c r="AJ87" s="316">
        <v>10974627.35</v>
      </c>
      <c r="AK87" s="316">
        <v>15275120.609999999</v>
      </c>
      <c r="AL87" s="316">
        <v>0</v>
      </c>
      <c r="AM87" s="316">
        <v>0</v>
      </c>
      <c r="AN87" s="316">
        <v>0</v>
      </c>
      <c r="AO87" s="316">
        <v>0</v>
      </c>
      <c r="AP87" s="316">
        <v>0</v>
      </c>
      <c r="AQ87" s="316">
        <v>0</v>
      </c>
      <c r="AR87" s="316">
        <v>0</v>
      </c>
      <c r="AS87" s="316">
        <v>0</v>
      </c>
      <c r="AT87" s="316">
        <v>0</v>
      </c>
      <c r="AU87" s="316">
        <v>759</v>
      </c>
      <c r="AV87" s="316">
        <v>3494749.31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2177549114.2800002</v>
      </c>
    </row>
    <row r="88" spans="1:84" x14ac:dyDescent="0.25">
      <c r="A88" s="22" t="s">
        <v>288</v>
      </c>
      <c r="B88" s="16"/>
      <c r="C88" s="316">
        <v>1584674.3</v>
      </c>
      <c r="D88" s="316">
        <v>16859114.48</v>
      </c>
      <c r="E88" s="316">
        <v>2726999.25</v>
      </c>
      <c r="F88" s="316">
        <v>0</v>
      </c>
      <c r="G88" s="316">
        <v>402316.64</v>
      </c>
      <c r="H88" s="316">
        <v>163319.70000000001</v>
      </c>
      <c r="I88" s="316">
        <v>0</v>
      </c>
      <c r="J88" s="316">
        <v>0</v>
      </c>
      <c r="K88" s="316">
        <v>0</v>
      </c>
      <c r="L88" s="316">
        <v>0</v>
      </c>
      <c r="M88" s="316">
        <v>0</v>
      </c>
      <c r="N88" s="316">
        <v>0</v>
      </c>
      <c r="O88" s="316">
        <v>0</v>
      </c>
      <c r="P88" s="316">
        <v>188780384.03999999</v>
      </c>
      <c r="Q88" s="316">
        <v>12828409.619999999</v>
      </c>
      <c r="R88" s="316">
        <v>58945603.420000002</v>
      </c>
      <c r="S88" s="316">
        <v>0</v>
      </c>
      <c r="T88" s="316">
        <v>0</v>
      </c>
      <c r="U88" s="316">
        <v>105077513.31999999</v>
      </c>
      <c r="V88" s="316">
        <v>35412134.060000002</v>
      </c>
      <c r="W88" s="316">
        <v>24843897.940000001</v>
      </c>
      <c r="X88" s="316">
        <v>88486408.969999999</v>
      </c>
      <c r="Y88" s="316">
        <v>73682398.590000004</v>
      </c>
      <c r="Z88" s="316">
        <v>26990325.16</v>
      </c>
      <c r="AA88" s="316">
        <v>2507882.15</v>
      </c>
      <c r="AB88" s="316">
        <v>201525071.86000001</v>
      </c>
      <c r="AC88" s="316">
        <v>4296276.57</v>
      </c>
      <c r="AD88" s="316">
        <v>385208.96</v>
      </c>
      <c r="AE88" s="316">
        <v>9263930.9800000004</v>
      </c>
      <c r="AF88" s="316">
        <v>8988870.5700000003</v>
      </c>
      <c r="AG88" s="316">
        <v>166831453.38</v>
      </c>
      <c r="AH88" s="316">
        <v>0</v>
      </c>
      <c r="AI88" s="316">
        <v>0</v>
      </c>
      <c r="AJ88" s="316">
        <v>173260583.94999999</v>
      </c>
      <c r="AK88" s="316">
        <v>69581.05</v>
      </c>
      <c r="AL88" s="316">
        <v>0</v>
      </c>
      <c r="AM88" s="316">
        <v>0</v>
      </c>
      <c r="AN88" s="316">
        <v>0</v>
      </c>
      <c r="AO88" s="316">
        <v>0</v>
      </c>
      <c r="AP88" s="316">
        <v>0</v>
      </c>
      <c r="AQ88" s="316">
        <v>0</v>
      </c>
      <c r="AR88" s="316">
        <v>0</v>
      </c>
      <c r="AS88" s="316">
        <v>0</v>
      </c>
      <c r="AT88" s="316">
        <v>0</v>
      </c>
      <c r="AU88" s="316">
        <v>458664.23</v>
      </c>
      <c r="AV88" s="316">
        <v>1788246.66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1206159269.8500001</v>
      </c>
    </row>
    <row r="89" spans="1:84" x14ac:dyDescent="0.25">
      <c r="A89" s="22" t="s">
        <v>289</v>
      </c>
      <c r="B89" s="16"/>
      <c r="C89" s="28">
        <f t="shared" ref="C89:AV89" si="21">C87+C88</f>
        <v>326494332.97000003</v>
      </c>
      <c r="D89" s="28">
        <f t="shared" si="21"/>
        <v>337016358.87</v>
      </c>
      <c r="E89" s="28">
        <f t="shared" si="21"/>
        <v>34657770.920000002</v>
      </c>
      <c r="F89" s="28">
        <f t="shared" si="21"/>
        <v>0</v>
      </c>
      <c r="G89" s="28">
        <f t="shared" si="21"/>
        <v>40874117.600000001</v>
      </c>
      <c r="H89" s="28">
        <f t="shared" si="21"/>
        <v>72626110.359999999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725856320.16999996</v>
      </c>
      <c r="Q89" s="28">
        <f t="shared" si="21"/>
        <v>27059328.939999998</v>
      </c>
      <c r="R89" s="28">
        <f t="shared" si="21"/>
        <v>121618277.69</v>
      </c>
      <c r="S89" s="28">
        <f t="shared" si="21"/>
        <v>0</v>
      </c>
      <c r="T89" s="28">
        <f t="shared" si="21"/>
        <v>0</v>
      </c>
      <c r="U89" s="28">
        <f t="shared" si="21"/>
        <v>233909945.47</v>
      </c>
      <c r="V89" s="28">
        <f t="shared" si="21"/>
        <v>92448337.460000008</v>
      </c>
      <c r="W89" s="28">
        <f t="shared" si="21"/>
        <v>39120633.530000001</v>
      </c>
      <c r="X89" s="28">
        <f t="shared" si="21"/>
        <v>207588935.13999999</v>
      </c>
      <c r="Y89" s="28">
        <f t="shared" si="21"/>
        <v>176277120.56999999</v>
      </c>
      <c r="Z89" s="28">
        <f t="shared" si="21"/>
        <v>27069757.84</v>
      </c>
      <c r="AA89" s="28">
        <f t="shared" si="21"/>
        <v>3645469.51</v>
      </c>
      <c r="AB89" s="28">
        <f t="shared" si="21"/>
        <v>364919642.75</v>
      </c>
      <c r="AC89" s="28">
        <f t="shared" si="21"/>
        <v>25074805.030000001</v>
      </c>
      <c r="AD89" s="28">
        <f t="shared" si="21"/>
        <v>12633289.620000001</v>
      </c>
      <c r="AE89" s="28">
        <f t="shared" si="21"/>
        <v>35175545.219999999</v>
      </c>
      <c r="AF89" s="28">
        <f t="shared" si="21"/>
        <v>9050065.7100000009</v>
      </c>
      <c r="AG89" s="28">
        <f t="shared" si="21"/>
        <v>265269886.59999999</v>
      </c>
      <c r="AH89" s="28">
        <f t="shared" si="21"/>
        <v>0</v>
      </c>
      <c r="AI89" s="28">
        <f t="shared" si="21"/>
        <v>0</v>
      </c>
      <c r="AJ89" s="28">
        <f t="shared" si="21"/>
        <v>184235211.29999998</v>
      </c>
      <c r="AK89" s="28">
        <f t="shared" si="21"/>
        <v>15344701.66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459423.23</v>
      </c>
      <c r="AV89" s="28">
        <f t="shared" si="21"/>
        <v>5282995.97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3383708384.1300001</v>
      </c>
    </row>
    <row r="90" spans="1:84" x14ac:dyDescent="0.25">
      <c r="A90" s="35" t="s">
        <v>290</v>
      </c>
      <c r="B90" s="28"/>
      <c r="C90" s="316">
        <v>55295.859224047577</v>
      </c>
      <c r="D90" s="316">
        <v>106911.89484957345</v>
      </c>
      <c r="E90" s="316">
        <v>2686.8333333333335</v>
      </c>
      <c r="F90" s="316">
        <v>0</v>
      </c>
      <c r="G90" s="316">
        <v>12696</v>
      </c>
      <c r="H90" s="316">
        <v>32043.957269696693</v>
      </c>
      <c r="I90" s="316">
        <v>0</v>
      </c>
      <c r="J90" s="316">
        <v>0</v>
      </c>
      <c r="K90" s="316">
        <v>0</v>
      </c>
      <c r="L90" s="316">
        <v>0</v>
      </c>
      <c r="M90" s="316">
        <v>0</v>
      </c>
      <c r="N90" s="316">
        <v>0</v>
      </c>
      <c r="O90" s="316">
        <v>0</v>
      </c>
      <c r="P90" s="316">
        <v>51073.353503598992</v>
      </c>
      <c r="Q90" s="316">
        <v>14668.5</v>
      </c>
      <c r="R90" s="316">
        <v>7105</v>
      </c>
      <c r="S90" s="316">
        <v>40470</v>
      </c>
      <c r="T90" s="316">
        <v>0</v>
      </c>
      <c r="U90" s="316">
        <v>54685</v>
      </c>
      <c r="V90" s="316">
        <v>19816.333333333332</v>
      </c>
      <c r="W90" s="316">
        <v>2089</v>
      </c>
      <c r="X90" s="316">
        <v>2296</v>
      </c>
      <c r="Y90" s="316">
        <v>35980.5</v>
      </c>
      <c r="Z90" s="316">
        <v>2863</v>
      </c>
      <c r="AA90" s="316">
        <v>1694</v>
      </c>
      <c r="AB90" s="316">
        <v>22315.147144625178</v>
      </c>
      <c r="AC90" s="316">
        <v>3706</v>
      </c>
      <c r="AD90" s="316">
        <v>1602</v>
      </c>
      <c r="AE90" s="316">
        <v>13116.745103147954</v>
      </c>
      <c r="AF90" s="316">
        <v>16762.965295960406</v>
      </c>
      <c r="AG90" s="316">
        <v>26332</v>
      </c>
      <c r="AH90" s="316">
        <v>985</v>
      </c>
      <c r="AI90" s="316">
        <v>0</v>
      </c>
      <c r="AJ90" s="316">
        <v>295447.13832190912</v>
      </c>
      <c r="AK90" s="316">
        <v>6636.8012704384982</v>
      </c>
      <c r="AL90" s="316">
        <v>0</v>
      </c>
      <c r="AM90" s="316">
        <v>0</v>
      </c>
      <c r="AN90" s="316">
        <v>0</v>
      </c>
      <c r="AO90" s="316">
        <v>0</v>
      </c>
      <c r="AP90" s="316">
        <v>0</v>
      </c>
      <c r="AQ90" s="316">
        <v>0</v>
      </c>
      <c r="AR90" s="316">
        <v>0</v>
      </c>
      <c r="AS90" s="316">
        <v>0</v>
      </c>
      <c r="AT90" s="316">
        <v>0</v>
      </c>
      <c r="AU90" s="316">
        <v>0</v>
      </c>
      <c r="AV90" s="316">
        <v>3845</v>
      </c>
      <c r="AW90" s="316">
        <v>0</v>
      </c>
      <c r="AX90" s="316">
        <v>0</v>
      </c>
      <c r="AY90" s="316">
        <v>29757</v>
      </c>
      <c r="AZ90" s="316">
        <v>0</v>
      </c>
      <c r="BA90" s="316">
        <v>6263</v>
      </c>
      <c r="BB90" s="316">
        <v>8881</v>
      </c>
      <c r="BC90" s="316">
        <v>0</v>
      </c>
      <c r="BD90" s="316">
        <v>5247</v>
      </c>
      <c r="BE90" s="316">
        <v>230968</v>
      </c>
      <c r="BF90" s="316">
        <v>31772</v>
      </c>
      <c r="BG90" s="316">
        <v>8899</v>
      </c>
      <c r="BH90" s="316">
        <v>114056</v>
      </c>
      <c r="BI90" s="316">
        <v>29132.5</v>
      </c>
      <c r="BJ90" s="316">
        <v>6285</v>
      </c>
      <c r="BK90" s="316">
        <v>7475.8</v>
      </c>
      <c r="BL90" s="316">
        <v>2948.5</v>
      </c>
      <c r="BM90" s="316">
        <v>0</v>
      </c>
      <c r="BN90" s="316">
        <v>6254.666666666667</v>
      </c>
      <c r="BO90" s="316">
        <v>1460</v>
      </c>
      <c r="BP90" s="316">
        <v>1208.6666666666667</v>
      </c>
      <c r="BQ90" s="316">
        <v>0</v>
      </c>
      <c r="BR90" s="316">
        <v>7011.6666666666661</v>
      </c>
      <c r="BS90" s="316">
        <v>654</v>
      </c>
      <c r="BT90" s="316">
        <v>1057</v>
      </c>
      <c r="BU90" s="316">
        <v>0</v>
      </c>
      <c r="BV90" s="316">
        <v>27109</v>
      </c>
      <c r="BW90" s="316">
        <v>128460</v>
      </c>
      <c r="BX90" s="316">
        <v>9435.3333333333339</v>
      </c>
      <c r="BY90" s="316">
        <v>3634.5</v>
      </c>
      <c r="BZ90" s="316">
        <v>1806</v>
      </c>
      <c r="CA90" s="316">
        <v>17394.5</v>
      </c>
      <c r="CB90" s="316">
        <v>0</v>
      </c>
      <c r="CC90" s="316">
        <v>143136.16666666669</v>
      </c>
      <c r="CD90" s="234" t="s">
        <v>248</v>
      </c>
      <c r="CE90" s="28">
        <f t="shared" si="20"/>
        <v>1663430.3286496648</v>
      </c>
      <c r="CF90" s="28">
        <f>BE59-CE90</f>
        <v>-499555.32864966476</v>
      </c>
    </row>
    <row r="91" spans="1:84" x14ac:dyDescent="0.25">
      <c r="A91" s="22" t="s">
        <v>291</v>
      </c>
      <c r="B91" s="16"/>
      <c r="C91" s="316">
        <v>163991</v>
      </c>
      <c r="D91" s="316">
        <v>561274</v>
      </c>
      <c r="E91" s="316">
        <v>48663</v>
      </c>
      <c r="F91" s="316">
        <v>0</v>
      </c>
      <c r="G91" s="316">
        <v>63718</v>
      </c>
      <c r="H91" s="316">
        <v>128457</v>
      </c>
      <c r="I91" s="316">
        <v>0</v>
      </c>
      <c r="J91" s="316">
        <v>0</v>
      </c>
      <c r="K91" s="316">
        <v>0</v>
      </c>
      <c r="L91" s="316">
        <v>0</v>
      </c>
      <c r="M91" s="316">
        <v>0</v>
      </c>
      <c r="N91" s="316">
        <v>0</v>
      </c>
      <c r="O91" s="316">
        <v>0</v>
      </c>
      <c r="P91" s="316">
        <v>0</v>
      </c>
      <c r="Q91" s="316">
        <v>0</v>
      </c>
      <c r="R91" s="316">
        <v>0</v>
      </c>
      <c r="S91" s="316">
        <v>0</v>
      </c>
      <c r="T91" s="316">
        <v>0</v>
      </c>
      <c r="U91" s="316">
        <v>0</v>
      </c>
      <c r="V91" s="316">
        <v>0</v>
      </c>
      <c r="W91" s="316">
        <v>0</v>
      </c>
      <c r="X91" s="316">
        <v>0</v>
      </c>
      <c r="Y91" s="316">
        <v>0</v>
      </c>
      <c r="Z91" s="316">
        <v>0</v>
      </c>
      <c r="AA91" s="316">
        <v>0</v>
      </c>
      <c r="AB91" s="316">
        <v>0</v>
      </c>
      <c r="AC91" s="316">
        <v>0</v>
      </c>
      <c r="AD91" s="316">
        <v>0</v>
      </c>
      <c r="AE91" s="316">
        <v>0</v>
      </c>
      <c r="AF91" s="316">
        <v>0</v>
      </c>
      <c r="AG91" s="316">
        <v>0</v>
      </c>
      <c r="AH91" s="316">
        <v>0</v>
      </c>
      <c r="AI91" s="316">
        <v>0</v>
      </c>
      <c r="AJ91" s="316">
        <v>0</v>
      </c>
      <c r="AK91" s="316">
        <v>0</v>
      </c>
      <c r="AL91" s="316">
        <v>0</v>
      </c>
      <c r="AM91" s="316">
        <v>0</v>
      </c>
      <c r="AN91" s="316">
        <v>0</v>
      </c>
      <c r="AO91" s="316">
        <v>0</v>
      </c>
      <c r="AP91" s="316">
        <v>0</v>
      </c>
      <c r="AQ91" s="316">
        <v>0</v>
      </c>
      <c r="AR91" s="316">
        <v>0</v>
      </c>
      <c r="AS91" s="316">
        <v>0</v>
      </c>
      <c r="AT91" s="316">
        <v>0</v>
      </c>
      <c r="AU91" s="316">
        <v>0</v>
      </c>
      <c r="AV91" s="316">
        <v>0</v>
      </c>
      <c r="AW91" s="316">
        <v>0</v>
      </c>
      <c r="AX91" s="285" t="s">
        <v>248</v>
      </c>
      <c r="AY91" s="285" t="s">
        <v>248</v>
      </c>
      <c r="AZ91" s="316">
        <v>0</v>
      </c>
      <c r="BA91" s="316">
        <v>0</v>
      </c>
      <c r="BB91" s="316">
        <v>0</v>
      </c>
      <c r="BC91" s="316">
        <v>0</v>
      </c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>
        <v>0</v>
      </c>
      <c r="BL91" s="316">
        <v>0</v>
      </c>
      <c r="BM91" s="31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>
        <v>0</v>
      </c>
      <c r="BT91" s="316">
        <v>0</v>
      </c>
      <c r="BU91" s="316">
        <v>0</v>
      </c>
      <c r="BV91" s="316">
        <v>0</v>
      </c>
      <c r="BW91" s="316">
        <v>0</v>
      </c>
      <c r="BX91" s="316">
        <v>0</v>
      </c>
      <c r="BY91" s="316">
        <v>0</v>
      </c>
      <c r="BZ91" s="316">
        <v>0</v>
      </c>
      <c r="CA91" s="316">
        <v>0</v>
      </c>
      <c r="CB91" s="316">
        <v>0</v>
      </c>
      <c r="CC91" s="25" t="s">
        <v>248</v>
      </c>
      <c r="CD91" s="25" t="s">
        <v>248</v>
      </c>
      <c r="CE91" s="28">
        <f t="shared" si="20"/>
        <v>966103</v>
      </c>
      <c r="CF91" s="28">
        <f>AY59-CE91</f>
        <v>-222669</v>
      </c>
    </row>
    <row r="92" spans="1:84" x14ac:dyDescent="0.25">
      <c r="A92" s="22" t="s">
        <v>292</v>
      </c>
      <c r="B92" s="16"/>
      <c r="C92" s="316">
        <v>13849.555805502048</v>
      </c>
      <c r="D92" s="316">
        <v>26777.452683965203</v>
      </c>
      <c r="E92" s="316">
        <v>672.95180348513748</v>
      </c>
      <c r="F92" s="316">
        <v>0</v>
      </c>
      <c r="G92" s="316">
        <v>3179.8757262132517</v>
      </c>
      <c r="H92" s="316">
        <v>8025.8193047986115</v>
      </c>
      <c r="I92" s="316">
        <v>0</v>
      </c>
      <c r="J92" s="316">
        <v>0</v>
      </c>
      <c r="K92" s="316">
        <v>0</v>
      </c>
      <c r="L92" s="316">
        <v>0</v>
      </c>
      <c r="M92" s="316">
        <v>0</v>
      </c>
      <c r="N92" s="316">
        <v>0</v>
      </c>
      <c r="O92" s="316">
        <v>0</v>
      </c>
      <c r="P92" s="316">
        <v>12791.975193951084</v>
      </c>
      <c r="Q92" s="316">
        <v>3673.9136019186421</v>
      </c>
      <c r="R92" s="316">
        <v>1779.5382037448921</v>
      </c>
      <c r="S92" s="316">
        <v>10136.229571506798</v>
      </c>
      <c r="T92" s="316">
        <v>0</v>
      </c>
      <c r="U92" s="316">
        <v>13696.55829300344</v>
      </c>
      <c r="V92" s="316">
        <v>4963.254359579174</v>
      </c>
      <c r="W92" s="316">
        <v>523.21679206517661</v>
      </c>
      <c r="X92" s="316">
        <v>575.06259194908841</v>
      </c>
      <c r="Y92" s="316">
        <v>9011.776824749204</v>
      </c>
      <c r="Z92" s="316">
        <v>717.07500032675955</v>
      </c>
      <c r="AA92" s="316">
        <v>424.28398552341275</v>
      </c>
      <c r="AB92" s="316">
        <v>5589.1142668612601</v>
      </c>
      <c r="AC92" s="316">
        <v>928.21514188297965</v>
      </c>
      <c r="AD92" s="316">
        <v>401.24140779722978</v>
      </c>
      <c r="AE92" s="316">
        <v>3285.256723411052</v>
      </c>
      <c r="AF92" s="316">
        <v>4198.4992473203865</v>
      </c>
      <c r="AG92" s="316">
        <v>6595.1864857157643</v>
      </c>
      <c r="AH92" s="316">
        <v>246.70585935098086</v>
      </c>
      <c r="AI92" s="316">
        <v>0</v>
      </c>
      <c r="AJ92" s="316">
        <v>73998.517921314415</v>
      </c>
      <c r="AK92" s="316">
        <v>1662.271838340316</v>
      </c>
      <c r="AL92" s="316">
        <v>0</v>
      </c>
      <c r="AM92" s="316">
        <v>0</v>
      </c>
      <c r="AN92" s="316">
        <v>0</v>
      </c>
      <c r="AO92" s="316">
        <v>0</v>
      </c>
      <c r="AP92" s="316">
        <v>0</v>
      </c>
      <c r="AQ92" s="316">
        <v>0</v>
      </c>
      <c r="AR92" s="316">
        <v>0</v>
      </c>
      <c r="AS92" s="316">
        <v>0</v>
      </c>
      <c r="AT92" s="316">
        <v>0</v>
      </c>
      <c r="AU92" s="316">
        <v>0</v>
      </c>
      <c r="AV92" s="316">
        <v>963.02947127362586</v>
      </c>
      <c r="AW92" s="316">
        <v>0</v>
      </c>
      <c r="AX92" s="285" t="s">
        <v>248</v>
      </c>
      <c r="AY92" s="285" t="s">
        <v>248</v>
      </c>
      <c r="AZ92" s="25" t="s">
        <v>248</v>
      </c>
      <c r="BA92" s="316">
        <v>1568.6485249900436</v>
      </c>
      <c r="BB92" s="316">
        <v>2224.3601389807723</v>
      </c>
      <c r="BC92" s="31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28566.785273233985</v>
      </c>
      <c r="BI92" s="316">
        <v>7296.6075609568015</v>
      </c>
      <c r="BJ92" s="25" t="s">
        <v>248</v>
      </c>
      <c r="BK92" s="316">
        <v>1872.4098104934644</v>
      </c>
      <c r="BL92" s="316">
        <v>738.48956984402741</v>
      </c>
      <c r="BM92" s="31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>
        <v>163.80267209699642</v>
      </c>
      <c r="BT92" s="316">
        <v>264.73918104973274</v>
      </c>
      <c r="BU92" s="316">
        <v>0</v>
      </c>
      <c r="BV92" s="316">
        <v>6789.7960823814619</v>
      </c>
      <c r="BW92" s="316">
        <v>32174.451464189846</v>
      </c>
      <c r="BX92" s="316">
        <v>2363.2000185410707</v>
      </c>
      <c r="BY92" s="316">
        <v>910.30705158491367</v>
      </c>
      <c r="BZ92" s="316">
        <v>452.33581927702676</v>
      </c>
      <c r="CA92" s="316">
        <v>4356.6751984574985</v>
      </c>
      <c r="CB92" s="316">
        <v>0</v>
      </c>
      <c r="CC92" s="25" t="s">
        <v>248</v>
      </c>
      <c r="CD92" s="25" t="s">
        <v>248</v>
      </c>
      <c r="CE92" s="28">
        <f t="shared" si="20"/>
        <v>298409.18647162756</v>
      </c>
      <c r="CF92" s="16"/>
    </row>
    <row r="93" spans="1:84" x14ac:dyDescent="0.25">
      <c r="A93" s="22" t="s">
        <v>293</v>
      </c>
      <c r="B93" s="16"/>
      <c r="C93" s="316">
        <v>0</v>
      </c>
      <c r="D93" s="316">
        <v>0</v>
      </c>
      <c r="E93" s="316">
        <v>0</v>
      </c>
      <c r="F93" s="316">
        <v>0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L93" s="316">
        <v>0</v>
      </c>
      <c r="M93" s="316">
        <v>0</v>
      </c>
      <c r="N93" s="316">
        <v>0</v>
      </c>
      <c r="O93" s="316">
        <v>0</v>
      </c>
      <c r="P93" s="316">
        <v>250379.5</v>
      </c>
      <c r="Q93" s="316">
        <v>0</v>
      </c>
      <c r="R93" s="316">
        <v>0</v>
      </c>
      <c r="S93" s="316">
        <v>0</v>
      </c>
      <c r="T93" s="316">
        <v>0</v>
      </c>
      <c r="U93" s="316">
        <v>1531.5</v>
      </c>
      <c r="V93" s="316">
        <v>26303.5</v>
      </c>
      <c r="W93" s="316">
        <v>0</v>
      </c>
      <c r="X93" s="316">
        <v>12667.5</v>
      </c>
      <c r="Y93" s="316">
        <v>4441.5</v>
      </c>
      <c r="Z93" s="316">
        <v>0</v>
      </c>
      <c r="AA93" s="316">
        <v>0</v>
      </c>
      <c r="AB93" s="316">
        <v>0</v>
      </c>
      <c r="AC93" s="316">
        <v>0</v>
      </c>
      <c r="AD93" s="316">
        <v>0</v>
      </c>
      <c r="AE93" s="316">
        <v>8070</v>
      </c>
      <c r="AF93" s="316">
        <v>0</v>
      </c>
      <c r="AG93" s="316">
        <v>0</v>
      </c>
      <c r="AH93" s="316">
        <v>0</v>
      </c>
      <c r="AI93" s="316">
        <v>0</v>
      </c>
      <c r="AJ93" s="316">
        <v>51575</v>
      </c>
      <c r="AK93" s="316">
        <v>0</v>
      </c>
      <c r="AL93" s="316">
        <v>0</v>
      </c>
      <c r="AM93" s="316">
        <v>0</v>
      </c>
      <c r="AN93" s="316">
        <v>0</v>
      </c>
      <c r="AO93" s="316">
        <v>0</v>
      </c>
      <c r="AP93" s="316">
        <v>0</v>
      </c>
      <c r="AQ93" s="316">
        <v>0</v>
      </c>
      <c r="AR93" s="316">
        <v>0</v>
      </c>
      <c r="AS93" s="316">
        <v>0</v>
      </c>
      <c r="AT93" s="316">
        <v>0</v>
      </c>
      <c r="AU93" s="316">
        <v>98.5</v>
      </c>
      <c r="AV93" s="316">
        <v>28.5</v>
      </c>
      <c r="AW93" s="316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>
        <v>0</v>
      </c>
      <c r="BL93" s="316">
        <v>0</v>
      </c>
      <c r="BM93" s="31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>
        <v>0</v>
      </c>
      <c r="BT93" s="316">
        <v>0</v>
      </c>
      <c r="BU93" s="316">
        <v>0</v>
      </c>
      <c r="BV93" s="316">
        <v>0</v>
      </c>
      <c r="BW93" s="316">
        <v>0</v>
      </c>
      <c r="BX93" s="316">
        <v>0</v>
      </c>
      <c r="BY93" s="316">
        <v>0</v>
      </c>
      <c r="BZ93" s="316">
        <v>0</v>
      </c>
      <c r="CA93" s="316">
        <v>3790</v>
      </c>
      <c r="CB93" s="316">
        <v>0</v>
      </c>
      <c r="CC93" s="25" t="s">
        <v>248</v>
      </c>
      <c r="CD93" s="25" t="s">
        <v>248</v>
      </c>
      <c r="CE93" s="28">
        <f t="shared" si="20"/>
        <v>358885.5</v>
      </c>
      <c r="CF93" s="28">
        <f>BA59</f>
        <v>0</v>
      </c>
    </row>
    <row r="94" spans="1:84" x14ac:dyDescent="0.25">
      <c r="A94" s="22" t="s">
        <v>294</v>
      </c>
      <c r="B94" s="16"/>
      <c r="C94" s="320">
        <v>365.49</v>
      </c>
      <c r="D94" s="320">
        <v>714.76000000000022</v>
      </c>
      <c r="E94" s="320">
        <v>47.289999999999992</v>
      </c>
      <c r="F94" s="320">
        <v>0</v>
      </c>
      <c r="G94" s="320">
        <v>68.959999999999994</v>
      </c>
      <c r="H94" s="320">
        <v>131.26</v>
      </c>
      <c r="I94" s="320">
        <v>0</v>
      </c>
      <c r="J94" s="320">
        <v>0</v>
      </c>
      <c r="K94" s="320">
        <v>0</v>
      </c>
      <c r="L94" s="320">
        <v>0</v>
      </c>
      <c r="M94" s="320">
        <v>0</v>
      </c>
      <c r="N94" s="320">
        <v>3.7199999999999998</v>
      </c>
      <c r="O94" s="320">
        <v>0</v>
      </c>
      <c r="P94" s="321">
        <v>211.55999999999997</v>
      </c>
      <c r="Q94" s="321">
        <v>71.849999999999994</v>
      </c>
      <c r="R94" s="321">
        <v>59.780000000000015</v>
      </c>
      <c r="S94" s="322">
        <v>60.230000000000004</v>
      </c>
      <c r="T94" s="322">
        <v>0</v>
      </c>
      <c r="U94" s="323">
        <v>147.26</v>
      </c>
      <c r="V94" s="321">
        <v>61.4</v>
      </c>
      <c r="W94" s="321">
        <v>11.61</v>
      </c>
      <c r="X94" s="321">
        <v>28.000000000000004</v>
      </c>
      <c r="Y94" s="321">
        <v>169.01999999999998</v>
      </c>
      <c r="Z94" s="321">
        <v>8.68</v>
      </c>
      <c r="AA94" s="321">
        <v>3.01</v>
      </c>
      <c r="AB94" s="322">
        <v>209.13999999999996</v>
      </c>
      <c r="AC94" s="321">
        <v>73.06</v>
      </c>
      <c r="AD94" s="321">
        <v>0</v>
      </c>
      <c r="AE94" s="321">
        <v>87</v>
      </c>
      <c r="AF94" s="321">
        <v>80.3</v>
      </c>
      <c r="AG94" s="321">
        <v>194.19000000000003</v>
      </c>
      <c r="AH94" s="321">
        <v>0</v>
      </c>
      <c r="AI94" s="321">
        <v>0</v>
      </c>
      <c r="AJ94" s="321">
        <v>675.46999999999991</v>
      </c>
      <c r="AK94" s="321">
        <v>32.03</v>
      </c>
      <c r="AL94" s="321">
        <v>0</v>
      </c>
      <c r="AM94" s="321">
        <v>0</v>
      </c>
      <c r="AN94" s="321">
        <v>0</v>
      </c>
      <c r="AO94" s="321">
        <v>0</v>
      </c>
      <c r="AP94" s="321">
        <v>0</v>
      </c>
      <c r="AQ94" s="321">
        <v>0</v>
      </c>
      <c r="AR94" s="321">
        <v>0</v>
      </c>
      <c r="AS94" s="321">
        <v>0</v>
      </c>
      <c r="AT94" s="321">
        <v>0</v>
      </c>
      <c r="AU94" s="321">
        <v>8.52</v>
      </c>
      <c r="AV94" s="322">
        <v>46.740000000000009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3570.33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7" t="s">
        <v>1358</v>
      </c>
      <c r="D96" s="328" t="s">
        <v>5</v>
      </c>
      <c r="E96" s="329" t="s">
        <v>5</v>
      </c>
      <c r="F96" s="12"/>
    </row>
    <row r="97" spans="1:6" x14ac:dyDescent="0.25">
      <c r="A97" s="28" t="s">
        <v>298</v>
      </c>
      <c r="B97" s="36" t="s">
        <v>299</v>
      </c>
      <c r="C97" s="330" t="s">
        <v>300</v>
      </c>
      <c r="D97" s="328" t="s">
        <v>5</v>
      </c>
      <c r="E97" s="329" t="s">
        <v>5</v>
      </c>
      <c r="F97" s="12"/>
    </row>
    <row r="98" spans="1:6" x14ac:dyDescent="0.25">
      <c r="A98" s="28" t="s">
        <v>301</v>
      </c>
      <c r="B98" s="36" t="s">
        <v>299</v>
      </c>
      <c r="C98" s="331" t="s">
        <v>302</v>
      </c>
      <c r="D98" s="328" t="s">
        <v>5</v>
      </c>
      <c r="E98" s="329" t="s">
        <v>5</v>
      </c>
      <c r="F98" s="12"/>
    </row>
    <row r="99" spans="1:6" x14ac:dyDescent="0.25">
      <c r="A99" s="28" t="s">
        <v>303</v>
      </c>
      <c r="B99" s="36" t="s">
        <v>299</v>
      </c>
      <c r="C99" s="331" t="s">
        <v>304</v>
      </c>
      <c r="D99" s="328" t="s">
        <v>5</v>
      </c>
      <c r="E99" s="329" t="s">
        <v>5</v>
      </c>
      <c r="F99" s="12"/>
    </row>
    <row r="100" spans="1:6" x14ac:dyDescent="0.25">
      <c r="A100" s="28" t="s">
        <v>305</v>
      </c>
      <c r="B100" s="36" t="s">
        <v>299</v>
      </c>
      <c r="C100" s="331" t="s">
        <v>306</v>
      </c>
      <c r="D100" s="328" t="s">
        <v>5</v>
      </c>
      <c r="E100" s="329" t="s">
        <v>5</v>
      </c>
      <c r="F100" s="12"/>
    </row>
    <row r="101" spans="1:6" x14ac:dyDescent="0.25">
      <c r="A101" s="28" t="s">
        <v>307</v>
      </c>
      <c r="B101" s="36" t="s">
        <v>299</v>
      </c>
      <c r="C101" s="331" t="s">
        <v>308</v>
      </c>
      <c r="D101" s="328" t="s">
        <v>5</v>
      </c>
      <c r="E101" s="329" t="s">
        <v>5</v>
      </c>
      <c r="F101" s="12"/>
    </row>
    <row r="102" spans="1:6" x14ac:dyDescent="0.25">
      <c r="A102" s="28" t="s">
        <v>309</v>
      </c>
      <c r="B102" s="36" t="s">
        <v>299</v>
      </c>
      <c r="C102" s="332">
        <v>98104</v>
      </c>
      <c r="D102" s="328" t="s">
        <v>5</v>
      </c>
      <c r="E102" s="329" t="s">
        <v>5</v>
      </c>
      <c r="F102" s="12"/>
    </row>
    <row r="103" spans="1:6" x14ac:dyDescent="0.25">
      <c r="A103" s="28" t="s">
        <v>310</v>
      </c>
      <c r="B103" s="36" t="s">
        <v>299</v>
      </c>
      <c r="C103" s="331" t="s">
        <v>311</v>
      </c>
      <c r="D103" s="328" t="s">
        <v>5</v>
      </c>
      <c r="E103" s="329" t="s">
        <v>5</v>
      </c>
      <c r="F103" s="12"/>
    </row>
    <row r="104" spans="1:6" x14ac:dyDescent="0.25">
      <c r="A104" s="28" t="s">
        <v>312</v>
      </c>
      <c r="B104" s="36" t="s">
        <v>299</v>
      </c>
      <c r="C104" s="333" t="s">
        <v>313</v>
      </c>
      <c r="D104" s="328" t="s">
        <v>5</v>
      </c>
      <c r="E104" s="329" t="s">
        <v>5</v>
      </c>
      <c r="F104" s="12"/>
    </row>
    <row r="105" spans="1:6" x14ac:dyDescent="0.25">
      <c r="A105" s="28" t="s">
        <v>314</v>
      </c>
      <c r="B105" s="36" t="s">
        <v>299</v>
      </c>
      <c r="C105" s="333" t="s">
        <v>315</v>
      </c>
      <c r="D105" s="328" t="s">
        <v>5</v>
      </c>
      <c r="E105" s="329" t="s">
        <v>5</v>
      </c>
      <c r="F105" s="12"/>
    </row>
    <row r="106" spans="1:6" x14ac:dyDescent="0.25">
      <c r="A106" s="28" t="s">
        <v>316</v>
      </c>
      <c r="B106" s="36" t="s">
        <v>299</v>
      </c>
      <c r="C106" s="331" t="s">
        <v>317</v>
      </c>
      <c r="D106" s="328" t="s">
        <v>5</v>
      </c>
      <c r="E106" s="329" t="s">
        <v>5</v>
      </c>
      <c r="F106" s="12"/>
    </row>
    <row r="107" spans="1:6" x14ac:dyDescent="0.25">
      <c r="A107" s="28" t="s">
        <v>318</v>
      </c>
      <c r="B107" s="36" t="s">
        <v>299</v>
      </c>
      <c r="C107" s="334" t="s">
        <v>319</v>
      </c>
      <c r="D107" s="328" t="s">
        <v>5</v>
      </c>
      <c r="E107" s="329" t="s">
        <v>5</v>
      </c>
      <c r="F107" s="12"/>
    </row>
    <row r="108" spans="1:6" x14ac:dyDescent="0.25">
      <c r="A108" s="28" t="s">
        <v>320</v>
      </c>
      <c r="B108" s="36" t="s">
        <v>299</v>
      </c>
      <c r="C108" s="334"/>
      <c r="D108" s="328" t="s">
        <v>5</v>
      </c>
      <c r="E108" s="329" t="s">
        <v>5</v>
      </c>
      <c r="F108" s="12"/>
    </row>
    <row r="109" spans="1:6" x14ac:dyDescent="0.25">
      <c r="A109" s="40" t="s">
        <v>321</v>
      </c>
      <c r="B109" s="36" t="s">
        <v>299</v>
      </c>
      <c r="C109" s="331" t="s">
        <v>1359</v>
      </c>
      <c r="D109" s="328" t="s">
        <v>5</v>
      </c>
      <c r="E109" s="329" t="s">
        <v>5</v>
      </c>
      <c r="F109" s="12"/>
    </row>
    <row r="110" spans="1:6" x14ac:dyDescent="0.25">
      <c r="A110" s="40" t="s">
        <v>322</v>
      </c>
      <c r="B110" s="36" t="s">
        <v>299</v>
      </c>
      <c r="C110" s="331" t="s">
        <v>1360</v>
      </c>
      <c r="D110" s="328" t="s">
        <v>5</v>
      </c>
      <c r="E110" s="329" t="s">
        <v>5</v>
      </c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5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5">
        <v>1</v>
      </c>
      <c r="D114" s="16"/>
      <c r="E114" s="16"/>
    </row>
    <row r="115" spans="1:5" x14ac:dyDescent="0.25">
      <c r="A115" s="16" t="s">
        <v>325</v>
      </c>
      <c r="B115" s="42" t="s">
        <v>299</v>
      </c>
      <c r="C115" s="335">
        <v>0</v>
      </c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335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335">
        <v>0</v>
      </c>
      <c r="D120" s="16"/>
      <c r="E120" s="16"/>
    </row>
    <row r="121" spans="1:5" x14ac:dyDescent="0.25">
      <c r="A121" s="16" t="s">
        <v>330</v>
      </c>
      <c r="B121" s="42" t="s">
        <v>299</v>
      </c>
      <c r="C121" s="335">
        <v>0</v>
      </c>
      <c r="D121" s="16"/>
      <c r="E121" s="16"/>
    </row>
    <row r="122" spans="1:5" x14ac:dyDescent="0.25">
      <c r="A122" s="16" t="s">
        <v>331</v>
      </c>
      <c r="B122" s="42" t="s">
        <v>299</v>
      </c>
      <c r="C122" s="335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332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25">
      <c r="A127" s="16" t="s">
        <v>335</v>
      </c>
      <c r="B127" s="42" t="s">
        <v>299</v>
      </c>
      <c r="C127" s="335">
        <v>16024</v>
      </c>
      <c r="D127" s="337">
        <v>173137</v>
      </c>
      <c r="E127" s="16"/>
    </row>
    <row r="128" spans="1:5" x14ac:dyDescent="0.25">
      <c r="A128" s="16" t="s">
        <v>336</v>
      </c>
      <c r="B128" s="42" t="s">
        <v>299</v>
      </c>
      <c r="C128" s="335">
        <v>0</v>
      </c>
      <c r="D128" s="337">
        <v>0</v>
      </c>
      <c r="E128" s="16"/>
    </row>
    <row r="129" spans="1:5" x14ac:dyDescent="0.25">
      <c r="A129" s="16" t="s">
        <v>337</v>
      </c>
      <c r="B129" s="42" t="s">
        <v>299</v>
      </c>
      <c r="C129" s="335">
        <v>0</v>
      </c>
      <c r="D129" s="337">
        <v>0</v>
      </c>
      <c r="E129" s="16"/>
    </row>
    <row r="130" spans="1:5" x14ac:dyDescent="0.25">
      <c r="A130" s="16" t="s">
        <v>338</v>
      </c>
      <c r="B130" s="42" t="s">
        <v>299</v>
      </c>
      <c r="C130" s="335">
        <v>0</v>
      </c>
      <c r="D130" s="337">
        <v>0</v>
      </c>
      <c r="E130" s="16"/>
    </row>
    <row r="131" spans="1:5" x14ac:dyDescent="0.25">
      <c r="A131" s="22" t="s">
        <v>339</v>
      </c>
      <c r="B131" s="16"/>
      <c r="C131" s="17" t="s">
        <v>194</v>
      </c>
      <c r="D131" s="16"/>
      <c r="E131" s="16"/>
    </row>
    <row r="132" spans="1:5" x14ac:dyDescent="0.25">
      <c r="A132" s="16" t="s">
        <v>340</v>
      </c>
      <c r="B132" s="42" t="s">
        <v>299</v>
      </c>
      <c r="C132" s="335">
        <v>89</v>
      </c>
      <c r="D132" s="16"/>
      <c r="E132" s="16"/>
    </row>
    <row r="133" spans="1:5" x14ac:dyDescent="0.25">
      <c r="A133" s="16" t="s">
        <v>341</v>
      </c>
      <c r="B133" s="42" t="s">
        <v>299</v>
      </c>
      <c r="C133" s="335">
        <v>278</v>
      </c>
      <c r="D133" s="16"/>
      <c r="E133" s="16"/>
    </row>
    <row r="134" spans="1:5" x14ac:dyDescent="0.25">
      <c r="A134" s="16" t="s">
        <v>342</v>
      </c>
      <c r="B134" s="42" t="s">
        <v>299</v>
      </c>
      <c r="C134" s="335">
        <v>0</v>
      </c>
      <c r="D134" s="16"/>
      <c r="E134" s="16"/>
    </row>
    <row r="135" spans="1:5" x14ac:dyDescent="0.25">
      <c r="A135" s="16" t="s">
        <v>343</v>
      </c>
      <c r="B135" s="42" t="s">
        <v>299</v>
      </c>
      <c r="C135" s="335">
        <v>0</v>
      </c>
      <c r="D135" s="16"/>
      <c r="E135" s="16"/>
    </row>
    <row r="136" spans="1:5" x14ac:dyDescent="0.25">
      <c r="A136" s="16" t="s">
        <v>344</v>
      </c>
      <c r="B136" s="42" t="s">
        <v>299</v>
      </c>
      <c r="C136" s="335">
        <v>0</v>
      </c>
      <c r="D136" s="16"/>
      <c r="E136" s="16"/>
    </row>
    <row r="137" spans="1:5" x14ac:dyDescent="0.25">
      <c r="A137" s="16" t="s">
        <v>345</v>
      </c>
      <c r="B137" s="42" t="s">
        <v>299</v>
      </c>
      <c r="C137" s="335">
        <v>30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5">
        <v>66</v>
      </c>
      <c r="D138" s="16"/>
      <c r="E138" s="16"/>
    </row>
    <row r="139" spans="1:5" x14ac:dyDescent="0.25">
      <c r="A139" s="16" t="s">
        <v>346</v>
      </c>
      <c r="B139" s="42" t="s">
        <v>299</v>
      </c>
      <c r="C139" s="335">
        <v>0</v>
      </c>
      <c r="D139" s="16"/>
      <c r="E139" s="16"/>
    </row>
    <row r="140" spans="1:5" x14ac:dyDescent="0.25">
      <c r="A140" s="16" t="s">
        <v>347</v>
      </c>
      <c r="B140" s="42"/>
      <c r="C140" s="335">
        <v>0</v>
      </c>
      <c r="D140" s="16"/>
      <c r="E140" s="16"/>
    </row>
    <row r="141" spans="1:5" x14ac:dyDescent="0.25">
      <c r="A141" s="16" t="s">
        <v>337</v>
      </c>
      <c r="B141" s="42" t="s">
        <v>299</v>
      </c>
      <c r="C141" s="335">
        <v>0</v>
      </c>
      <c r="D141" s="16"/>
      <c r="E141" s="16"/>
    </row>
    <row r="142" spans="1:5" x14ac:dyDescent="0.25">
      <c r="A142" s="16" t="s">
        <v>348</v>
      </c>
      <c r="B142" s="42" t="s">
        <v>299</v>
      </c>
      <c r="C142" s="335">
        <v>0</v>
      </c>
      <c r="D142" s="16"/>
      <c r="E142" s="16"/>
    </row>
    <row r="143" spans="1:5" x14ac:dyDescent="0.25">
      <c r="A143" s="16" t="s">
        <v>349</v>
      </c>
      <c r="B143" s="16"/>
      <c r="C143" s="23"/>
      <c r="D143" s="16"/>
      <c r="E143" s="28">
        <f>SUM(C132:C142)</f>
        <v>463</v>
      </c>
    </row>
    <row r="144" spans="1:5" x14ac:dyDescent="0.25">
      <c r="A144" s="16" t="s">
        <v>350</v>
      </c>
      <c r="B144" s="42" t="s">
        <v>299</v>
      </c>
      <c r="C144" s="335">
        <v>0</v>
      </c>
      <c r="D144" s="16"/>
      <c r="E144" s="16"/>
    </row>
    <row r="145" spans="1:6" x14ac:dyDescent="0.25">
      <c r="A145" s="16" t="s">
        <v>351</v>
      </c>
      <c r="B145" s="42" t="s">
        <v>299</v>
      </c>
      <c r="C145" s="335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352</v>
      </c>
      <c r="B147" s="42" t="s">
        <v>299</v>
      </c>
      <c r="C147" s="33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353</v>
      </c>
      <c r="B152" s="45"/>
      <c r="C152" s="45"/>
      <c r="D152" s="45"/>
      <c r="E152" s="45"/>
    </row>
    <row r="153" spans="1:6" x14ac:dyDescent="0.2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25">
      <c r="A154" s="16" t="s">
        <v>334</v>
      </c>
      <c r="B154" s="337">
        <v>5471</v>
      </c>
      <c r="C154" s="337">
        <v>5657</v>
      </c>
      <c r="D154" s="337">
        <v>4896</v>
      </c>
      <c r="E154" s="28">
        <f>SUM(B154:D154)</f>
        <v>16024</v>
      </c>
    </row>
    <row r="155" spans="1:6" x14ac:dyDescent="0.25">
      <c r="A155" s="16" t="s">
        <v>242</v>
      </c>
      <c r="B155" s="337">
        <v>64353</v>
      </c>
      <c r="C155" s="337">
        <v>68503</v>
      </c>
      <c r="D155" s="337">
        <v>40281</v>
      </c>
      <c r="E155" s="28">
        <f>SUM(B155:D155)</f>
        <v>173137</v>
      </c>
    </row>
    <row r="156" spans="1:6" x14ac:dyDescent="0.25">
      <c r="A156" s="16" t="s">
        <v>357</v>
      </c>
      <c r="B156" s="337">
        <v>122782</v>
      </c>
      <c r="C156" s="337">
        <v>114979</v>
      </c>
      <c r="D156" s="337">
        <v>170083</v>
      </c>
      <c r="E156" s="28">
        <f>SUM(B156:D156)</f>
        <v>407844</v>
      </c>
    </row>
    <row r="157" spans="1:6" x14ac:dyDescent="0.25">
      <c r="A157" s="16" t="s">
        <v>287</v>
      </c>
      <c r="B157" s="337">
        <v>740630443</v>
      </c>
      <c r="C157" s="337">
        <v>765375162</v>
      </c>
      <c r="D157" s="337">
        <v>671543509</v>
      </c>
      <c r="E157" s="28">
        <f>SUM(B157:D157)</f>
        <v>2177549114</v>
      </c>
      <c r="F157" s="14"/>
    </row>
    <row r="158" spans="1:6" x14ac:dyDescent="0.25">
      <c r="A158" s="16" t="s">
        <v>288</v>
      </c>
      <c r="B158" s="337">
        <v>338618058</v>
      </c>
      <c r="C158" s="337">
        <v>336131703</v>
      </c>
      <c r="D158" s="337">
        <v>531409509</v>
      </c>
      <c r="E158" s="28">
        <f>SUM(B158:D158)</f>
        <v>1206159270</v>
      </c>
      <c r="F158" s="14"/>
    </row>
    <row r="159" spans="1:6" x14ac:dyDescent="0.2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25">
      <c r="A160" s="16" t="s">
        <v>334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357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25">
      <c r="A166" s="16" t="s">
        <v>334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357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25">
      <c r="A173" s="21" t="s">
        <v>363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364</v>
      </c>
      <c r="B179" s="34"/>
      <c r="C179" s="34"/>
      <c r="D179" s="34"/>
      <c r="E179" s="34"/>
    </row>
    <row r="180" spans="1:5" x14ac:dyDescent="0.25">
      <c r="A180" s="41" t="s">
        <v>365</v>
      </c>
      <c r="B180" s="41"/>
      <c r="C180" s="41"/>
      <c r="D180" s="41"/>
      <c r="E180" s="41"/>
    </row>
    <row r="181" spans="1:5" x14ac:dyDescent="0.25">
      <c r="A181" s="16" t="s">
        <v>366</v>
      </c>
      <c r="B181" s="42" t="s">
        <v>299</v>
      </c>
      <c r="C181" s="335">
        <v>32945389.57</v>
      </c>
      <c r="D181" s="16"/>
      <c r="E181" s="16"/>
    </row>
    <row r="182" spans="1:5" x14ac:dyDescent="0.25">
      <c r="A182" s="16" t="s">
        <v>367</v>
      </c>
      <c r="B182" s="42" t="s">
        <v>299</v>
      </c>
      <c r="C182" s="335">
        <v>771569.63</v>
      </c>
      <c r="D182" s="16"/>
      <c r="E182" s="16"/>
    </row>
    <row r="183" spans="1:5" x14ac:dyDescent="0.25">
      <c r="A183" s="21" t="s">
        <v>368</v>
      </c>
      <c r="B183" s="42" t="s">
        <v>299</v>
      </c>
      <c r="C183" s="335">
        <v>2590031.44</v>
      </c>
      <c r="D183" s="16"/>
      <c r="E183" s="16"/>
    </row>
    <row r="184" spans="1:5" x14ac:dyDescent="0.25">
      <c r="A184" s="16" t="s">
        <v>369</v>
      </c>
      <c r="B184" s="42" t="s">
        <v>299</v>
      </c>
      <c r="C184" s="335">
        <v>75451405.409999996</v>
      </c>
      <c r="D184" s="16"/>
      <c r="E184" s="16"/>
    </row>
    <row r="185" spans="1:5" x14ac:dyDescent="0.25">
      <c r="A185" s="16" t="s">
        <v>370</v>
      </c>
      <c r="B185" s="42" t="s">
        <v>299</v>
      </c>
      <c r="C185" s="335">
        <v>0</v>
      </c>
      <c r="D185" s="16"/>
      <c r="E185" s="16"/>
    </row>
    <row r="186" spans="1:5" x14ac:dyDescent="0.25">
      <c r="A186" s="16" t="s">
        <v>371</v>
      </c>
      <c r="B186" s="42" t="s">
        <v>299</v>
      </c>
      <c r="C186" s="335">
        <v>44147336.950000003</v>
      </c>
      <c r="D186" s="16"/>
      <c r="E186" s="16"/>
    </row>
    <row r="187" spans="1:5" x14ac:dyDescent="0.25">
      <c r="A187" s="16" t="s">
        <v>372</v>
      </c>
      <c r="B187" s="42" t="s">
        <v>299</v>
      </c>
      <c r="C187" s="335">
        <v>3121717.81</v>
      </c>
      <c r="D187" s="16"/>
      <c r="E187" s="16"/>
    </row>
    <row r="188" spans="1:5" x14ac:dyDescent="0.25">
      <c r="A188" s="16" t="s">
        <v>372</v>
      </c>
      <c r="B188" s="42" t="s">
        <v>299</v>
      </c>
      <c r="C188" s="335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159027450.81</v>
      </c>
      <c r="E189" s="16"/>
    </row>
    <row r="190" spans="1:5" x14ac:dyDescent="0.25">
      <c r="A190" s="41" t="s">
        <v>373</v>
      </c>
      <c r="B190" s="41"/>
      <c r="C190" s="41"/>
      <c r="D190" s="41"/>
      <c r="E190" s="41"/>
    </row>
    <row r="191" spans="1:5" x14ac:dyDescent="0.25">
      <c r="A191" s="16" t="s">
        <v>374</v>
      </c>
      <c r="B191" s="42" t="s">
        <v>299</v>
      </c>
      <c r="C191" s="335">
        <v>-177055</v>
      </c>
      <c r="D191" s="16"/>
      <c r="E191" s="16"/>
    </row>
    <row r="192" spans="1:5" x14ac:dyDescent="0.25">
      <c r="A192" s="16" t="s">
        <v>375</v>
      </c>
      <c r="B192" s="42" t="s">
        <v>299</v>
      </c>
      <c r="C192" s="335">
        <v>3398447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3221392</v>
      </c>
      <c r="E193" s="16"/>
    </row>
    <row r="194" spans="1:5" x14ac:dyDescent="0.25">
      <c r="A194" s="41" t="s">
        <v>376</v>
      </c>
      <c r="B194" s="41"/>
      <c r="C194" s="41"/>
      <c r="D194" s="41"/>
      <c r="E194" s="41"/>
    </row>
    <row r="195" spans="1:5" x14ac:dyDescent="0.25">
      <c r="A195" s="16" t="s">
        <v>377</v>
      </c>
      <c r="B195" s="42" t="s">
        <v>299</v>
      </c>
      <c r="C195" s="335">
        <v>9205975</v>
      </c>
      <c r="D195" s="16"/>
      <c r="E195" s="16"/>
    </row>
    <row r="196" spans="1:5" x14ac:dyDescent="0.25">
      <c r="A196" s="16" t="s">
        <v>378</v>
      </c>
      <c r="B196" s="42" t="s">
        <v>299</v>
      </c>
      <c r="C196" s="335">
        <v>2070657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11276632</v>
      </c>
      <c r="E197" s="16"/>
    </row>
    <row r="198" spans="1:5" x14ac:dyDescent="0.25">
      <c r="A198" s="41" t="s">
        <v>379</v>
      </c>
      <c r="B198" s="41"/>
      <c r="C198" s="41"/>
      <c r="D198" s="41"/>
      <c r="E198" s="41"/>
    </row>
    <row r="199" spans="1:5" x14ac:dyDescent="0.25">
      <c r="A199" s="16" t="s">
        <v>380</v>
      </c>
      <c r="B199" s="42" t="s">
        <v>299</v>
      </c>
      <c r="C199" s="335">
        <v>2548359</v>
      </c>
      <c r="D199" s="16"/>
      <c r="E199" s="16"/>
    </row>
    <row r="200" spans="1:5" x14ac:dyDescent="0.25">
      <c r="A200" s="16" t="s">
        <v>381</v>
      </c>
      <c r="B200" s="42" t="s">
        <v>299</v>
      </c>
      <c r="C200" s="335">
        <v>-107916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5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2440443</v>
      </c>
      <c r="E202" s="16"/>
    </row>
    <row r="203" spans="1:5" x14ac:dyDescent="0.25">
      <c r="A203" s="41" t="s">
        <v>382</v>
      </c>
      <c r="B203" s="41"/>
      <c r="C203" s="41"/>
      <c r="D203" s="41"/>
      <c r="E203" s="41"/>
    </row>
    <row r="204" spans="1:5" x14ac:dyDescent="0.25">
      <c r="A204" s="16" t="s">
        <v>383</v>
      </c>
      <c r="B204" s="42" t="s">
        <v>299</v>
      </c>
      <c r="C204" s="335">
        <v>0</v>
      </c>
      <c r="D204" s="16"/>
      <c r="E204" s="16"/>
    </row>
    <row r="205" spans="1:5" x14ac:dyDescent="0.25">
      <c r="A205" s="16" t="s">
        <v>384</v>
      </c>
      <c r="B205" s="42" t="s">
        <v>299</v>
      </c>
      <c r="C205" s="335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385</v>
      </c>
      <c r="B208" s="34"/>
      <c r="C208" s="34"/>
      <c r="D208" s="34"/>
      <c r="E208" s="34"/>
    </row>
    <row r="209" spans="1:5" x14ac:dyDescent="0.25">
      <c r="A209" s="45" t="s">
        <v>386</v>
      </c>
      <c r="B209" s="34"/>
      <c r="C209" s="34"/>
      <c r="D209" s="34"/>
      <c r="E209" s="34"/>
    </row>
    <row r="210" spans="1:5" x14ac:dyDescent="0.2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25">
      <c r="A211" s="16" t="s">
        <v>391</v>
      </c>
      <c r="B211" s="337">
        <v>2432000</v>
      </c>
      <c r="C211" s="335">
        <v>0</v>
      </c>
      <c r="D211" s="337">
        <v>0</v>
      </c>
      <c r="E211" s="28">
        <f t="shared" ref="E211:E219" si="22">SUM(B211:C211)-D211</f>
        <v>2432000</v>
      </c>
    </row>
    <row r="212" spans="1:5" x14ac:dyDescent="0.25">
      <c r="A212" s="16" t="s">
        <v>392</v>
      </c>
      <c r="B212" s="337">
        <v>7378000</v>
      </c>
      <c r="C212" s="335">
        <v>329000</v>
      </c>
      <c r="D212" s="337">
        <v>0</v>
      </c>
      <c r="E212" s="28">
        <f t="shared" si="22"/>
        <v>7707000</v>
      </c>
    </row>
    <row r="213" spans="1:5" x14ac:dyDescent="0.25">
      <c r="A213" s="16" t="s">
        <v>393</v>
      </c>
      <c r="B213" s="337">
        <v>459243110.25999999</v>
      </c>
      <c r="C213" s="335">
        <v>7463274.2799999975</v>
      </c>
      <c r="D213" s="337">
        <v>0</v>
      </c>
      <c r="E213" s="28">
        <f t="shared" si="22"/>
        <v>466706384.53999996</v>
      </c>
    </row>
    <row r="214" spans="1:5" x14ac:dyDescent="0.25">
      <c r="A214" s="16" t="s">
        <v>394</v>
      </c>
      <c r="B214" s="337">
        <v>124164791.79000001</v>
      </c>
      <c r="C214" s="335">
        <v>2309000</v>
      </c>
      <c r="D214" s="337">
        <v>0</v>
      </c>
      <c r="E214" s="28">
        <f t="shared" si="22"/>
        <v>126473791.79000001</v>
      </c>
    </row>
    <row r="215" spans="1:5" x14ac:dyDescent="0.25">
      <c r="A215" s="16" t="s">
        <v>395</v>
      </c>
      <c r="B215" s="337">
        <v>0</v>
      </c>
      <c r="C215" s="335">
        <v>0</v>
      </c>
      <c r="D215" s="337">
        <v>0</v>
      </c>
      <c r="E215" s="28">
        <f t="shared" si="22"/>
        <v>0</v>
      </c>
    </row>
    <row r="216" spans="1:5" x14ac:dyDescent="0.25">
      <c r="A216" s="16" t="s">
        <v>396</v>
      </c>
      <c r="B216" s="337">
        <v>198937000</v>
      </c>
      <c r="C216" s="335">
        <v>9155000</v>
      </c>
      <c r="D216" s="337">
        <v>41549000</v>
      </c>
      <c r="E216" s="28">
        <f t="shared" si="22"/>
        <v>166543000</v>
      </c>
    </row>
    <row r="217" spans="1:5" x14ac:dyDescent="0.25">
      <c r="A217" s="16" t="s">
        <v>397</v>
      </c>
      <c r="B217" s="337">
        <v>0</v>
      </c>
      <c r="C217" s="335">
        <v>0</v>
      </c>
      <c r="D217" s="337">
        <v>0</v>
      </c>
      <c r="E217" s="28">
        <f t="shared" si="22"/>
        <v>0</v>
      </c>
    </row>
    <row r="218" spans="1:5" x14ac:dyDescent="0.25">
      <c r="A218" s="16" t="s">
        <v>398</v>
      </c>
      <c r="B218" s="337">
        <v>14158000</v>
      </c>
      <c r="C218" s="335">
        <v>0</v>
      </c>
      <c r="D218" s="337">
        <v>0</v>
      </c>
      <c r="E218" s="28">
        <f t="shared" si="22"/>
        <v>14158000</v>
      </c>
    </row>
    <row r="219" spans="1:5" x14ac:dyDescent="0.25">
      <c r="A219" s="16" t="s">
        <v>399</v>
      </c>
      <c r="B219" s="337">
        <v>12521412.519999998</v>
      </c>
      <c r="C219" s="335">
        <v>24343000</v>
      </c>
      <c r="D219" s="337">
        <v>10101274.279999997</v>
      </c>
      <c r="E219" s="28">
        <f t="shared" si="22"/>
        <v>26763138.239999998</v>
      </c>
    </row>
    <row r="220" spans="1:5" x14ac:dyDescent="0.25">
      <c r="A220" s="16" t="s">
        <v>230</v>
      </c>
      <c r="B220" s="28">
        <f>SUM(B211:B219)</f>
        <v>818834314.56999993</v>
      </c>
      <c r="C220" s="235">
        <f>SUM(C211:C219)</f>
        <v>43599274.280000001</v>
      </c>
      <c r="D220" s="28">
        <f>SUM(D211:D219)</f>
        <v>51650274.280000001</v>
      </c>
      <c r="E220" s="28">
        <f>SUM(E211:E219)</f>
        <v>810783314.56999993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400</v>
      </c>
      <c r="B222" s="45"/>
      <c r="C222" s="45"/>
      <c r="D222" s="45"/>
      <c r="E222" s="45"/>
    </row>
    <row r="223" spans="1:5" x14ac:dyDescent="0.2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25">
      <c r="A224" s="16" t="s">
        <v>391</v>
      </c>
      <c r="B224" s="51"/>
      <c r="C224" s="50"/>
      <c r="D224" s="51"/>
      <c r="E224" s="16"/>
    </row>
    <row r="225" spans="1:6" x14ac:dyDescent="0.25">
      <c r="A225" s="16" t="s">
        <v>392</v>
      </c>
      <c r="B225" s="337">
        <v>4972000</v>
      </c>
      <c r="C225" s="335">
        <v>335000</v>
      </c>
      <c r="D225" s="337">
        <v>0</v>
      </c>
      <c r="E225" s="28">
        <f t="shared" ref="E225:E232" si="23">SUM(B225:C225)-D225</f>
        <v>5307000</v>
      </c>
    </row>
    <row r="226" spans="1:6" x14ac:dyDescent="0.25">
      <c r="A226" s="16" t="s">
        <v>393</v>
      </c>
      <c r="B226" s="337">
        <v>258074000</v>
      </c>
      <c r="C226" s="335">
        <v>14729000</v>
      </c>
      <c r="D226" s="337">
        <v>0</v>
      </c>
      <c r="E226" s="28">
        <f t="shared" si="23"/>
        <v>272803000</v>
      </c>
    </row>
    <row r="227" spans="1:6" x14ac:dyDescent="0.25">
      <c r="A227" s="16" t="s">
        <v>394</v>
      </c>
      <c r="B227" s="337">
        <v>116890000</v>
      </c>
      <c r="C227" s="335">
        <v>1190000</v>
      </c>
      <c r="D227" s="337">
        <v>0</v>
      </c>
      <c r="E227" s="28">
        <f t="shared" si="23"/>
        <v>118080000</v>
      </c>
    </row>
    <row r="228" spans="1:6" x14ac:dyDescent="0.25">
      <c r="A228" s="16" t="s">
        <v>395</v>
      </c>
      <c r="B228" s="337">
        <v>0</v>
      </c>
      <c r="C228" s="335">
        <v>0</v>
      </c>
      <c r="D228" s="337">
        <v>0</v>
      </c>
      <c r="E228" s="28">
        <f t="shared" si="23"/>
        <v>0</v>
      </c>
    </row>
    <row r="229" spans="1:6" x14ac:dyDescent="0.25">
      <c r="A229" s="16" t="s">
        <v>396</v>
      </c>
      <c r="B229" s="337">
        <v>163444000</v>
      </c>
      <c r="C229" s="335">
        <v>11304000</v>
      </c>
      <c r="D229" s="337">
        <v>41549000</v>
      </c>
      <c r="E229" s="28">
        <f t="shared" si="23"/>
        <v>133199000</v>
      </c>
    </row>
    <row r="230" spans="1:6" x14ac:dyDescent="0.25">
      <c r="A230" s="16" t="s">
        <v>397</v>
      </c>
      <c r="B230" s="337">
        <v>0</v>
      </c>
      <c r="C230" s="335">
        <v>0</v>
      </c>
      <c r="D230" s="337">
        <v>0</v>
      </c>
      <c r="E230" s="28">
        <f t="shared" si="23"/>
        <v>0</v>
      </c>
    </row>
    <row r="231" spans="1:6" x14ac:dyDescent="0.25">
      <c r="A231" s="16" t="s">
        <v>398</v>
      </c>
      <c r="B231" s="337">
        <v>8714000</v>
      </c>
      <c r="C231" s="335">
        <v>837000</v>
      </c>
      <c r="D231" s="337">
        <v>0</v>
      </c>
      <c r="E231" s="28">
        <f t="shared" si="23"/>
        <v>9551000</v>
      </c>
    </row>
    <row r="232" spans="1:6" x14ac:dyDescent="0.25">
      <c r="A232" s="16" t="s">
        <v>399</v>
      </c>
      <c r="B232" s="337">
        <v>0</v>
      </c>
      <c r="C232" s="335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552094000</v>
      </c>
      <c r="C233" s="235">
        <f>SUM(C224:C232)</f>
        <v>28395000</v>
      </c>
      <c r="D233" s="28">
        <f>SUM(D224:D232)</f>
        <v>41549000</v>
      </c>
      <c r="E233" s="28">
        <f>SUM(E224:E232)</f>
        <v>538940000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271843314.56999993</v>
      </c>
    </row>
    <row r="235" spans="1:6" x14ac:dyDescent="0.25">
      <c r="A235" s="34" t="s">
        <v>401</v>
      </c>
      <c r="B235" s="34"/>
      <c r="C235" s="34"/>
      <c r="D235" s="34"/>
      <c r="E235" s="34"/>
    </row>
    <row r="236" spans="1:6" x14ac:dyDescent="0.25">
      <c r="A236" s="34"/>
      <c r="B236" s="341" t="s">
        <v>402</v>
      </c>
      <c r="C236" s="341"/>
      <c r="D236" s="34"/>
      <c r="E236" s="34"/>
    </row>
    <row r="237" spans="1:6" x14ac:dyDescent="0.25">
      <c r="A237" s="52" t="s">
        <v>402</v>
      </c>
      <c r="B237" s="34"/>
      <c r="C237" s="335">
        <v>39655218.950000003</v>
      </c>
      <c r="D237" s="36">
        <f>C237</f>
        <v>39655218.950000003</v>
      </c>
      <c r="E237" s="34"/>
    </row>
    <row r="238" spans="1:6" x14ac:dyDescent="0.25">
      <c r="A238" s="41" t="s">
        <v>403</v>
      </c>
      <c r="B238" s="41"/>
      <c r="C238" s="41"/>
      <c r="D238" s="41"/>
      <c r="E238" s="41"/>
    </row>
    <row r="239" spans="1:6" x14ac:dyDescent="0.25">
      <c r="A239" s="16" t="s">
        <v>404</v>
      </c>
      <c r="B239" s="42" t="s">
        <v>299</v>
      </c>
      <c r="C239" s="335">
        <v>821525554</v>
      </c>
      <c r="D239" s="16"/>
      <c r="E239" s="16"/>
    </row>
    <row r="240" spans="1:6" x14ac:dyDescent="0.25">
      <c r="A240" s="16" t="s">
        <v>405</v>
      </c>
      <c r="B240" s="42" t="s">
        <v>299</v>
      </c>
      <c r="C240" s="335">
        <v>766807306</v>
      </c>
      <c r="D240" s="16"/>
      <c r="E240" s="16"/>
    </row>
    <row r="241" spans="1:5" x14ac:dyDescent="0.25">
      <c r="A241" s="16" t="s">
        <v>406</v>
      </c>
      <c r="B241" s="42" t="s">
        <v>299</v>
      </c>
      <c r="C241" s="335">
        <v>459231327</v>
      </c>
      <c r="D241" s="16"/>
      <c r="E241" s="16"/>
    </row>
    <row r="242" spans="1:5" x14ac:dyDescent="0.25">
      <c r="A242" s="16" t="s">
        <v>407</v>
      </c>
      <c r="B242" s="42" t="s">
        <v>299</v>
      </c>
      <c r="C242" s="335">
        <v>20303278</v>
      </c>
      <c r="D242" s="16"/>
      <c r="E242" s="16"/>
    </row>
    <row r="243" spans="1:5" x14ac:dyDescent="0.25">
      <c r="A243" s="16" t="s">
        <v>408</v>
      </c>
      <c r="B243" s="42" t="s">
        <v>299</v>
      </c>
      <c r="C243" s="335">
        <v>0</v>
      </c>
      <c r="D243" s="16"/>
      <c r="E243" s="16"/>
    </row>
    <row r="244" spans="1:5" x14ac:dyDescent="0.25">
      <c r="A244" s="16" t="s">
        <v>409</v>
      </c>
      <c r="B244" s="42" t="s">
        <v>299</v>
      </c>
      <c r="C244" s="335">
        <v>-35508991.960000023</v>
      </c>
      <c r="D244" s="16"/>
      <c r="E244" s="16"/>
    </row>
    <row r="245" spans="1:5" x14ac:dyDescent="0.25">
      <c r="A245" s="16" t="s">
        <v>410</v>
      </c>
      <c r="B245" s="16"/>
      <c r="C245" s="23"/>
      <c r="D245" s="28">
        <f>SUM(C239:C244)</f>
        <v>2032358473.04</v>
      </c>
      <c r="E245" s="16"/>
    </row>
    <row r="246" spans="1:5" x14ac:dyDescent="0.25">
      <c r="A246" s="41" t="s">
        <v>411</v>
      </c>
      <c r="B246" s="41"/>
      <c r="C246" s="41"/>
      <c r="D246" s="41"/>
      <c r="E246" s="41"/>
    </row>
    <row r="247" spans="1:5" x14ac:dyDescent="0.25">
      <c r="A247" s="22" t="s">
        <v>412</v>
      </c>
      <c r="B247" s="42" t="s">
        <v>299</v>
      </c>
      <c r="C247" s="335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413</v>
      </c>
      <c r="B249" s="42" t="s">
        <v>299</v>
      </c>
      <c r="C249" s="335">
        <v>36096861.359999999</v>
      </c>
      <c r="D249" s="16"/>
      <c r="E249" s="16"/>
    </row>
    <row r="250" spans="1:5" x14ac:dyDescent="0.25">
      <c r="A250" s="22" t="s">
        <v>414</v>
      </c>
      <c r="B250" s="42" t="s">
        <v>299</v>
      </c>
      <c r="C250" s="335">
        <v>73981020.650000021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415</v>
      </c>
      <c r="B252" s="16"/>
      <c r="C252" s="23"/>
      <c r="D252" s="28">
        <f>SUM(C249:C251)</f>
        <v>110077882.01000002</v>
      </c>
      <c r="E252" s="16"/>
    </row>
    <row r="253" spans="1:5" x14ac:dyDescent="0.25">
      <c r="A253" s="41" t="s">
        <v>416</v>
      </c>
      <c r="B253" s="41"/>
      <c r="C253" s="41"/>
      <c r="D253" s="41"/>
      <c r="E253" s="41"/>
    </row>
    <row r="254" spans="1:5" x14ac:dyDescent="0.25">
      <c r="A254" s="16" t="s">
        <v>417</v>
      </c>
      <c r="B254" s="42" t="s">
        <v>299</v>
      </c>
      <c r="C254" s="335">
        <v>0</v>
      </c>
      <c r="D254" s="16"/>
      <c r="E254" s="16"/>
    </row>
    <row r="255" spans="1:5" x14ac:dyDescent="0.25">
      <c r="A255" s="16" t="s">
        <v>416</v>
      </c>
      <c r="B255" s="42" t="s">
        <v>299</v>
      </c>
      <c r="C255" s="335">
        <v>0</v>
      </c>
      <c r="D255" s="16"/>
      <c r="E255" s="16"/>
    </row>
    <row r="256" spans="1:5" x14ac:dyDescent="0.2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419</v>
      </c>
      <c r="B258" s="16"/>
      <c r="C258" s="23"/>
      <c r="D258" s="28">
        <f>D237+D245+D252+D256</f>
        <v>2182091574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420</v>
      </c>
      <c r="B264" s="34"/>
      <c r="C264" s="34"/>
      <c r="D264" s="34"/>
      <c r="E264" s="34"/>
    </row>
    <row r="265" spans="1:5" x14ac:dyDescent="0.25">
      <c r="A265" s="41" t="s">
        <v>421</v>
      </c>
      <c r="B265" s="41"/>
      <c r="C265" s="41"/>
      <c r="D265" s="41"/>
      <c r="E265" s="41"/>
    </row>
    <row r="266" spans="1:5" x14ac:dyDescent="0.25">
      <c r="A266" s="16" t="s">
        <v>422</v>
      </c>
      <c r="B266" s="42" t="s">
        <v>299</v>
      </c>
      <c r="C266" s="335">
        <v>257031833</v>
      </c>
      <c r="D266" s="16"/>
      <c r="E266" s="16"/>
    </row>
    <row r="267" spans="1:5" x14ac:dyDescent="0.25">
      <c r="A267" s="16" t="s">
        <v>423</v>
      </c>
      <c r="B267" s="42" t="s">
        <v>299</v>
      </c>
      <c r="C267" s="335">
        <v>0</v>
      </c>
      <c r="D267" s="16"/>
      <c r="E267" s="16"/>
    </row>
    <row r="268" spans="1:5" x14ac:dyDescent="0.25">
      <c r="A268" s="16" t="s">
        <v>424</v>
      </c>
      <c r="B268" s="42" t="s">
        <v>299</v>
      </c>
      <c r="C268" s="335">
        <v>206892135</v>
      </c>
      <c r="D268" s="16"/>
      <c r="E268" s="16"/>
    </row>
    <row r="269" spans="1:5" x14ac:dyDescent="0.25">
      <c r="A269" s="16" t="s">
        <v>425</v>
      </c>
      <c r="B269" s="42" t="s">
        <v>299</v>
      </c>
      <c r="C269" s="335">
        <v>0</v>
      </c>
      <c r="D269" s="16"/>
      <c r="E269" s="16"/>
    </row>
    <row r="270" spans="1:5" x14ac:dyDescent="0.25">
      <c r="A270" s="16" t="s">
        <v>426</v>
      </c>
      <c r="B270" s="42" t="s">
        <v>299</v>
      </c>
      <c r="C270" s="335">
        <v>43266117</v>
      </c>
      <c r="D270" s="16"/>
      <c r="E270" s="16"/>
    </row>
    <row r="271" spans="1:5" x14ac:dyDescent="0.25">
      <c r="A271" s="16" t="s">
        <v>427</v>
      </c>
      <c r="B271" s="42" t="s">
        <v>299</v>
      </c>
      <c r="C271" s="335">
        <v>45554587</v>
      </c>
      <c r="D271" s="16"/>
      <c r="E271" s="16"/>
    </row>
    <row r="272" spans="1:5" x14ac:dyDescent="0.25">
      <c r="A272" s="16" t="s">
        <v>428</v>
      </c>
      <c r="B272" s="42" t="s">
        <v>299</v>
      </c>
      <c r="C272" s="335">
        <v>0</v>
      </c>
      <c r="D272" s="16"/>
      <c r="E272" s="16"/>
    </row>
    <row r="273" spans="1:5" x14ac:dyDescent="0.25">
      <c r="A273" s="16" t="s">
        <v>429</v>
      </c>
      <c r="B273" s="42" t="s">
        <v>299</v>
      </c>
      <c r="C273" s="335">
        <v>13417706</v>
      </c>
      <c r="D273" s="16"/>
      <c r="E273" s="16"/>
    </row>
    <row r="274" spans="1:5" x14ac:dyDescent="0.25">
      <c r="A274" s="16" t="s">
        <v>430</v>
      </c>
      <c r="B274" s="42" t="s">
        <v>299</v>
      </c>
      <c r="C274" s="335">
        <v>0</v>
      </c>
      <c r="D274" s="16"/>
      <c r="E274" s="16"/>
    </row>
    <row r="275" spans="1:5" x14ac:dyDescent="0.25">
      <c r="A275" s="16" t="s">
        <v>431</v>
      </c>
      <c r="B275" s="42" t="s">
        <v>299</v>
      </c>
      <c r="C275" s="335">
        <v>0</v>
      </c>
      <c r="D275" s="16"/>
      <c r="E275" s="16"/>
    </row>
    <row r="276" spans="1:5" x14ac:dyDescent="0.25">
      <c r="A276" s="16" t="s">
        <v>432</v>
      </c>
      <c r="B276" s="16"/>
      <c r="C276" s="23"/>
      <c r="D276" s="28">
        <f>SUM(C266:C268)-C269+SUM(C270:C275)</f>
        <v>566162378</v>
      </c>
      <c r="E276" s="16"/>
    </row>
    <row r="277" spans="1:5" x14ac:dyDescent="0.25">
      <c r="A277" s="41" t="s">
        <v>433</v>
      </c>
      <c r="B277" s="41"/>
      <c r="C277" s="41"/>
      <c r="D277" s="41"/>
      <c r="E277" s="41"/>
    </row>
    <row r="278" spans="1:5" x14ac:dyDescent="0.25">
      <c r="A278" s="16" t="s">
        <v>422</v>
      </c>
      <c r="B278" s="42" t="s">
        <v>299</v>
      </c>
      <c r="C278" s="335">
        <v>0</v>
      </c>
      <c r="D278" s="16"/>
      <c r="E278" s="16"/>
    </row>
    <row r="279" spans="1:5" x14ac:dyDescent="0.25">
      <c r="A279" s="16" t="s">
        <v>423</v>
      </c>
      <c r="B279" s="42" t="s">
        <v>299</v>
      </c>
      <c r="C279" s="335">
        <v>0</v>
      </c>
      <c r="D279" s="16"/>
      <c r="E279" s="16"/>
    </row>
    <row r="280" spans="1:5" x14ac:dyDescent="0.25">
      <c r="A280" s="16" t="s">
        <v>434</v>
      </c>
      <c r="B280" s="42" t="s">
        <v>299</v>
      </c>
      <c r="C280" s="335">
        <v>265961058</v>
      </c>
      <c r="D280" s="16"/>
      <c r="E280" s="16"/>
    </row>
    <row r="281" spans="1:5" x14ac:dyDescent="0.25">
      <c r="A281" s="16" t="s">
        <v>435</v>
      </c>
      <c r="B281" s="16"/>
      <c r="C281" s="23"/>
      <c r="D281" s="28">
        <f>SUM(C278:C280)</f>
        <v>265961058</v>
      </c>
      <c r="E281" s="16"/>
    </row>
    <row r="282" spans="1:5" x14ac:dyDescent="0.25">
      <c r="A282" s="41" t="s">
        <v>436</v>
      </c>
      <c r="B282" s="41"/>
      <c r="C282" s="41"/>
      <c r="D282" s="41"/>
      <c r="E282" s="41"/>
    </row>
    <row r="283" spans="1:5" x14ac:dyDescent="0.25">
      <c r="A283" s="16" t="s">
        <v>391</v>
      </c>
      <c r="B283" s="42" t="s">
        <v>299</v>
      </c>
      <c r="C283" s="335">
        <v>2432000</v>
      </c>
      <c r="D283" s="16"/>
      <c r="E283" s="16"/>
    </row>
    <row r="284" spans="1:5" x14ac:dyDescent="0.25">
      <c r="A284" s="16" t="s">
        <v>392</v>
      </c>
      <c r="B284" s="42" t="s">
        <v>299</v>
      </c>
      <c r="C284" s="335">
        <v>7707000</v>
      </c>
      <c r="D284" s="16"/>
      <c r="E284" s="16"/>
    </row>
    <row r="285" spans="1:5" x14ac:dyDescent="0.25">
      <c r="A285" s="16" t="s">
        <v>393</v>
      </c>
      <c r="B285" s="42" t="s">
        <v>299</v>
      </c>
      <c r="C285" s="335">
        <v>466706384.53999996</v>
      </c>
      <c r="D285" s="16"/>
      <c r="E285" s="16"/>
    </row>
    <row r="286" spans="1:5" x14ac:dyDescent="0.25">
      <c r="A286" s="16" t="s">
        <v>437</v>
      </c>
      <c r="B286" s="42" t="s">
        <v>299</v>
      </c>
      <c r="C286" s="335">
        <v>126473791.79000001</v>
      </c>
      <c r="D286" s="16"/>
      <c r="E286" s="16"/>
    </row>
    <row r="287" spans="1:5" x14ac:dyDescent="0.25">
      <c r="A287" s="16" t="s">
        <v>438</v>
      </c>
      <c r="B287" s="42" t="s">
        <v>299</v>
      </c>
      <c r="C287" s="335">
        <v>0</v>
      </c>
      <c r="D287" s="16"/>
      <c r="E287" s="16"/>
    </row>
    <row r="288" spans="1:5" x14ac:dyDescent="0.25">
      <c r="A288" s="16" t="s">
        <v>439</v>
      </c>
      <c r="B288" s="42" t="s">
        <v>299</v>
      </c>
      <c r="C288" s="335">
        <v>166543000</v>
      </c>
      <c r="D288" s="16"/>
      <c r="E288" s="16"/>
    </row>
    <row r="289" spans="1:5" x14ac:dyDescent="0.25">
      <c r="A289" s="16" t="s">
        <v>398</v>
      </c>
      <c r="B289" s="42" t="s">
        <v>299</v>
      </c>
      <c r="C289" s="335">
        <v>14158000</v>
      </c>
      <c r="D289" s="16"/>
      <c r="E289" s="16"/>
    </row>
    <row r="290" spans="1:5" x14ac:dyDescent="0.25">
      <c r="A290" s="16" t="s">
        <v>399</v>
      </c>
      <c r="B290" s="42" t="s">
        <v>299</v>
      </c>
      <c r="C290" s="335">
        <v>26763138.239999998</v>
      </c>
      <c r="D290" s="16"/>
      <c r="E290" s="16"/>
    </row>
    <row r="291" spans="1:5" x14ac:dyDescent="0.25">
      <c r="A291" s="16" t="s">
        <v>440</v>
      </c>
      <c r="B291" s="16"/>
      <c r="C291" s="23"/>
      <c r="D291" s="28">
        <f>SUM(C283:C290)</f>
        <v>810783314.56999993</v>
      </c>
      <c r="E291" s="16"/>
    </row>
    <row r="292" spans="1:5" x14ac:dyDescent="0.25">
      <c r="A292" s="16" t="s">
        <v>441</v>
      </c>
      <c r="B292" s="42" t="s">
        <v>299</v>
      </c>
      <c r="C292" s="335">
        <v>538940000</v>
      </c>
      <c r="D292" s="16"/>
      <c r="E292" s="16"/>
    </row>
    <row r="293" spans="1:5" x14ac:dyDescent="0.25">
      <c r="A293" s="16" t="s">
        <v>442</v>
      </c>
      <c r="B293" s="16"/>
      <c r="C293" s="23"/>
      <c r="D293" s="28">
        <f>D291-C292</f>
        <v>271843314.56999993</v>
      </c>
      <c r="E293" s="16"/>
    </row>
    <row r="294" spans="1:5" x14ac:dyDescent="0.25">
      <c r="A294" s="41" t="s">
        <v>443</v>
      </c>
      <c r="B294" s="41"/>
      <c r="C294" s="41"/>
      <c r="D294" s="41"/>
      <c r="E294" s="41"/>
    </row>
    <row r="295" spans="1:5" x14ac:dyDescent="0.25">
      <c r="A295" s="16" t="s">
        <v>444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445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446</v>
      </c>
      <c r="B297" s="42" t="s">
        <v>299</v>
      </c>
      <c r="C297" s="335">
        <v>0</v>
      </c>
      <c r="D297" s="16"/>
      <c r="E297" s="16"/>
    </row>
    <row r="298" spans="1:5" x14ac:dyDescent="0.25">
      <c r="A298" s="16" t="s">
        <v>434</v>
      </c>
      <c r="B298" s="42" t="s">
        <v>299</v>
      </c>
      <c r="C298" s="335">
        <v>65768581</v>
      </c>
      <c r="D298" s="16"/>
      <c r="E298" s="16"/>
    </row>
    <row r="299" spans="1:5" x14ac:dyDescent="0.25">
      <c r="A299" s="16" t="s">
        <v>447</v>
      </c>
      <c r="B299" s="16"/>
      <c r="C299" s="23"/>
      <c r="D299" s="28">
        <f>C295-C296+C297+C298</f>
        <v>65768581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448</v>
      </c>
      <c r="B301" s="41"/>
      <c r="C301" s="41"/>
      <c r="D301" s="41"/>
      <c r="E301" s="41"/>
    </row>
    <row r="302" spans="1:5" x14ac:dyDescent="0.25">
      <c r="A302" s="16" t="s">
        <v>449</v>
      </c>
      <c r="B302" s="42" t="s">
        <v>299</v>
      </c>
      <c r="C302" s="335">
        <v>0</v>
      </c>
      <c r="D302" s="16"/>
      <c r="E302" s="16"/>
    </row>
    <row r="303" spans="1:5" x14ac:dyDescent="0.25">
      <c r="A303" s="16" t="s">
        <v>450</v>
      </c>
      <c r="B303" s="42" t="s">
        <v>299</v>
      </c>
      <c r="C303" s="335">
        <v>0</v>
      </c>
      <c r="D303" s="16"/>
      <c r="E303" s="16"/>
    </row>
    <row r="304" spans="1:5" x14ac:dyDescent="0.25">
      <c r="A304" s="16" t="s">
        <v>451</v>
      </c>
      <c r="B304" s="42" t="s">
        <v>299</v>
      </c>
      <c r="C304" s="335">
        <v>0</v>
      </c>
      <c r="D304" s="16"/>
      <c r="E304" s="16"/>
    </row>
    <row r="305" spans="1:6" x14ac:dyDescent="0.25">
      <c r="A305" s="16" t="s">
        <v>452</v>
      </c>
      <c r="B305" s="42" t="s">
        <v>299</v>
      </c>
      <c r="C305" s="335">
        <v>0</v>
      </c>
      <c r="D305" s="16"/>
      <c r="E305" s="16"/>
    </row>
    <row r="306" spans="1:6" x14ac:dyDescent="0.2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454</v>
      </c>
      <c r="B308" s="16"/>
      <c r="C308" s="23"/>
      <c r="D308" s="28">
        <f>D276+D281+D293+D299+D306</f>
        <v>1169735331.5699999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1169735331.5699999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455</v>
      </c>
      <c r="B312" s="34"/>
      <c r="C312" s="34"/>
      <c r="D312" s="34"/>
      <c r="E312" s="34"/>
    </row>
    <row r="313" spans="1:6" x14ac:dyDescent="0.25">
      <c r="A313" s="41" t="s">
        <v>456</v>
      </c>
      <c r="B313" s="41"/>
      <c r="C313" s="41"/>
      <c r="D313" s="41"/>
      <c r="E313" s="41"/>
    </row>
    <row r="314" spans="1:6" x14ac:dyDescent="0.25">
      <c r="A314" s="16" t="s">
        <v>457</v>
      </c>
      <c r="B314" s="42" t="s">
        <v>299</v>
      </c>
      <c r="C314" s="335">
        <v>0</v>
      </c>
      <c r="D314" s="16"/>
      <c r="E314" s="16"/>
    </row>
    <row r="315" spans="1:6" x14ac:dyDescent="0.25">
      <c r="A315" s="16" t="s">
        <v>458</v>
      </c>
      <c r="B315" s="42" t="s">
        <v>299</v>
      </c>
      <c r="C315" s="335">
        <v>46942880</v>
      </c>
      <c r="D315" s="16"/>
      <c r="E315" s="16"/>
    </row>
    <row r="316" spans="1:6" x14ac:dyDescent="0.25">
      <c r="A316" s="16" t="s">
        <v>459</v>
      </c>
      <c r="B316" s="42" t="s">
        <v>299</v>
      </c>
      <c r="C316" s="335">
        <v>73243579</v>
      </c>
      <c r="D316" s="16"/>
      <c r="E316" s="16"/>
    </row>
    <row r="317" spans="1:6" x14ac:dyDescent="0.25">
      <c r="A317" s="16" t="s">
        <v>460</v>
      </c>
      <c r="B317" s="42" t="s">
        <v>299</v>
      </c>
      <c r="C317" s="335">
        <v>0</v>
      </c>
      <c r="D317" s="16"/>
      <c r="E317" s="16"/>
    </row>
    <row r="318" spans="1:6" x14ac:dyDescent="0.25">
      <c r="A318" s="16" t="s">
        <v>461</v>
      </c>
      <c r="B318" s="42" t="s">
        <v>299</v>
      </c>
      <c r="C318" s="335">
        <v>0</v>
      </c>
      <c r="D318" s="16"/>
      <c r="E318" s="16"/>
    </row>
    <row r="319" spans="1:6" x14ac:dyDescent="0.25">
      <c r="A319" s="16" t="s">
        <v>462</v>
      </c>
      <c r="B319" s="42" t="s">
        <v>299</v>
      </c>
      <c r="C319" s="335">
        <v>80403602</v>
      </c>
      <c r="D319" s="16"/>
      <c r="E319" s="16"/>
    </row>
    <row r="320" spans="1:6" x14ac:dyDescent="0.25">
      <c r="A320" s="16" t="s">
        <v>463</v>
      </c>
      <c r="B320" s="42" t="s">
        <v>299</v>
      </c>
      <c r="C320" s="335">
        <v>0</v>
      </c>
      <c r="D320" s="16"/>
      <c r="E320" s="16"/>
    </row>
    <row r="321" spans="1:5" x14ac:dyDescent="0.25">
      <c r="A321" s="16" t="s">
        <v>464</v>
      </c>
      <c r="B321" s="42" t="s">
        <v>299</v>
      </c>
      <c r="C321" s="335">
        <v>0</v>
      </c>
      <c r="D321" s="16"/>
      <c r="E321" s="16"/>
    </row>
    <row r="322" spans="1:5" x14ac:dyDescent="0.25">
      <c r="A322" s="16" t="s">
        <v>465</v>
      </c>
      <c r="B322" s="42" t="s">
        <v>299</v>
      </c>
      <c r="C322" s="335">
        <v>14986072</v>
      </c>
      <c r="D322" s="16"/>
      <c r="E322" s="16"/>
    </row>
    <row r="323" spans="1:5" x14ac:dyDescent="0.25">
      <c r="A323" s="16" t="s">
        <v>466</v>
      </c>
      <c r="B323" s="42" t="s">
        <v>299</v>
      </c>
      <c r="C323" s="335">
        <v>0</v>
      </c>
      <c r="D323" s="16"/>
      <c r="E323" s="16"/>
    </row>
    <row r="324" spans="1:5" x14ac:dyDescent="0.25">
      <c r="A324" s="16" t="s">
        <v>467</v>
      </c>
      <c r="B324" s="16"/>
      <c r="C324" s="23"/>
      <c r="D324" s="28">
        <f>SUM(C314:C323)</f>
        <v>215576133</v>
      </c>
      <c r="E324" s="16"/>
    </row>
    <row r="325" spans="1:5" x14ac:dyDescent="0.25">
      <c r="A325" s="41" t="s">
        <v>468</v>
      </c>
      <c r="B325" s="41"/>
      <c r="C325" s="41"/>
      <c r="D325" s="41"/>
      <c r="E325" s="41"/>
    </row>
    <row r="326" spans="1:5" x14ac:dyDescent="0.25">
      <c r="A326" s="16" t="s">
        <v>469</v>
      </c>
      <c r="B326" s="42" t="s">
        <v>299</v>
      </c>
      <c r="C326" s="335">
        <v>0</v>
      </c>
      <c r="D326" s="16"/>
      <c r="E326" s="16"/>
    </row>
    <row r="327" spans="1:5" x14ac:dyDescent="0.25">
      <c r="A327" s="16" t="s">
        <v>470</v>
      </c>
      <c r="B327" s="42" t="s">
        <v>299</v>
      </c>
      <c r="C327" s="335">
        <v>0</v>
      </c>
      <c r="D327" s="16"/>
      <c r="E327" s="16"/>
    </row>
    <row r="328" spans="1:5" x14ac:dyDescent="0.25">
      <c r="A328" s="16" t="s">
        <v>471</v>
      </c>
      <c r="B328" s="42" t="s">
        <v>299</v>
      </c>
      <c r="C328" s="335">
        <v>35512962</v>
      </c>
      <c r="D328" s="16"/>
      <c r="E328" s="16"/>
    </row>
    <row r="329" spans="1:5" x14ac:dyDescent="0.25">
      <c r="A329" s="16" t="s">
        <v>472</v>
      </c>
      <c r="B329" s="16"/>
      <c r="C329" s="23"/>
      <c r="D329" s="28">
        <f>SUM(C326:C328)</f>
        <v>35512962</v>
      </c>
      <c r="E329" s="16"/>
    </row>
    <row r="330" spans="1:5" x14ac:dyDescent="0.25">
      <c r="A330" s="41" t="s">
        <v>473</v>
      </c>
      <c r="B330" s="41"/>
      <c r="C330" s="41"/>
      <c r="D330" s="41"/>
      <c r="E330" s="41"/>
    </row>
    <row r="331" spans="1:5" x14ac:dyDescent="0.25">
      <c r="A331" s="16" t="s">
        <v>474</v>
      </c>
      <c r="B331" s="42" t="s">
        <v>299</v>
      </c>
      <c r="C331" s="335">
        <v>0</v>
      </c>
      <c r="D331" s="16"/>
      <c r="E331" s="16"/>
    </row>
    <row r="332" spans="1:5" x14ac:dyDescent="0.25">
      <c r="A332" s="16" t="s">
        <v>475</v>
      </c>
      <c r="B332" s="42" t="s">
        <v>299</v>
      </c>
      <c r="C332" s="335">
        <v>0</v>
      </c>
      <c r="D332" s="16"/>
      <c r="E332" s="16"/>
    </row>
    <row r="333" spans="1:5" x14ac:dyDescent="0.25">
      <c r="A333" s="16" t="s">
        <v>476</v>
      </c>
      <c r="B333" s="42" t="s">
        <v>299</v>
      </c>
      <c r="C333" s="335">
        <v>0</v>
      </c>
      <c r="D333" s="16"/>
      <c r="E333" s="16"/>
    </row>
    <row r="334" spans="1:5" x14ac:dyDescent="0.25">
      <c r="A334" s="22" t="s">
        <v>477</v>
      </c>
      <c r="B334" s="42" t="s">
        <v>299</v>
      </c>
      <c r="C334" s="335">
        <v>0</v>
      </c>
      <c r="D334" s="16"/>
      <c r="E334" s="16"/>
    </row>
    <row r="335" spans="1:5" x14ac:dyDescent="0.25">
      <c r="A335" s="16" t="s">
        <v>478</v>
      </c>
      <c r="B335" s="42" t="s">
        <v>299</v>
      </c>
      <c r="C335" s="335">
        <v>0</v>
      </c>
      <c r="D335" s="16"/>
      <c r="E335" s="16"/>
    </row>
    <row r="336" spans="1:5" x14ac:dyDescent="0.25">
      <c r="A336" s="22" t="s">
        <v>479</v>
      </c>
      <c r="B336" s="42" t="s">
        <v>299</v>
      </c>
      <c r="C336" s="335">
        <v>20426328</v>
      </c>
      <c r="D336" s="16"/>
      <c r="E336" s="16"/>
    </row>
    <row r="337" spans="1:5" x14ac:dyDescent="0.25">
      <c r="A337" s="22" t="s">
        <v>480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481</v>
      </c>
      <c r="B338" s="42" t="s">
        <v>299</v>
      </c>
      <c r="C338" s="335">
        <v>151343832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171770160</v>
      </c>
      <c r="E339" s="16"/>
    </row>
    <row r="340" spans="1:5" x14ac:dyDescent="0.2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483</v>
      </c>
      <c r="B341" s="16"/>
      <c r="C341" s="23"/>
      <c r="D341" s="28">
        <f>D339-D340</f>
        <v>171770160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484</v>
      </c>
      <c r="B343" s="42" t="s">
        <v>299</v>
      </c>
      <c r="C343" s="339">
        <v>746876077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485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486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487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488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489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490</v>
      </c>
      <c r="B350" s="16"/>
      <c r="C350" s="23"/>
      <c r="D350" s="28">
        <f>D324+D329+D341+C343+C347+C348</f>
        <v>1169735332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491</v>
      </c>
      <c r="B352" s="16"/>
      <c r="C352" s="23"/>
      <c r="D352" s="28">
        <f>D308</f>
        <v>1169735331.5699999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492</v>
      </c>
      <c r="B356" s="34"/>
      <c r="C356" s="34"/>
      <c r="D356" s="34"/>
      <c r="E356" s="34"/>
    </row>
    <row r="357" spans="1:5" x14ac:dyDescent="0.25">
      <c r="A357" s="41" t="s">
        <v>493</v>
      </c>
      <c r="B357" s="41"/>
      <c r="C357" s="41"/>
      <c r="D357" s="41"/>
      <c r="E357" s="41"/>
    </row>
    <row r="358" spans="1:5" x14ac:dyDescent="0.25">
      <c r="A358" s="16" t="s">
        <v>494</v>
      </c>
      <c r="B358" s="42" t="s">
        <v>299</v>
      </c>
      <c r="C358" s="336">
        <v>2177549114</v>
      </c>
      <c r="D358" s="16"/>
      <c r="E358" s="16"/>
    </row>
    <row r="359" spans="1:5" x14ac:dyDescent="0.25">
      <c r="A359" s="16" t="s">
        <v>495</v>
      </c>
      <c r="B359" s="42" t="s">
        <v>299</v>
      </c>
      <c r="C359" s="336">
        <v>1206159270</v>
      </c>
      <c r="D359" s="16"/>
      <c r="E359" s="16"/>
    </row>
    <row r="360" spans="1:5" x14ac:dyDescent="0.25">
      <c r="A360" s="16" t="s">
        <v>496</v>
      </c>
      <c r="B360" s="16"/>
      <c r="C360" s="23"/>
      <c r="D360" s="28">
        <f>SUM(C358:C359)</f>
        <v>3383708384</v>
      </c>
      <c r="E360" s="16"/>
    </row>
    <row r="361" spans="1:5" x14ac:dyDescent="0.25">
      <c r="A361" s="41" t="s">
        <v>497</v>
      </c>
      <c r="B361" s="41"/>
      <c r="C361" s="41"/>
      <c r="D361" s="41"/>
      <c r="E361" s="41"/>
    </row>
    <row r="362" spans="1:5" x14ac:dyDescent="0.25">
      <c r="A362" s="16" t="s">
        <v>402</v>
      </c>
      <c r="B362" s="41"/>
      <c r="C362" s="335">
        <v>39655218.950000003</v>
      </c>
      <c r="D362" s="16"/>
      <c r="E362" s="41"/>
    </row>
    <row r="363" spans="1:5" x14ac:dyDescent="0.25">
      <c r="A363" s="16" t="s">
        <v>498</v>
      </c>
      <c r="B363" s="42" t="s">
        <v>299</v>
      </c>
      <c r="C363" s="335">
        <v>2032358473.04</v>
      </c>
      <c r="D363" s="16"/>
      <c r="E363" s="16"/>
    </row>
    <row r="364" spans="1:5" x14ac:dyDescent="0.25">
      <c r="A364" s="16" t="s">
        <v>499</v>
      </c>
      <c r="B364" s="42" t="s">
        <v>299</v>
      </c>
      <c r="C364" s="335">
        <v>110077882.01000001</v>
      </c>
      <c r="D364" s="16"/>
      <c r="E364" s="16"/>
    </row>
    <row r="365" spans="1:5" x14ac:dyDescent="0.25">
      <c r="A365" s="16" t="s">
        <v>500</v>
      </c>
      <c r="B365" s="42" t="s">
        <v>299</v>
      </c>
      <c r="C365" s="335">
        <v>0</v>
      </c>
      <c r="D365" s="16"/>
      <c r="E365" s="16"/>
    </row>
    <row r="366" spans="1:5" x14ac:dyDescent="0.25">
      <c r="A366" s="16" t="s">
        <v>419</v>
      </c>
      <c r="B366" s="16"/>
      <c r="C366" s="23"/>
      <c r="D366" s="28">
        <f>SUM(C362:C365)</f>
        <v>2182091574</v>
      </c>
      <c r="E366" s="16"/>
    </row>
    <row r="367" spans="1:5" x14ac:dyDescent="0.25">
      <c r="A367" s="16" t="s">
        <v>501</v>
      </c>
      <c r="B367" s="16"/>
      <c r="C367" s="23"/>
      <c r="D367" s="28">
        <f>D360-D366</f>
        <v>1201616810</v>
      </c>
      <c r="E367" s="16"/>
    </row>
    <row r="368" spans="1:5" x14ac:dyDescent="0.25">
      <c r="A368" s="54" t="s">
        <v>502</v>
      </c>
      <c r="B368" s="41"/>
      <c r="C368" s="41"/>
      <c r="D368" s="41"/>
      <c r="E368" s="41"/>
    </row>
    <row r="369" spans="1:6" x14ac:dyDescent="0.25">
      <c r="A369" s="28" t="s">
        <v>503</v>
      </c>
      <c r="B369" s="16"/>
      <c r="C369" s="16"/>
      <c r="D369" s="16"/>
      <c r="E369" s="16"/>
    </row>
    <row r="370" spans="1:6" x14ac:dyDescent="0.25">
      <c r="A370" s="55" t="s">
        <v>504</v>
      </c>
      <c r="B370" s="36" t="s">
        <v>299</v>
      </c>
      <c r="C370" s="335">
        <v>0</v>
      </c>
      <c r="D370" s="28">
        <v>0</v>
      </c>
      <c r="E370" s="28"/>
    </row>
    <row r="371" spans="1:6" x14ac:dyDescent="0.25">
      <c r="A371" s="55" t="s">
        <v>505</v>
      </c>
      <c r="B371" s="36" t="s">
        <v>299</v>
      </c>
      <c r="C371" s="335">
        <v>0</v>
      </c>
      <c r="D371" s="28">
        <v>0</v>
      </c>
      <c r="E371" s="28"/>
    </row>
    <row r="372" spans="1:6" x14ac:dyDescent="0.25">
      <c r="A372" s="55" t="s">
        <v>506</v>
      </c>
      <c r="B372" s="36" t="s">
        <v>299</v>
      </c>
      <c r="C372" s="335">
        <v>0</v>
      </c>
      <c r="D372" s="28">
        <v>0</v>
      </c>
      <c r="E372" s="28"/>
    </row>
    <row r="373" spans="1:6" x14ac:dyDescent="0.25">
      <c r="A373" s="55" t="s">
        <v>507</v>
      </c>
      <c r="B373" s="36" t="s">
        <v>299</v>
      </c>
      <c r="C373" s="335">
        <v>0</v>
      </c>
      <c r="D373" s="28">
        <v>0</v>
      </c>
      <c r="E373" s="28"/>
    </row>
    <row r="374" spans="1:6" x14ac:dyDescent="0.25">
      <c r="A374" s="55" t="s">
        <v>508</v>
      </c>
      <c r="B374" s="36" t="s">
        <v>299</v>
      </c>
      <c r="C374" s="335">
        <v>0</v>
      </c>
      <c r="D374" s="28">
        <v>0</v>
      </c>
      <c r="E374" s="28"/>
    </row>
    <row r="375" spans="1:6" x14ac:dyDescent="0.25">
      <c r="A375" s="55" t="s">
        <v>509</v>
      </c>
      <c r="B375" s="36" t="s">
        <v>299</v>
      </c>
      <c r="C375" s="335">
        <v>0</v>
      </c>
      <c r="D375" s="28">
        <v>0</v>
      </c>
      <c r="E375" s="28"/>
    </row>
    <row r="376" spans="1:6" x14ac:dyDescent="0.25">
      <c r="A376" s="55" t="s">
        <v>510</v>
      </c>
      <c r="B376" s="36" t="s">
        <v>299</v>
      </c>
      <c r="C376" s="335">
        <v>0</v>
      </c>
      <c r="D376" s="28">
        <v>0</v>
      </c>
      <c r="E376" s="28"/>
    </row>
    <row r="377" spans="1:6" x14ac:dyDescent="0.25">
      <c r="A377" s="55" t="s">
        <v>511</v>
      </c>
      <c r="B377" s="36" t="s">
        <v>299</v>
      </c>
      <c r="C377" s="335">
        <v>0</v>
      </c>
      <c r="D377" s="28">
        <v>0</v>
      </c>
      <c r="E377" s="28"/>
    </row>
    <row r="378" spans="1:6" x14ac:dyDescent="0.25">
      <c r="A378" s="55" t="s">
        <v>512</v>
      </c>
      <c r="B378" s="36" t="s">
        <v>299</v>
      </c>
      <c r="C378" s="335">
        <v>0</v>
      </c>
      <c r="D378" s="28">
        <v>0</v>
      </c>
      <c r="E378" s="28"/>
    </row>
    <row r="379" spans="1:6" x14ac:dyDescent="0.25">
      <c r="A379" s="55" t="s">
        <v>513</v>
      </c>
      <c r="B379" s="36" t="s">
        <v>299</v>
      </c>
      <c r="C379" s="335">
        <v>0</v>
      </c>
      <c r="D379" s="28">
        <v>0</v>
      </c>
      <c r="E379" s="28"/>
    </row>
    <row r="380" spans="1:6" x14ac:dyDescent="0.25">
      <c r="A380" s="55" t="s">
        <v>514</v>
      </c>
      <c r="B380" s="36" t="s">
        <v>299</v>
      </c>
      <c r="C380" s="340">
        <v>106943276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515</v>
      </c>
      <c r="B381" s="42"/>
      <c r="C381" s="42"/>
      <c r="D381" s="28">
        <f>SUM(C370:C380)</f>
        <v>106943276</v>
      </c>
      <c r="E381" s="28"/>
      <c r="F381" s="56"/>
    </row>
    <row r="382" spans="1:6" x14ac:dyDescent="0.25">
      <c r="A382" s="52" t="s">
        <v>516</v>
      </c>
      <c r="B382" s="42" t="s">
        <v>299</v>
      </c>
      <c r="C382" s="335">
        <v>0</v>
      </c>
      <c r="D382" s="28">
        <v>0</v>
      </c>
      <c r="E382" s="16"/>
    </row>
    <row r="383" spans="1:6" x14ac:dyDescent="0.25">
      <c r="A383" s="16" t="s">
        <v>517</v>
      </c>
      <c r="B383" s="16"/>
      <c r="C383" s="23"/>
      <c r="D383" s="28">
        <f>D381+C382</f>
        <v>106943276</v>
      </c>
      <c r="E383" s="16"/>
    </row>
    <row r="384" spans="1:6" x14ac:dyDescent="0.25">
      <c r="A384" s="16" t="s">
        <v>518</v>
      </c>
      <c r="B384" s="16"/>
      <c r="C384" s="23"/>
      <c r="D384" s="28">
        <f>D367+D383</f>
        <v>1308560086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519</v>
      </c>
      <c r="B388" s="41"/>
      <c r="C388" s="41"/>
      <c r="D388" s="41"/>
      <c r="E388" s="41"/>
    </row>
    <row r="389" spans="1:5" x14ac:dyDescent="0.25">
      <c r="A389" s="16" t="s">
        <v>520</v>
      </c>
      <c r="B389" s="42" t="s">
        <v>299</v>
      </c>
      <c r="C389" s="335">
        <v>559661204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5">
        <v>159027451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5">
        <v>44421612</v>
      </c>
      <c r="D391" s="16"/>
      <c r="E391" s="16"/>
    </row>
    <row r="392" spans="1:5" x14ac:dyDescent="0.25">
      <c r="A392" s="16" t="s">
        <v>521</v>
      </c>
      <c r="B392" s="42" t="s">
        <v>299</v>
      </c>
      <c r="C392" s="335">
        <v>225718568</v>
      </c>
      <c r="D392" s="16"/>
      <c r="E392" s="16"/>
    </row>
    <row r="393" spans="1:5" x14ac:dyDescent="0.25">
      <c r="A393" s="16" t="s">
        <v>522</v>
      </c>
      <c r="B393" s="42" t="s">
        <v>299</v>
      </c>
      <c r="C393" s="335">
        <v>13410241</v>
      </c>
      <c r="D393" s="16"/>
      <c r="E393" s="16"/>
    </row>
    <row r="394" spans="1:5" x14ac:dyDescent="0.25">
      <c r="A394" s="16" t="s">
        <v>523</v>
      </c>
      <c r="B394" s="42" t="s">
        <v>299</v>
      </c>
      <c r="C394" s="335">
        <v>274724028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5">
        <v>41132454</v>
      </c>
      <c r="D395" s="16"/>
      <c r="E395" s="16"/>
    </row>
    <row r="396" spans="1:5" x14ac:dyDescent="0.25">
      <c r="A396" s="16" t="s">
        <v>524</v>
      </c>
      <c r="B396" s="42" t="s">
        <v>299</v>
      </c>
      <c r="C396" s="335">
        <v>3221393</v>
      </c>
      <c r="D396" s="16"/>
      <c r="E396" s="16"/>
    </row>
    <row r="397" spans="1:5" x14ac:dyDescent="0.25">
      <c r="A397" s="16" t="s">
        <v>525</v>
      </c>
      <c r="B397" s="42" t="s">
        <v>299</v>
      </c>
      <c r="C397" s="335">
        <v>11276632</v>
      </c>
      <c r="D397" s="16"/>
      <c r="E397" s="16"/>
    </row>
    <row r="398" spans="1:5" x14ac:dyDescent="0.25">
      <c r="A398" s="16" t="s">
        <v>526</v>
      </c>
      <c r="B398" s="42" t="s">
        <v>299</v>
      </c>
      <c r="C398" s="335">
        <v>2440443</v>
      </c>
      <c r="D398" s="16"/>
      <c r="E398" s="16"/>
    </row>
    <row r="399" spans="1:5" x14ac:dyDescent="0.25">
      <c r="A399" s="16" t="s">
        <v>527</v>
      </c>
      <c r="B399" s="42" t="s">
        <v>299</v>
      </c>
      <c r="C399" s="335">
        <v>0</v>
      </c>
      <c r="D399" s="16"/>
      <c r="E399" s="16"/>
    </row>
    <row r="400" spans="1:5" x14ac:dyDescent="0.25">
      <c r="A400" s="28" t="s">
        <v>528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5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5">
        <v>0</v>
      </c>
      <c r="D402" s="28">
        <v>0</v>
      </c>
      <c r="E402" s="28"/>
    </row>
    <row r="403" spans="1:9" x14ac:dyDescent="0.25">
      <c r="A403" s="29" t="s">
        <v>529</v>
      </c>
      <c r="B403" s="36" t="s">
        <v>299</v>
      </c>
      <c r="C403" s="335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5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5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5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5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5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5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5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5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5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5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2675034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530</v>
      </c>
      <c r="B415" s="42"/>
      <c r="C415" s="42"/>
      <c r="D415" s="28">
        <f>SUM(C401:C414)</f>
        <v>2675034</v>
      </c>
      <c r="E415" s="28"/>
      <c r="F415" s="56"/>
      <c r="G415" s="56"/>
      <c r="H415" s="56"/>
      <c r="I415" s="56"/>
    </row>
    <row r="416" spans="1:9" x14ac:dyDescent="0.25">
      <c r="A416" s="28" t="s">
        <v>531</v>
      </c>
      <c r="B416" s="16"/>
      <c r="C416" s="23"/>
      <c r="D416" s="28">
        <f>SUM(C389:C399,D415)</f>
        <v>1337709060</v>
      </c>
      <c r="E416" s="28"/>
    </row>
    <row r="417" spans="1:13" x14ac:dyDescent="0.25">
      <c r="A417" s="28" t="s">
        <v>532</v>
      </c>
      <c r="B417" s="16"/>
      <c r="C417" s="23"/>
      <c r="D417" s="28">
        <f>D384-D416</f>
        <v>-29148974</v>
      </c>
      <c r="E417" s="28"/>
    </row>
    <row r="418" spans="1:13" x14ac:dyDescent="0.25">
      <c r="A418" s="28" t="s">
        <v>533</v>
      </c>
      <c r="B418" s="16"/>
      <c r="C418" s="340">
        <v>49449013</v>
      </c>
      <c r="D418" s="28">
        <v>0</v>
      </c>
      <c r="E418" s="28"/>
    </row>
    <row r="419" spans="1:13" x14ac:dyDescent="0.25">
      <c r="A419" s="55" t="s">
        <v>534</v>
      </c>
      <c r="B419" s="42" t="s">
        <v>299</v>
      </c>
      <c r="C419" s="335">
        <v>0</v>
      </c>
      <c r="D419" s="28">
        <v>0</v>
      </c>
      <c r="E419" s="28"/>
    </row>
    <row r="420" spans="1:13" x14ac:dyDescent="0.25">
      <c r="A420" s="57" t="s">
        <v>535</v>
      </c>
      <c r="B420" s="16"/>
      <c r="C420" s="16"/>
      <c r="D420" s="28">
        <f>SUM(C418:C419)</f>
        <v>49449013</v>
      </c>
      <c r="E420" s="28"/>
      <c r="F420" s="11">
        <f>D420-C399</f>
        <v>49449013</v>
      </c>
    </row>
    <row r="421" spans="1:13" x14ac:dyDescent="0.25">
      <c r="A421" s="28" t="s">
        <v>536</v>
      </c>
      <c r="B421" s="16"/>
      <c r="C421" s="23"/>
      <c r="D421" s="28">
        <f>D417+D420</f>
        <v>20300039</v>
      </c>
      <c r="E421" s="28"/>
      <c r="F421" s="59"/>
    </row>
    <row r="422" spans="1:13" x14ac:dyDescent="0.25">
      <c r="A422" s="28" t="s">
        <v>537</v>
      </c>
      <c r="B422" s="42" t="s">
        <v>299</v>
      </c>
      <c r="C422" s="335">
        <v>0</v>
      </c>
      <c r="D422" s="28">
        <v>0</v>
      </c>
      <c r="E422" s="16"/>
    </row>
    <row r="423" spans="1:13" x14ac:dyDescent="0.25">
      <c r="A423" s="16" t="s">
        <v>538</v>
      </c>
      <c r="B423" s="42" t="s">
        <v>299</v>
      </c>
      <c r="C423" s="335">
        <v>0</v>
      </c>
      <c r="D423" s="28">
        <v>0</v>
      </c>
      <c r="E423" s="16"/>
    </row>
    <row r="424" spans="1:13" x14ac:dyDescent="0.25">
      <c r="A424" s="16" t="s">
        <v>539</v>
      </c>
      <c r="B424" s="16"/>
      <c r="C424" s="23"/>
      <c r="D424" s="28">
        <f>D421+C422-C423</f>
        <v>20300039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540</v>
      </c>
      <c r="D612" s="227">
        <f>CE90-(BE90+CD90)</f>
        <v>1432462.3286496648</v>
      </c>
      <c r="E612" s="229">
        <f>SUM(C624:D647)+SUM(C668:D713)</f>
        <v>1129265424.0612509</v>
      </c>
      <c r="F612" s="229">
        <f>CE64-(AX64+BD64+BE64+BG64+BJ64+BN64+BP64+BQ64+CB64+CC64+CD64)</f>
        <v>221387419.56</v>
      </c>
      <c r="G612" s="227">
        <f>CE91-(AX91+AY91+BD91+BE91+BG91+BJ91+BN91+BP91+BQ91+CB91+CC91+CD91)</f>
        <v>966103</v>
      </c>
      <c r="H612" s="232">
        <f>CE60-(AX60+AY60+AZ60+BD60+BE60+BG60+BJ60+BN60+BO60+BP60+BQ60+BR60+CB60+CC60+CD60)</f>
        <v>1224.2399999999993</v>
      </c>
      <c r="I612" s="227">
        <f>CE92-(AX92+AY92+AZ92+BD92+BE92+BF92+BG92+BJ92+BN92+BO92+BP92+BQ92+BR92+CB92+CC92+CD92)</f>
        <v>298409.18647162756</v>
      </c>
      <c r="J612" s="227">
        <f>CE93-(AX93+AY93+AZ93+BA93+BD93+BE93+BF93+BG93+BJ93+BN93+BO93+BP93+BQ93+BR93+CB93+CC93+CD93)</f>
        <v>358885.5</v>
      </c>
      <c r="K612" s="227">
        <f>CE89-(AW89+AX89+AY89+AZ89+BA89+BB89+BC89+BD89+BE89+BF89+BG89+BH89+BI89+BJ89+BK89+BL89+BM89+BN89+BO89+BP89+BQ89+BR89+BS89+BT89+BU89+BV89+BW89+BX89+CB89+CC89+CD89)</f>
        <v>3383708384.1300001</v>
      </c>
      <c r="L612" s="233">
        <f>CE94-(AW94+AX94+AY94+AZ94+BA94+BB94+BC94+BD94+BE94+BF94+BG94+BH94+BI94+BJ94+BK94+BL94+BM94+BN94+BO94+BP94+BQ94+BR94+BS94+BT94+BU94+BV94+BW94+BX94+BY94+BZ94+CA94+CB94+CC94+CD94)</f>
        <v>3570.33</v>
      </c>
    </row>
    <row r="613" spans="1:14" s="211" customFormat="1" ht="12.6" customHeight="1" x14ac:dyDescent="0.2">
      <c r="A613" s="222"/>
      <c r="C613" s="220" t="s">
        <v>541</v>
      </c>
      <c r="D613" s="228" t="s">
        <v>542</v>
      </c>
      <c r="E613" s="230" t="s">
        <v>543</v>
      </c>
      <c r="F613" s="231" t="s">
        <v>544</v>
      </c>
      <c r="G613" s="228" t="s">
        <v>545</v>
      </c>
      <c r="H613" s="231" t="s">
        <v>546</v>
      </c>
      <c r="I613" s="228" t="s">
        <v>547</v>
      </c>
      <c r="J613" s="228" t="s">
        <v>548</v>
      </c>
      <c r="K613" s="220" t="s">
        <v>549</v>
      </c>
      <c r="L613" s="221" t="s">
        <v>550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29986745.890000004</v>
      </c>
      <c r="D614" s="227"/>
      <c r="E614" s="229"/>
      <c r="F614" s="229"/>
      <c r="G614" s="227"/>
      <c r="H614" s="229"/>
      <c r="I614" s="227"/>
      <c r="J614" s="227"/>
      <c r="N614" s="223" t="s">
        <v>551</v>
      </c>
    </row>
    <row r="615" spans="1:14" s="211" customFormat="1" ht="12.6" customHeight="1" x14ac:dyDescent="0.2">
      <c r="A615" s="222"/>
      <c r="B615" s="221" t="s">
        <v>552</v>
      </c>
      <c r="C615" s="227">
        <f>CD69-CD84</f>
        <v>14626858.640000001</v>
      </c>
      <c r="D615" s="227">
        <f>SUM(C614:C615)</f>
        <v>44613604.530000001</v>
      </c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" customHeight="1" x14ac:dyDescent="0.2">
      <c r="A616" s="222">
        <v>8310</v>
      </c>
      <c r="B616" s="226" t="s">
        <v>554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12073696.24</v>
      </c>
      <c r="D617" s="227">
        <f>(D615/D612)*BJ90</f>
        <v>195744.4177504972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" customHeight="1" x14ac:dyDescent="0.2">
      <c r="A618" s="222">
        <v>8470</v>
      </c>
      <c r="B618" s="226" t="s">
        <v>557</v>
      </c>
      <c r="C618" s="227">
        <f>BG85</f>
        <v>817583.99</v>
      </c>
      <c r="D618" s="227">
        <f>(D615/D612)*BG90</f>
        <v>277156.65450464195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" customHeight="1" x14ac:dyDescent="0.2">
      <c r="A619" s="222">
        <v>8610</v>
      </c>
      <c r="B619" s="226" t="s">
        <v>559</v>
      </c>
      <c r="C619" s="227">
        <f>BN85</f>
        <v>22503260.039999999</v>
      </c>
      <c r="D619" s="227">
        <f>(D615/D612)*BN90</f>
        <v>194799.69528880031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" customHeight="1" x14ac:dyDescent="0.2">
      <c r="A620" s="222">
        <v>8790</v>
      </c>
      <c r="B620" s="226" t="s">
        <v>561</v>
      </c>
      <c r="C620" s="227">
        <f>CC85</f>
        <v>58550078.779999986</v>
      </c>
      <c r="D620" s="227">
        <f>(D615/D612)*CC90</f>
        <v>4457932.4746547015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" customHeight="1" x14ac:dyDescent="0.2">
      <c r="A621" s="222">
        <v>8630</v>
      </c>
      <c r="B621" s="226" t="s">
        <v>563</v>
      </c>
      <c r="C621" s="227">
        <f>BP85</f>
        <v>1238066.5899999999</v>
      </c>
      <c r="D621" s="227">
        <f>(D615/D612)*BP90</f>
        <v>37643.556550692279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" customHeight="1" x14ac:dyDescent="0.2">
      <c r="A622" s="222">
        <v>8770</v>
      </c>
      <c r="B622" s="221" t="s">
        <v>565</v>
      </c>
      <c r="C622" s="227">
        <f>CB85</f>
        <v>1154400.2999999998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" customHeight="1" x14ac:dyDescent="0.2">
      <c r="A623" s="222">
        <v>8640</v>
      </c>
      <c r="B623" s="226" t="s">
        <v>567</v>
      </c>
      <c r="C623" s="227">
        <f>BQ85</f>
        <v>0</v>
      </c>
      <c r="D623" s="227">
        <f>(D615/D612)*BQ90</f>
        <v>0</v>
      </c>
      <c r="E623" s="229">
        <f>SUM(C616:D623)</f>
        <v>101500362.73874933</v>
      </c>
      <c r="F623" s="229"/>
      <c r="G623" s="227"/>
      <c r="H623" s="229"/>
      <c r="I623" s="227"/>
      <c r="J623" s="227"/>
      <c r="N623" s="223" t="s">
        <v>568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3743388.14</v>
      </c>
      <c r="D624" s="227">
        <f>(D615/D612)*BD90</f>
        <v>163416.22274253919</v>
      </c>
      <c r="E624" s="229">
        <f>(E623/E612)*SUM(C624:D624)</f>
        <v>351150.44835215627</v>
      </c>
      <c r="F624" s="229">
        <f>SUM(C624:E624)</f>
        <v>4257954.8110946957</v>
      </c>
      <c r="G624" s="227"/>
      <c r="H624" s="229"/>
      <c r="I624" s="227"/>
      <c r="J624" s="227"/>
      <c r="N624" s="223" t="s">
        <v>569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13408477.670000002</v>
      </c>
      <c r="D625" s="227">
        <f>(D615/D612)*AY90</f>
        <v>926772.73492466914</v>
      </c>
      <c r="E625" s="229">
        <f>(E623/E612)*SUM(C625:D625)</f>
        <v>1288477.5226871169</v>
      </c>
      <c r="F625" s="229">
        <f>(F624/F612)*AY64</f>
        <v>131416.01023993749</v>
      </c>
      <c r="G625" s="227">
        <f>SUM(C625:F625)</f>
        <v>15755143.937851725</v>
      </c>
      <c r="H625" s="229"/>
      <c r="I625" s="227"/>
      <c r="J625" s="227"/>
      <c r="N625" s="223" t="s">
        <v>570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7690619.5599999996</v>
      </c>
      <c r="D626" s="227">
        <f>(D615/D612)*BR90</f>
        <v>218376.23056917044</v>
      </c>
      <c r="E626" s="229">
        <f>(E623/E612)*SUM(C626:D626)</f>
        <v>710874.45390382421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571</v>
      </c>
    </row>
    <row r="627" spans="1:14" s="211" customFormat="1" ht="12.6" customHeight="1" x14ac:dyDescent="0.2">
      <c r="A627" s="222">
        <v>8620</v>
      </c>
      <c r="B627" s="221" t="s">
        <v>572</v>
      </c>
      <c r="C627" s="227">
        <f>BO85</f>
        <v>1945447.17</v>
      </c>
      <c r="D627" s="227">
        <f>(D615/D612)*BO90</f>
        <v>45471.256947609538</v>
      </c>
      <c r="E627" s="229">
        <f>(E623/E612)*SUM(C627:D627)</f>
        <v>178947.25032109182</v>
      </c>
      <c r="F627" s="229">
        <f>(F624/F612)*BO64</f>
        <v>1060.4596698819228</v>
      </c>
      <c r="G627" s="227">
        <f>(G625/G612)*BO91</f>
        <v>0</v>
      </c>
      <c r="H627" s="229"/>
      <c r="I627" s="227"/>
      <c r="J627" s="227"/>
      <c r="N627" s="223" t="s">
        <v>573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10790796.381411579</v>
      </c>
      <c r="I628" s="227"/>
      <c r="J628" s="227"/>
      <c r="N628" s="223" t="s">
        <v>574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19187364.729999993</v>
      </c>
      <c r="D629" s="227">
        <f>(D615/D612)*BF90</f>
        <v>989529.29845167825</v>
      </c>
      <c r="E629" s="229">
        <f>(E623/E612)*SUM(C629:D629)</f>
        <v>1813534.7272600716</v>
      </c>
      <c r="F629" s="229">
        <f>(F624/F612)*BF64</f>
        <v>30244.785949135352</v>
      </c>
      <c r="G629" s="227">
        <f>(G625/G612)*BF91</f>
        <v>0</v>
      </c>
      <c r="H629" s="229">
        <f>(H628/H612)*BF60</f>
        <v>88.142818249784227</v>
      </c>
      <c r="I629" s="227">
        <f>SUM(C629:H629)</f>
        <v>22020761.684479129</v>
      </c>
      <c r="J629" s="227"/>
      <c r="N629" s="223" t="s">
        <v>575</v>
      </c>
    </row>
    <row r="630" spans="1:14" s="211" customFormat="1" ht="12.6" customHeight="1" x14ac:dyDescent="0.2">
      <c r="A630" s="222">
        <v>8350</v>
      </c>
      <c r="B630" s="226" t="s">
        <v>576</v>
      </c>
      <c r="C630" s="227">
        <f>BA85</f>
        <v>1245824.9000000001</v>
      </c>
      <c r="D630" s="227">
        <f>(D615/D612)*BA90</f>
        <v>195059.23442662912</v>
      </c>
      <c r="E630" s="229">
        <f>(E623/E612)*SUM(C630:D630)</f>
        <v>129509.20057646176</v>
      </c>
      <c r="F630" s="229">
        <f>(F624/F612)*BA64</f>
        <v>12330.900250449315</v>
      </c>
      <c r="G630" s="227">
        <f>(G625/G612)*BA91</f>
        <v>0</v>
      </c>
      <c r="H630" s="229">
        <f>(H628/H612)*BA60</f>
        <v>0</v>
      </c>
      <c r="I630" s="227">
        <f>(I629/I612)*BA92</f>
        <v>115756.60838041846</v>
      </c>
      <c r="J630" s="227">
        <f>SUM(C630:I630)</f>
        <v>1698480.8436339588</v>
      </c>
      <c r="N630" s="223" t="s">
        <v>577</v>
      </c>
    </row>
    <row r="631" spans="1:14" s="211" customFormat="1" ht="12.6" customHeight="1" x14ac:dyDescent="0.2">
      <c r="A631" s="222">
        <v>8200</v>
      </c>
      <c r="B631" s="226" t="s">
        <v>578</v>
      </c>
      <c r="C631" s="227">
        <f>AW85</f>
        <v>34196968.350000001</v>
      </c>
      <c r="D631" s="227">
        <f>(D615/D612)*AW90</f>
        <v>0</v>
      </c>
      <c r="E631" s="229">
        <f>(E623/E612)*SUM(C631:D631)</f>
        <v>3073683.6691656862</v>
      </c>
      <c r="F631" s="229">
        <f>(F624/F612)*AW64</f>
        <v>11887.025357416074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579</v>
      </c>
    </row>
    <row r="632" spans="1:14" s="211" customFormat="1" ht="12.6" customHeight="1" x14ac:dyDescent="0.2">
      <c r="A632" s="222">
        <v>8360</v>
      </c>
      <c r="B632" s="226" t="s">
        <v>580</v>
      </c>
      <c r="C632" s="227">
        <f>BB85</f>
        <v>21461010.760000002</v>
      </c>
      <c r="D632" s="227">
        <f>(D615/D612)*BB90</f>
        <v>276596.04996693169</v>
      </c>
      <c r="E632" s="229">
        <f>(E623/E612)*SUM(C632:D632)</f>
        <v>1953814.3374203569</v>
      </c>
      <c r="F632" s="229">
        <f>(F624/F612)*BB64</f>
        <v>3198.7602995561442</v>
      </c>
      <c r="G632" s="227">
        <f>(G625/G612)*BB91</f>
        <v>0</v>
      </c>
      <c r="H632" s="229">
        <f>(H628/H612)*BB60</f>
        <v>8902.4246432282071</v>
      </c>
      <c r="I632" s="227">
        <f>(I629/I612)*BB92</f>
        <v>164144.09053592468</v>
      </c>
      <c r="J632" s="227">
        <f>(J630/J612)*BB93</f>
        <v>0</v>
      </c>
      <c r="N632" s="223" t="s">
        <v>581</v>
      </c>
    </row>
    <row r="633" spans="1:14" s="211" customFormat="1" ht="12.6" customHeight="1" x14ac:dyDescent="0.2">
      <c r="A633" s="222">
        <v>8370</v>
      </c>
      <c r="B633" s="226" t="s">
        <v>582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583</v>
      </c>
    </row>
    <row r="634" spans="1:14" s="211" customFormat="1" ht="12.6" customHeight="1" x14ac:dyDescent="0.2">
      <c r="A634" s="222">
        <v>8490</v>
      </c>
      <c r="B634" s="226" t="s">
        <v>584</v>
      </c>
      <c r="C634" s="227">
        <f>BI85</f>
        <v>154603.99000000011</v>
      </c>
      <c r="D634" s="227">
        <f>(D615/D612)*BI90</f>
        <v>907322.87193577725</v>
      </c>
      <c r="E634" s="229">
        <f>(E623/E612)*SUM(C634:D634)</f>
        <v>95447.854323623484</v>
      </c>
      <c r="F634" s="229">
        <f>(F624/F612)*BI64</f>
        <v>5332.0174471195378</v>
      </c>
      <c r="G634" s="227">
        <f>(G625/G612)*BI91</f>
        <v>0</v>
      </c>
      <c r="H634" s="229">
        <f>(H628/H612)*BI60</f>
        <v>1762.8563649956848</v>
      </c>
      <c r="I634" s="227">
        <f>(I629/I612)*BI92</f>
        <v>538444.73792791646</v>
      </c>
      <c r="J634" s="227">
        <f>(J630/J612)*BI93</f>
        <v>0</v>
      </c>
      <c r="N634" s="223" t="s">
        <v>585</v>
      </c>
    </row>
    <row r="635" spans="1:14" s="211" customFormat="1" ht="12.6" customHeight="1" x14ac:dyDescent="0.2">
      <c r="A635" s="222">
        <v>8530</v>
      </c>
      <c r="B635" s="226" t="s">
        <v>586</v>
      </c>
      <c r="C635" s="227">
        <f>BK85</f>
        <v>24769057.629999999</v>
      </c>
      <c r="D635" s="227">
        <f>(D615/D612)*BK90</f>
        <v>232831.52238968451</v>
      </c>
      <c r="E635" s="229">
        <f>(E623/E612)*SUM(C635:D635)</f>
        <v>2247213.7763636257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138172.32203901201</v>
      </c>
      <c r="J635" s="227">
        <f>(J630/J612)*BK93</f>
        <v>0</v>
      </c>
      <c r="N635" s="223" t="s">
        <v>587</v>
      </c>
    </row>
    <row r="636" spans="1:14" s="211" customFormat="1" ht="12.6" customHeight="1" x14ac:dyDescent="0.2">
      <c r="A636" s="222">
        <v>8480</v>
      </c>
      <c r="B636" s="226" t="s">
        <v>588</v>
      </c>
      <c r="C636" s="227">
        <f>BH85</f>
        <v>82151402.829999998</v>
      </c>
      <c r="D636" s="227">
        <f>(D615/D612)*BH90</f>
        <v>3552239.5085044885</v>
      </c>
      <c r="E636" s="229">
        <f>(E623/E612)*SUM(C636:D636)</f>
        <v>7703194.129601202</v>
      </c>
      <c r="F636" s="229">
        <f>(F624/F612)*BH64</f>
        <v>11284.3643454842</v>
      </c>
      <c r="G636" s="227">
        <f>(G625/G612)*BH91</f>
        <v>0</v>
      </c>
      <c r="H636" s="229">
        <f>(H628/H612)*BH60</f>
        <v>0</v>
      </c>
      <c r="I636" s="227">
        <f>(I629/I612)*BH92</f>
        <v>2108052.9659008477</v>
      </c>
      <c r="J636" s="227">
        <f>(J630/J612)*BH93</f>
        <v>0</v>
      </c>
      <c r="N636" s="223" t="s">
        <v>589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6101694.7699999996</v>
      </c>
      <c r="D637" s="227">
        <f>(D615/D612)*BL90</f>
        <v>91830.137746593638</v>
      </c>
      <c r="E637" s="229">
        <f>(E623/E612)*SUM(C637:D637)</f>
        <v>556684.91337219998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54495.985918835038</v>
      </c>
      <c r="J637" s="227">
        <f>(J630/J612)*BL93</f>
        <v>0</v>
      </c>
      <c r="N637" s="223" t="s">
        <v>590</v>
      </c>
    </row>
    <row r="638" spans="1:14" s="211" customFormat="1" ht="12.6" customHeight="1" x14ac:dyDescent="0.2">
      <c r="A638" s="222">
        <v>8590</v>
      </c>
      <c r="B638" s="226" t="s">
        <v>591</v>
      </c>
      <c r="C638" s="227">
        <f>BM85</f>
        <v>513.66</v>
      </c>
      <c r="D638" s="227">
        <f>(D615/D612)*BM90</f>
        <v>0</v>
      </c>
      <c r="E638" s="229">
        <f>(E623/E612)*SUM(C638:D638)</f>
        <v>46.168664348974261</v>
      </c>
      <c r="F638" s="229">
        <f>(F624/F612)*BM64</f>
        <v>9.8792473059840979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592</v>
      </c>
    </row>
    <row r="639" spans="1:14" s="211" customFormat="1" ht="12.6" customHeight="1" x14ac:dyDescent="0.2">
      <c r="A639" s="222">
        <v>8660</v>
      </c>
      <c r="B639" s="226" t="s">
        <v>593</v>
      </c>
      <c r="C639" s="227">
        <f>BS85</f>
        <v>269898.83999999997</v>
      </c>
      <c r="D639" s="227">
        <f>(D615/D612)*BS90</f>
        <v>20368.631536805915</v>
      </c>
      <c r="E639" s="229">
        <f>(E623/E612)*SUM(C639:D639)</f>
        <v>26089.75093409693</v>
      </c>
      <c r="F639" s="229">
        <f>(F624/F612)*BS64</f>
        <v>268.78357324569816</v>
      </c>
      <c r="G639" s="227">
        <f>(G625/G612)*BS91</f>
        <v>0</v>
      </c>
      <c r="H639" s="229">
        <f>(H628/H612)*BS60</f>
        <v>0</v>
      </c>
      <c r="I639" s="227">
        <f>(I629/I612)*BS92</f>
        <v>12087.629232124169</v>
      </c>
      <c r="J639" s="227">
        <f>(J630/J612)*BS93</f>
        <v>0</v>
      </c>
      <c r="N639" s="223" t="s">
        <v>594</v>
      </c>
    </row>
    <row r="640" spans="1:14" s="211" customFormat="1" ht="12.6" customHeight="1" x14ac:dyDescent="0.2">
      <c r="A640" s="222">
        <v>8670</v>
      </c>
      <c r="B640" s="226" t="s">
        <v>595</v>
      </c>
      <c r="C640" s="227">
        <f>BT85</f>
        <v>850967.32000000007</v>
      </c>
      <c r="D640" s="227">
        <f>(D615/D612)*BT90</f>
        <v>32919.944242207726</v>
      </c>
      <c r="E640" s="229">
        <f>(E623/E612)*SUM(C640:D640)</f>
        <v>79445.342103982417</v>
      </c>
      <c r="F640" s="229">
        <f>(F624/F612)*BT64</f>
        <v>71.101500234891276</v>
      </c>
      <c r="G640" s="227">
        <f>(G625/G612)*BT91</f>
        <v>0</v>
      </c>
      <c r="H640" s="229">
        <f>(H628/H612)*BT60</f>
        <v>0</v>
      </c>
      <c r="I640" s="227">
        <f>(I629/I612)*BT92</f>
        <v>19536.122474549305</v>
      </c>
      <c r="J640" s="227">
        <f>(J630/J612)*BT93</f>
        <v>0</v>
      </c>
      <c r="N640" s="223" t="s">
        <v>596</v>
      </c>
    </row>
    <row r="641" spans="1:14" s="211" customFormat="1" ht="12.6" customHeight="1" x14ac:dyDescent="0.2">
      <c r="A641" s="222">
        <v>8680</v>
      </c>
      <c r="B641" s="226" t="s">
        <v>597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598</v>
      </c>
    </row>
    <row r="642" spans="1:14" s="211" customFormat="1" ht="12.6" customHeight="1" x14ac:dyDescent="0.2">
      <c r="A642" s="222">
        <v>8690</v>
      </c>
      <c r="B642" s="226" t="s">
        <v>599</v>
      </c>
      <c r="C642" s="227">
        <f>BV85</f>
        <v>7013372.4199999999</v>
      </c>
      <c r="D642" s="227">
        <f>(D615/D612)*BV90</f>
        <v>844301.57848818286</v>
      </c>
      <c r="E642" s="229">
        <f>(E623/E612)*SUM(C642:D642)</f>
        <v>706261.56095445121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501045.1695010002</v>
      </c>
      <c r="J642" s="227">
        <f>(J630/J612)*BV93</f>
        <v>0</v>
      </c>
      <c r="N642" s="223" t="s">
        <v>600</v>
      </c>
    </row>
    <row r="643" spans="1:14" s="211" customFormat="1" ht="12.6" customHeight="1" x14ac:dyDescent="0.2">
      <c r="A643" s="222">
        <v>8700</v>
      </c>
      <c r="B643" s="226" t="s">
        <v>601</v>
      </c>
      <c r="C643" s="227">
        <f>BW85</f>
        <v>72507418.5</v>
      </c>
      <c r="D643" s="227">
        <f>(D615/D612)*BW90</f>
        <v>4000847.7174588498</v>
      </c>
      <c r="E643" s="229">
        <f>(E623/E612)*SUM(C643:D643)</f>
        <v>6876697.5487984736</v>
      </c>
      <c r="F643" s="229">
        <f>(F624/F612)*BW64</f>
        <v>389.80791085783665</v>
      </c>
      <c r="G643" s="227">
        <f>(G625/G612)*BW91</f>
        <v>0</v>
      </c>
      <c r="H643" s="229">
        <f>(H628/H612)*BW60</f>
        <v>264.42845474935268</v>
      </c>
      <c r="I643" s="227">
        <f>(I629/I612)*BW92</f>
        <v>2374276.5308236554</v>
      </c>
      <c r="J643" s="227">
        <f>(J630/J612)*BW93</f>
        <v>0</v>
      </c>
      <c r="N643" s="223" t="s">
        <v>602</v>
      </c>
    </row>
    <row r="644" spans="1:14" s="211" customFormat="1" ht="12.6" customHeight="1" x14ac:dyDescent="0.2">
      <c r="A644" s="222">
        <v>8710</v>
      </c>
      <c r="B644" s="226" t="s">
        <v>603</v>
      </c>
      <c r="C644" s="227">
        <f>BX85</f>
        <v>10727564.719999999</v>
      </c>
      <c r="D644" s="227">
        <f>(D615/D612)*BX90</f>
        <v>293860.5934153049</v>
      </c>
      <c r="E644" s="229">
        <f>(E623/E612)*SUM(C644:D644)</f>
        <v>990625.09430821869</v>
      </c>
      <c r="F644" s="229">
        <f>(F624/F612)*BX64</f>
        <v>3463.8074686159348</v>
      </c>
      <c r="G644" s="227">
        <f>(G625/G612)*BX91</f>
        <v>0</v>
      </c>
      <c r="H644" s="229">
        <f>(H628/H612)*BX60</f>
        <v>176726.3505908174</v>
      </c>
      <c r="I644" s="227">
        <f>(I629/I612)*BX92</f>
        <v>174389.61928873943</v>
      </c>
      <c r="J644" s="227">
        <f>(J630/J612)*BX93</f>
        <v>0</v>
      </c>
      <c r="K644" s="229">
        <f>SUM(C631:J644)</f>
        <v>301075003.27254128</v>
      </c>
      <c r="L644" s="229"/>
      <c r="N644" s="223" t="s">
        <v>604</v>
      </c>
    </row>
    <row r="645" spans="1:14" s="211" customFormat="1" ht="12.6" customHeight="1" x14ac:dyDescent="0.2">
      <c r="A645" s="222">
        <v>8720</v>
      </c>
      <c r="B645" s="226" t="s">
        <v>605</v>
      </c>
      <c r="C645" s="227">
        <f>BY85</f>
        <v>17202536.030000001</v>
      </c>
      <c r="D645" s="227">
        <f>(D615/D612)*BY90</f>
        <v>113195.39957266224</v>
      </c>
      <c r="E645" s="229">
        <f>(E623/E612)*SUM(C645:D645)</f>
        <v>1556368.3999706509</v>
      </c>
      <c r="F645" s="229">
        <f>(F624/F612)*BY64</f>
        <v>821.70023048342432</v>
      </c>
      <c r="G645" s="227">
        <f>(G625/G612)*BY91</f>
        <v>0</v>
      </c>
      <c r="H645" s="229">
        <f>(H628/H612)*BY60</f>
        <v>317137.86006272363</v>
      </c>
      <c r="I645" s="227">
        <f>(I629/I612)*BY92</f>
        <v>67175.058783112079</v>
      </c>
      <c r="J645" s="227">
        <f>(J630/J612)*BY93</f>
        <v>0</v>
      </c>
      <c r="K645" s="229">
        <v>0</v>
      </c>
      <c r="L645" s="229"/>
      <c r="N645" s="223" t="s">
        <v>606</v>
      </c>
    </row>
    <row r="646" spans="1:14" s="211" customFormat="1" ht="12.6" customHeight="1" x14ac:dyDescent="0.2">
      <c r="A646" s="222">
        <v>8730</v>
      </c>
      <c r="B646" s="226" t="s">
        <v>607</v>
      </c>
      <c r="C646" s="227">
        <f>BZ85</f>
        <v>12948075.310000001</v>
      </c>
      <c r="D646" s="227">
        <f>(D615/D612)*BZ90</f>
        <v>56247.321950262209</v>
      </c>
      <c r="E646" s="229">
        <f>(E623/E612)*SUM(C646:D646)</f>
        <v>1168851.3932957232</v>
      </c>
      <c r="F646" s="229">
        <f>(F624/F612)*BZ64</f>
        <v>89.478292696678608</v>
      </c>
      <c r="G646" s="227">
        <f>(G625/G612)*BZ91</f>
        <v>0</v>
      </c>
      <c r="H646" s="229">
        <f>(H628/H612)*BZ60</f>
        <v>205108.33806724791</v>
      </c>
      <c r="I646" s="227">
        <f>(I629/I612)*BZ92</f>
        <v>33379.599989627292</v>
      </c>
      <c r="J646" s="227">
        <f>(J630/J612)*BZ93</f>
        <v>0</v>
      </c>
      <c r="K646" s="229">
        <v>0</v>
      </c>
      <c r="L646" s="229"/>
      <c r="N646" s="223" t="s">
        <v>608</v>
      </c>
    </row>
    <row r="647" spans="1:14" s="211" customFormat="1" ht="12.6" customHeight="1" x14ac:dyDescent="0.2">
      <c r="A647" s="222">
        <v>8740</v>
      </c>
      <c r="B647" s="226" t="s">
        <v>609</v>
      </c>
      <c r="C647" s="227">
        <f>CA85</f>
        <v>6143936.3200000003</v>
      </c>
      <c r="D647" s="227">
        <f>(D615/D612)*CA90</f>
        <v>541746.42395561235</v>
      </c>
      <c r="E647" s="229">
        <f>(E623/E612)*SUM(C647:D647)</f>
        <v>600920.92541645421</v>
      </c>
      <c r="F647" s="229">
        <f>(F624/F612)*CA64</f>
        <v>3050.0438351361913</v>
      </c>
      <c r="G647" s="227">
        <f>(G625/G612)*CA91</f>
        <v>0</v>
      </c>
      <c r="H647" s="229">
        <f>(H628/H612)*CA60</f>
        <v>5376.711913236838</v>
      </c>
      <c r="I647" s="227">
        <f>(I629/I612)*CA92</f>
        <v>321495.82060884382</v>
      </c>
      <c r="J647" s="227">
        <f>(J630/J612)*CA93</f>
        <v>17936.758095193883</v>
      </c>
      <c r="K647" s="229">
        <v>0</v>
      </c>
      <c r="L647" s="229">
        <f>SUM(C645:K647)</f>
        <v>41303448.894039668</v>
      </c>
      <c r="N647" s="223" t="s">
        <v>610</v>
      </c>
    </row>
    <row r="648" spans="1:14" s="211" customFormat="1" ht="12.6" customHeight="1" x14ac:dyDescent="0.2">
      <c r="A648" s="222"/>
      <c r="B648" s="222"/>
      <c r="C648" s="211">
        <f>SUM(C614:C647)</f>
        <v>484670834.08999991</v>
      </c>
      <c r="L648" s="225"/>
    </row>
    <row r="666" spans="1:14" s="211" customFormat="1" ht="12.6" customHeight="1" x14ac:dyDescent="0.2">
      <c r="C666" s="220" t="s">
        <v>611</v>
      </c>
      <c r="M666" s="220" t="s">
        <v>612</v>
      </c>
    </row>
    <row r="667" spans="1:14" s="211" customFormat="1" ht="12.6" customHeight="1" x14ac:dyDescent="0.2">
      <c r="C667" s="220" t="s">
        <v>541</v>
      </c>
      <c r="D667" s="220" t="s">
        <v>542</v>
      </c>
      <c r="E667" s="221" t="s">
        <v>543</v>
      </c>
      <c r="F667" s="220" t="s">
        <v>544</v>
      </c>
      <c r="G667" s="220" t="s">
        <v>545</v>
      </c>
      <c r="H667" s="220" t="s">
        <v>546</v>
      </c>
      <c r="I667" s="220" t="s">
        <v>547</v>
      </c>
      <c r="J667" s="220" t="s">
        <v>548</v>
      </c>
      <c r="K667" s="220" t="s">
        <v>549</v>
      </c>
      <c r="L667" s="221" t="s">
        <v>550</v>
      </c>
      <c r="M667" s="220" t="s">
        <v>613</v>
      </c>
    </row>
    <row r="668" spans="1:14" s="211" customFormat="1" ht="12.6" customHeight="1" x14ac:dyDescent="0.2">
      <c r="A668" s="222">
        <v>6010</v>
      </c>
      <c r="B668" s="221" t="s">
        <v>340</v>
      </c>
      <c r="C668" s="227">
        <f>C85</f>
        <v>71427697.960000008</v>
      </c>
      <c r="D668" s="227">
        <f>(D615/D612)*C90</f>
        <v>1722172.7554215838</v>
      </c>
      <c r="E668" s="229">
        <f>(E623/E612)*SUM(C668:D668)</f>
        <v>6574839.0535201514</v>
      </c>
      <c r="F668" s="229">
        <f>(F624/F612)*C64</f>
        <v>124623.15376738377</v>
      </c>
      <c r="G668" s="227">
        <f>(G625/G612)*C91</f>
        <v>2674354.4006304117</v>
      </c>
      <c r="H668" s="229">
        <f>(H628/H612)*C60</f>
        <v>2183121.3224106561</v>
      </c>
      <c r="I668" s="227">
        <f>(I629/I612)*C92</f>
        <v>1022011.9944526305</v>
      </c>
      <c r="J668" s="227">
        <f>(J630/J612)*C93</f>
        <v>0</v>
      </c>
      <c r="K668" s="227">
        <f>(K644/K612)*C89</f>
        <v>29050754.736561935</v>
      </c>
      <c r="L668" s="227">
        <f>(L647/L612)*C94</f>
        <v>4228179.8982958328</v>
      </c>
      <c r="M668" s="211">
        <f t="shared" ref="M668:M713" si="24">ROUND(SUM(D668:L668),0)</f>
        <v>47580057</v>
      </c>
      <c r="N668" s="221" t="s">
        <v>614</v>
      </c>
    </row>
    <row r="669" spans="1:14" s="211" customFormat="1" ht="12.6" customHeight="1" x14ac:dyDescent="0.2">
      <c r="A669" s="222">
        <v>6030</v>
      </c>
      <c r="B669" s="221" t="s">
        <v>341</v>
      </c>
      <c r="C669" s="227">
        <f>D85</f>
        <v>117252345.25999999</v>
      </c>
      <c r="D669" s="227">
        <f>(D615/D612)*D90</f>
        <v>3329738.5215484705</v>
      </c>
      <c r="E669" s="229">
        <f>(E623/E612)*SUM(C669:D669)</f>
        <v>10838129.799108757</v>
      </c>
      <c r="F669" s="229">
        <f>(F624/F612)*D64</f>
        <v>119915.01792309785</v>
      </c>
      <c r="G669" s="227">
        <f>(G625/G612)*D91</f>
        <v>9153219.33435026</v>
      </c>
      <c r="H669" s="229">
        <f>(H628/H612)*D60</f>
        <v>3031231.5196100795</v>
      </c>
      <c r="I669" s="227">
        <f>(I629/I612)*D92</f>
        <v>1976011.2315680271</v>
      </c>
      <c r="J669" s="227">
        <f>(J630/J612)*D93</f>
        <v>0</v>
      </c>
      <c r="K669" s="227">
        <f>(K644/K612)*D89</f>
        <v>29986981.687186342</v>
      </c>
      <c r="L669" s="227">
        <f>(L647/L612)*D94</f>
        <v>8268718.3345807819</v>
      </c>
      <c r="M669" s="211">
        <f t="shared" si="24"/>
        <v>66703945</v>
      </c>
      <c r="N669" s="221" t="s">
        <v>615</v>
      </c>
    </row>
    <row r="670" spans="1:14" s="211" customFormat="1" ht="12.6" customHeight="1" x14ac:dyDescent="0.2">
      <c r="A670" s="222">
        <v>6070</v>
      </c>
      <c r="B670" s="221" t="s">
        <v>616</v>
      </c>
      <c r="C670" s="227">
        <f>E85</f>
        <v>8433400.1500000004</v>
      </c>
      <c r="D670" s="227">
        <f>(D615/D612)*E90</f>
        <v>83680.608818768655</v>
      </c>
      <c r="E670" s="229">
        <f>(E623/E612)*SUM(C670:D670)</f>
        <v>765530.20049645833</v>
      </c>
      <c r="F670" s="229">
        <f>(F624/F612)*E64</f>
        <v>2317.2168256673094</v>
      </c>
      <c r="G670" s="227">
        <f>(G625/G612)*E91</f>
        <v>793592.99106583721</v>
      </c>
      <c r="H670" s="229">
        <f>(H628/H612)*E60</f>
        <v>128247.80055343606</v>
      </c>
      <c r="I670" s="227">
        <f>(I629/I612)*E92</f>
        <v>49659.702051751723</v>
      </c>
      <c r="J670" s="227">
        <f>(J630/J612)*E93</f>
        <v>0</v>
      </c>
      <c r="K670" s="227">
        <f>(K644/K612)*E89</f>
        <v>3083772.9817668283</v>
      </c>
      <c r="L670" s="227">
        <f>(L647/L612)*E94</f>
        <v>547075.50792199478</v>
      </c>
      <c r="M670" s="211">
        <f t="shared" si="24"/>
        <v>5453877</v>
      </c>
      <c r="N670" s="221" t="s">
        <v>617</v>
      </c>
    </row>
    <row r="671" spans="1:14" s="211" customFormat="1" ht="12.6" customHeight="1" x14ac:dyDescent="0.2">
      <c r="A671" s="222">
        <v>6100</v>
      </c>
      <c r="B671" s="221" t="s">
        <v>618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619</v>
      </c>
    </row>
    <row r="672" spans="1:14" s="211" customFormat="1" ht="12.6" customHeight="1" x14ac:dyDescent="0.2">
      <c r="A672" s="222">
        <v>6120</v>
      </c>
      <c r="B672" s="221" t="s">
        <v>620</v>
      </c>
      <c r="C672" s="227">
        <f>G85</f>
        <v>12562003.479999999</v>
      </c>
      <c r="D672" s="227">
        <f>(D615/D612)*G90</f>
        <v>395413.0672649662</v>
      </c>
      <c r="E672" s="229">
        <f>(E623/E612)*SUM(C672:D672)</f>
        <v>1164635.3918944851</v>
      </c>
      <c r="F672" s="229">
        <f>(F624/F612)*G64</f>
        <v>8551.2463254104896</v>
      </c>
      <c r="G672" s="227">
        <f>(G625/G612)*G91</f>
        <v>1039108.9370719647</v>
      </c>
      <c r="H672" s="229">
        <f>(H628/H612)*G60</f>
        <v>286464.15931179875</v>
      </c>
      <c r="I672" s="227">
        <f>(I629/I612)*G92</f>
        <v>234655.26105664903</v>
      </c>
      <c r="J672" s="227">
        <f>(J630/J612)*G93</f>
        <v>0</v>
      </c>
      <c r="K672" s="227">
        <f>(K644/K612)*G89</f>
        <v>3636889.9719312931</v>
      </c>
      <c r="L672" s="227">
        <f>(L647/L612)*G94</f>
        <v>797765.42665047082</v>
      </c>
      <c r="M672" s="211">
        <f t="shared" si="24"/>
        <v>7563483</v>
      </c>
      <c r="N672" s="221" t="s">
        <v>621</v>
      </c>
    </row>
    <row r="673" spans="1:14" s="211" customFormat="1" ht="12.6" customHeight="1" x14ac:dyDescent="0.2">
      <c r="A673" s="222">
        <v>6140</v>
      </c>
      <c r="B673" s="221" t="s">
        <v>622</v>
      </c>
      <c r="C673" s="227">
        <f>H85</f>
        <v>18974245.010000002</v>
      </c>
      <c r="D673" s="227">
        <f>(D615/D612)*H90</f>
        <v>997999.32508808142</v>
      </c>
      <c r="E673" s="229">
        <f>(E623/E612)*SUM(C673:D673)</f>
        <v>1795140.4528333612</v>
      </c>
      <c r="F673" s="229">
        <f>(F624/F612)*H64</f>
        <v>4384.3030571163617</v>
      </c>
      <c r="G673" s="227">
        <f>(G625/G612)*H91</f>
        <v>2094868.2747332524</v>
      </c>
      <c r="H673" s="229">
        <f>(H628/H612)*H60</f>
        <v>588265.16899905994</v>
      </c>
      <c r="I673" s="227">
        <f>(I629/I612)*H92</f>
        <v>592256.07737939374</v>
      </c>
      <c r="J673" s="227">
        <f>(J630/J612)*H93</f>
        <v>0</v>
      </c>
      <c r="K673" s="227">
        <f>(K644/K612)*H89</f>
        <v>6462113.1409735773</v>
      </c>
      <c r="L673" s="227">
        <f>(L647/L612)*H94</f>
        <v>1518484.4823396287</v>
      </c>
      <c r="M673" s="211">
        <f t="shared" si="24"/>
        <v>14053511</v>
      </c>
      <c r="N673" s="221" t="s">
        <v>623</v>
      </c>
    </row>
    <row r="674" spans="1:14" s="211" customFormat="1" ht="12.6" customHeight="1" x14ac:dyDescent="0.2">
      <c r="A674" s="222">
        <v>6150</v>
      </c>
      <c r="B674" s="221" t="s">
        <v>624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625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626</v>
      </c>
    </row>
    <row r="676" spans="1:14" s="211" customFormat="1" ht="12.6" customHeight="1" x14ac:dyDescent="0.2">
      <c r="A676" s="222">
        <v>6200</v>
      </c>
      <c r="B676" s="221" t="s">
        <v>346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627</v>
      </c>
    </row>
    <row r="677" spans="1:14" s="211" customFormat="1" ht="12.6" customHeight="1" x14ac:dyDescent="0.2">
      <c r="A677" s="222">
        <v>6210</v>
      </c>
      <c r="B677" s="221" t="s">
        <v>347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628</v>
      </c>
    </row>
    <row r="678" spans="1:14" s="211" customFormat="1" ht="12.6" customHeight="1" x14ac:dyDescent="0.2">
      <c r="A678" s="222">
        <v>6330</v>
      </c>
      <c r="B678" s="221" t="s">
        <v>629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630</v>
      </c>
    </row>
    <row r="679" spans="1:14" s="211" customFormat="1" ht="12.6" customHeight="1" x14ac:dyDescent="0.2">
      <c r="A679" s="222">
        <v>6400</v>
      </c>
      <c r="B679" s="221" t="s">
        <v>631</v>
      </c>
      <c r="C679" s="227">
        <f>N85</f>
        <v>189484.79999999993</v>
      </c>
      <c r="D679" s="227">
        <f>(D615/D612)*N90</f>
        <v>0</v>
      </c>
      <c r="E679" s="229">
        <f>(E623/E612)*SUM(C679:D679)</f>
        <v>17031.227135522553</v>
      </c>
      <c r="F679" s="229">
        <f>(F624/F612)*N64</f>
        <v>1663.5151516231006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43034.909906318899</v>
      </c>
      <c r="M679" s="211">
        <f t="shared" si="24"/>
        <v>61730</v>
      </c>
      <c r="N679" s="221" t="s">
        <v>632</v>
      </c>
    </row>
    <row r="680" spans="1:14" s="211" customFormat="1" ht="12.6" customHeight="1" x14ac:dyDescent="0.2">
      <c r="A680" s="222">
        <v>7010</v>
      </c>
      <c r="B680" s="221" t="s">
        <v>633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634</v>
      </c>
    </row>
    <row r="681" spans="1:14" s="211" customFormat="1" ht="12.6" customHeight="1" x14ac:dyDescent="0.2">
      <c r="A681" s="222">
        <v>7020</v>
      </c>
      <c r="B681" s="221" t="s">
        <v>635</v>
      </c>
      <c r="C681" s="227">
        <f>P85</f>
        <v>87519555.729999989</v>
      </c>
      <c r="D681" s="227">
        <f>(D615/D612)*P90</f>
        <v>1590664.0961220847</v>
      </c>
      <c r="E681" s="229">
        <f>(E623/E612)*SUM(C681:D681)</f>
        <v>8009383.3064975701</v>
      </c>
      <c r="F681" s="229">
        <f>(F624/F612)*P64</f>
        <v>1021199.6207127596</v>
      </c>
      <c r="G681" s="227">
        <f>(G625/G612)*P91</f>
        <v>0</v>
      </c>
      <c r="H681" s="229">
        <f>(H628/H612)*P60</f>
        <v>820168.92381424224</v>
      </c>
      <c r="I681" s="227">
        <f>(I629/I612)*P92</f>
        <v>943969.05319986935</v>
      </c>
      <c r="J681" s="227">
        <f>(J630/J612)*P93</f>
        <v>1184959.5048801047</v>
      </c>
      <c r="K681" s="227">
        <f>(K644/K612)*P89</f>
        <v>64585114.661636703</v>
      </c>
      <c r="L681" s="227">
        <f>(L647/L612)*P94</f>
        <v>2447436.9730593618</v>
      </c>
      <c r="M681" s="211">
        <f t="shared" si="24"/>
        <v>80602896</v>
      </c>
      <c r="N681" s="221" t="s">
        <v>636</v>
      </c>
    </row>
    <row r="682" spans="1:14" s="211" customFormat="1" ht="12.6" customHeight="1" x14ac:dyDescent="0.2">
      <c r="A682" s="222">
        <v>7030</v>
      </c>
      <c r="B682" s="221" t="s">
        <v>637</v>
      </c>
      <c r="C682" s="227">
        <f>Q85</f>
        <v>13778339.370000001</v>
      </c>
      <c r="D682" s="227">
        <f>(D615/D612)*Q90</f>
        <v>456845.98118904827</v>
      </c>
      <c r="E682" s="229">
        <f>(E623/E612)*SUM(C682:D682)</f>
        <v>1279483.4996388322</v>
      </c>
      <c r="F682" s="229">
        <f>(F624/F612)*Q64</f>
        <v>16777.894773012016</v>
      </c>
      <c r="G682" s="227">
        <f>(G625/G612)*Q91</f>
        <v>0</v>
      </c>
      <c r="H682" s="229">
        <f>(H628/H612)*Q60</f>
        <v>489457.06974105188</v>
      </c>
      <c r="I682" s="227">
        <f>(I629/I612)*Q92</f>
        <v>271112.2161948217</v>
      </c>
      <c r="J682" s="227">
        <f>(J630/J612)*Q93</f>
        <v>0</v>
      </c>
      <c r="K682" s="227">
        <f>(K644/K612)*Q89</f>
        <v>2407680.1616159221</v>
      </c>
      <c r="L682" s="227">
        <f>(L647/L612)*Q94</f>
        <v>831198.46149704652</v>
      </c>
      <c r="M682" s="211">
        <f t="shared" si="24"/>
        <v>5752555</v>
      </c>
      <c r="N682" s="221" t="s">
        <v>638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16852059.420000002</v>
      </c>
      <c r="D683" s="227">
        <f>(D615/D612)*R90</f>
        <v>221283.06891285325</v>
      </c>
      <c r="E683" s="229">
        <f>(E623/E612)*SUM(C683:D683)</f>
        <v>1534582.0556120749</v>
      </c>
      <c r="F683" s="229">
        <f>(F624/F612)*R64</f>
        <v>48830.018104530107</v>
      </c>
      <c r="G683" s="227">
        <f>(G625/G612)*R91</f>
        <v>0</v>
      </c>
      <c r="H683" s="229">
        <f>(H628/H612)*R60</f>
        <v>0</v>
      </c>
      <c r="I683" s="227">
        <f>(I629/I612)*R92</f>
        <v>131318.96895144071</v>
      </c>
      <c r="J683" s="227">
        <f>(J630/J612)*R93</f>
        <v>0</v>
      </c>
      <c r="K683" s="227">
        <f>(K644/K612)*R89</f>
        <v>10821329.499093976</v>
      </c>
      <c r="L683" s="227">
        <f>(L647/L612)*R94</f>
        <v>691566.37478487764</v>
      </c>
      <c r="M683" s="211">
        <f t="shared" si="24"/>
        <v>13448910</v>
      </c>
      <c r="N683" s="221" t="s">
        <v>639</v>
      </c>
    </row>
    <row r="684" spans="1:14" s="211" customFormat="1" ht="12.6" customHeight="1" x14ac:dyDescent="0.2">
      <c r="A684" s="222">
        <v>7050</v>
      </c>
      <c r="B684" s="221" t="s">
        <v>640</v>
      </c>
      <c r="C684" s="227">
        <f>S85</f>
        <v>15869888.630000001</v>
      </c>
      <c r="D684" s="227">
        <f>(D615/D612)*S90</f>
        <v>1260425.868951889</v>
      </c>
      <c r="E684" s="229">
        <f>(E623/E612)*SUM(C684:D684)</f>
        <v>1539702.800090482</v>
      </c>
      <c r="F684" s="229">
        <f>(F624/F612)*S64</f>
        <v>40258.175492947776</v>
      </c>
      <c r="G684" s="227">
        <f>(G625/G612)*S91</f>
        <v>0</v>
      </c>
      <c r="H684" s="229">
        <f>(H628/H612)*S60</f>
        <v>528.85690949870536</v>
      </c>
      <c r="I684" s="227">
        <f>(I629/I612)*S92</f>
        <v>747991.368538326</v>
      </c>
      <c r="J684" s="227">
        <f>(J630/J612)*S93</f>
        <v>0</v>
      </c>
      <c r="K684" s="227">
        <f>(K644/K612)*S89</f>
        <v>0</v>
      </c>
      <c r="L684" s="227">
        <f>(L647/L612)*S94</f>
        <v>696772.2106606419</v>
      </c>
      <c r="M684" s="211">
        <f t="shared" si="24"/>
        <v>4285679</v>
      </c>
      <c r="N684" s="221" t="s">
        <v>641</v>
      </c>
    </row>
    <row r="685" spans="1:14" s="211" customFormat="1" ht="12.6" customHeight="1" x14ac:dyDescent="0.2">
      <c r="A685" s="222">
        <v>7060</v>
      </c>
      <c r="B685" s="221" t="s">
        <v>642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643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38386963.310000002</v>
      </c>
      <c r="D686" s="227">
        <f>(D615/D612)*U90</f>
        <v>1703147.7302602928</v>
      </c>
      <c r="E686" s="229">
        <f>(E623/E612)*SUM(C686:D686)</f>
        <v>3603369.7004455961</v>
      </c>
      <c r="F686" s="229">
        <f>(F624/F612)*U64</f>
        <v>162981.80384115496</v>
      </c>
      <c r="G686" s="227">
        <f>(G625/G612)*U91</f>
        <v>0</v>
      </c>
      <c r="H686" s="229">
        <f>(H628/H612)*U60</f>
        <v>0</v>
      </c>
      <c r="I686" s="227">
        <f>(I629/I612)*U92</f>
        <v>1010721.7195087313</v>
      </c>
      <c r="J686" s="227">
        <f>(J630/J612)*U93</f>
        <v>7248.0593727676596</v>
      </c>
      <c r="K686" s="227">
        <f>(K644/K612)*U89</f>
        <v>20812797.559080236</v>
      </c>
      <c r="L686" s="227">
        <f>(L647/L612)*U94</f>
        <v>1703580.8690334735</v>
      </c>
      <c r="M686" s="211">
        <f t="shared" si="24"/>
        <v>29003847</v>
      </c>
      <c r="N686" s="221" t="s">
        <v>644</v>
      </c>
    </row>
    <row r="687" spans="1:14" s="211" customFormat="1" ht="12.6" customHeight="1" x14ac:dyDescent="0.2">
      <c r="A687" s="222">
        <v>7110</v>
      </c>
      <c r="B687" s="221" t="s">
        <v>645</v>
      </c>
      <c r="C687" s="227">
        <f>V85</f>
        <v>12218899.5</v>
      </c>
      <c r="D687" s="227">
        <f>(D615/D612)*V90</f>
        <v>617173.68819142447</v>
      </c>
      <c r="E687" s="229">
        <f>(E623/E612)*SUM(C687:D687)</f>
        <v>1153728.8373330177</v>
      </c>
      <c r="F687" s="229">
        <f>(F624/F612)*V64</f>
        <v>33877.674602448205</v>
      </c>
      <c r="G687" s="227">
        <f>(G625/G612)*V91</f>
        <v>0</v>
      </c>
      <c r="H687" s="229">
        <f>(H628/H612)*V60</f>
        <v>72100.825328323495</v>
      </c>
      <c r="I687" s="227">
        <f>(I629/I612)*V92</f>
        <v>366257.63008182961</v>
      </c>
      <c r="J687" s="227">
        <f>(J630/J612)*V93</f>
        <v>124485.36056911142</v>
      </c>
      <c r="K687" s="227">
        <f>(K644/K612)*V89</f>
        <v>8225851.741200503</v>
      </c>
      <c r="L687" s="227">
        <f>(L647/L612)*V94</f>
        <v>710307.38393762917</v>
      </c>
      <c r="M687" s="211">
        <f t="shared" si="24"/>
        <v>11303783</v>
      </c>
      <c r="N687" s="221" t="s">
        <v>646</v>
      </c>
    </row>
    <row r="688" spans="1:14" s="211" customFormat="1" ht="12.6" customHeight="1" x14ac:dyDescent="0.2">
      <c r="A688" s="222">
        <v>7120</v>
      </c>
      <c r="B688" s="221" t="s">
        <v>647</v>
      </c>
      <c r="C688" s="227">
        <f>W85</f>
        <v>2900073.79</v>
      </c>
      <c r="D688" s="227">
        <f>(D615/D612)*W90</f>
        <v>65061.27107092899</v>
      </c>
      <c r="E688" s="229">
        <f>(E623/E612)*SUM(C688:D688)</f>
        <v>266511.55508304911</v>
      </c>
      <c r="F688" s="229">
        <f>(F624/F612)*W64</f>
        <v>3603.0203071524124</v>
      </c>
      <c r="G688" s="227">
        <f>(G625/G612)*W91</f>
        <v>0</v>
      </c>
      <c r="H688" s="229">
        <f>(H628/H612)*W60</f>
        <v>0</v>
      </c>
      <c r="I688" s="227">
        <f>(I629/I612)*W92</f>
        <v>38610.179611479187</v>
      </c>
      <c r="J688" s="227">
        <f>(J630/J612)*W93</f>
        <v>0</v>
      </c>
      <c r="K688" s="227">
        <f>(K644/K612)*W89</f>
        <v>3480868.7779685818</v>
      </c>
      <c r="L688" s="227">
        <f>(L647/L612)*W94</f>
        <v>134310.56559472109</v>
      </c>
      <c r="M688" s="211">
        <f t="shared" si="24"/>
        <v>3988965</v>
      </c>
      <c r="N688" s="221" t="s">
        <v>648</v>
      </c>
    </row>
    <row r="689" spans="1:14" s="211" customFormat="1" ht="12.6" customHeight="1" x14ac:dyDescent="0.2">
      <c r="A689" s="222">
        <v>7130</v>
      </c>
      <c r="B689" s="221" t="s">
        <v>649</v>
      </c>
      <c r="C689" s="227">
        <f>X85</f>
        <v>6482918.7300000004</v>
      </c>
      <c r="D689" s="227">
        <f>(D615/D612)*X90</f>
        <v>71508.223254596916</v>
      </c>
      <c r="E689" s="229">
        <f>(E623/E612)*SUM(C689:D689)</f>
        <v>589123.42406393634</v>
      </c>
      <c r="F689" s="229">
        <f>(F624/F612)*X64</f>
        <v>13639.706264709957</v>
      </c>
      <c r="G689" s="227">
        <f>(G625/G612)*X91</f>
        <v>0</v>
      </c>
      <c r="H689" s="229">
        <f>(H628/H612)*X60</f>
        <v>0</v>
      </c>
      <c r="I689" s="227">
        <f>(I629/I612)*X92</f>
        <v>42436.08060696804</v>
      </c>
      <c r="J689" s="227">
        <f>(J630/J612)*X93</f>
        <v>59950.892657221244</v>
      </c>
      <c r="K689" s="227">
        <f>(K644/K612)*X89</f>
        <v>18470811.379535727</v>
      </c>
      <c r="L689" s="227">
        <f>(L647/L612)*X94</f>
        <v>323918.67671422835</v>
      </c>
      <c r="M689" s="211">
        <f t="shared" si="24"/>
        <v>19571388</v>
      </c>
      <c r="N689" s="221" t="s">
        <v>650</v>
      </c>
    </row>
    <row r="690" spans="1:14" s="211" customFormat="1" ht="12.6" customHeight="1" x14ac:dyDescent="0.2">
      <c r="A690" s="222">
        <v>7140</v>
      </c>
      <c r="B690" s="221" t="s">
        <v>651</v>
      </c>
      <c r="C690" s="227">
        <f>Y85</f>
        <v>33357143.82</v>
      </c>
      <c r="D690" s="227">
        <f>(D615/D612)*Y90</f>
        <v>1120601.7538379896</v>
      </c>
      <c r="E690" s="229">
        <f>(E623/E612)*SUM(C690:D690)</f>
        <v>3098920.4199428787</v>
      </c>
      <c r="F690" s="229">
        <f>(F624/F612)*Y64</f>
        <v>136004.07647510146</v>
      </c>
      <c r="G690" s="227">
        <f>(G625/G612)*Y91</f>
        <v>0</v>
      </c>
      <c r="H690" s="229">
        <f>(H628/H612)*Y60</f>
        <v>168969.78258483639</v>
      </c>
      <c r="I690" s="227">
        <f>(I629/I612)*Y92</f>
        <v>665013.67520862946</v>
      </c>
      <c r="J690" s="227">
        <f>(J630/J612)*Y93</f>
        <v>21020.08207910386</v>
      </c>
      <c r="K690" s="227">
        <f>(K644/K612)*Y89</f>
        <v>15684754.307257667</v>
      </c>
      <c r="L690" s="227">
        <f>(L647/L612)*Y94</f>
        <v>1955311.9549371023</v>
      </c>
      <c r="M690" s="211">
        <f t="shared" si="24"/>
        <v>22850596</v>
      </c>
      <c r="N690" s="221" t="s">
        <v>652</v>
      </c>
    </row>
    <row r="691" spans="1:14" s="211" customFormat="1" ht="12.6" customHeight="1" x14ac:dyDescent="0.2">
      <c r="A691" s="222">
        <v>7150</v>
      </c>
      <c r="B691" s="221" t="s">
        <v>653</v>
      </c>
      <c r="C691" s="227">
        <f>Z85</f>
        <v>1982665.51</v>
      </c>
      <c r="D691" s="227">
        <f>(D615/D612)*Z90</f>
        <v>89167.266192469935</v>
      </c>
      <c r="E691" s="229">
        <f>(E623/E612)*SUM(C691:D691)</f>
        <v>186219.97436287362</v>
      </c>
      <c r="F691" s="229">
        <f>(F624/F612)*Z64</f>
        <v>5341.2671967727465</v>
      </c>
      <c r="G691" s="227">
        <f>(G625/G612)*Z91</f>
        <v>0</v>
      </c>
      <c r="H691" s="229">
        <f>(H628/H612)*Z60</f>
        <v>32700.985570669949</v>
      </c>
      <c r="I691" s="227">
        <f>(I629/I612)*Z92</f>
        <v>52915.722464176601</v>
      </c>
      <c r="J691" s="227">
        <f>(J630/J612)*Z93</f>
        <v>0</v>
      </c>
      <c r="K691" s="227">
        <f>(K644/K612)*Z89</f>
        <v>2408608.1024267664</v>
      </c>
      <c r="L691" s="227">
        <f>(L647/L612)*Z94</f>
        <v>100414.78978141077</v>
      </c>
      <c r="M691" s="211">
        <f t="shared" si="24"/>
        <v>2875368</v>
      </c>
      <c r="N691" s="221" t="s">
        <v>654</v>
      </c>
    </row>
    <row r="692" spans="1:14" s="211" customFormat="1" ht="12.6" customHeight="1" x14ac:dyDescent="0.2">
      <c r="A692" s="222">
        <v>7160</v>
      </c>
      <c r="B692" s="221" t="s">
        <v>655</v>
      </c>
      <c r="C692" s="227">
        <f>AA85</f>
        <v>1144103.6900000002</v>
      </c>
      <c r="D692" s="227">
        <f>(D615/D612)*AA90</f>
        <v>52759.115937842842</v>
      </c>
      <c r="E692" s="229">
        <f>(E623/E612)*SUM(C692:D692)</f>
        <v>107576.13432838023</v>
      </c>
      <c r="F692" s="229">
        <f>(F624/F612)*AA64</f>
        <v>3947.4364943518372</v>
      </c>
      <c r="G692" s="227">
        <f>(G625/G612)*AA91</f>
        <v>0</v>
      </c>
      <c r="H692" s="229">
        <f>(H628/H612)*AA60</f>
        <v>0</v>
      </c>
      <c r="I692" s="227">
        <f>(I629/I612)*AA92</f>
        <v>31309.547277092268</v>
      </c>
      <c r="J692" s="227">
        <f>(J630/J612)*AA93</f>
        <v>0</v>
      </c>
      <c r="K692" s="227">
        <f>(K644/K612)*AA89</f>
        <v>324365.93821172259</v>
      </c>
      <c r="L692" s="227">
        <f>(L647/L612)*AA94</f>
        <v>34821.257746779542</v>
      </c>
      <c r="M692" s="211">
        <f t="shared" si="24"/>
        <v>554779</v>
      </c>
      <c r="N692" s="221" t="s">
        <v>656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108283684.64000002</v>
      </c>
      <c r="D693" s="227">
        <f>(D615/D612)*AB90</f>
        <v>694998.48605271697</v>
      </c>
      <c r="E693" s="229">
        <f>(E623/E612)*SUM(C693:D693)</f>
        <v>9795195.7373358924</v>
      </c>
      <c r="F693" s="229">
        <f>(F624/F612)*AB64</f>
        <v>2006893.1440980374</v>
      </c>
      <c r="G693" s="227">
        <f>(G625/G612)*AB91</f>
        <v>0</v>
      </c>
      <c r="H693" s="229">
        <f>(H628/H612)*AB60</f>
        <v>0</v>
      </c>
      <c r="I693" s="227">
        <f>(I629/I612)*AB92</f>
        <v>412442.23997633561</v>
      </c>
      <c r="J693" s="227">
        <f>(J630/J612)*AB93</f>
        <v>0</v>
      </c>
      <c r="K693" s="227">
        <f>(K644/K612)*AB89</f>
        <v>32469755.121471416</v>
      </c>
      <c r="L693" s="227">
        <f>(L647/L612)*AB94</f>
        <v>2419441.1445719176</v>
      </c>
      <c r="M693" s="211">
        <f t="shared" si="24"/>
        <v>47798726</v>
      </c>
      <c r="N693" s="221" t="s">
        <v>657</v>
      </c>
    </row>
    <row r="694" spans="1:14" s="211" customFormat="1" ht="12.6" customHeight="1" x14ac:dyDescent="0.2">
      <c r="A694" s="222">
        <v>7180</v>
      </c>
      <c r="B694" s="221" t="s">
        <v>658</v>
      </c>
      <c r="C694" s="227">
        <f>AC85</f>
        <v>13598331.590000002</v>
      </c>
      <c r="D694" s="227">
        <f>(D615/D612)*AC90</f>
        <v>115422.24537523351</v>
      </c>
      <c r="E694" s="229">
        <f>(E623/E612)*SUM(C694:D694)</f>
        <v>1232616.3177780977</v>
      </c>
      <c r="F694" s="229">
        <f>(F624/F612)*AC64</f>
        <v>20664.348658209881</v>
      </c>
      <c r="G694" s="227">
        <f>(G625/G612)*AC91</f>
        <v>0</v>
      </c>
      <c r="H694" s="229">
        <f>(H628/H612)*AC60</f>
        <v>16306.421376210083</v>
      </c>
      <c r="I694" s="227">
        <f>(I629/I612)*AC92</f>
        <v>68496.565648703618</v>
      </c>
      <c r="J694" s="227">
        <f>(J630/J612)*AC93</f>
        <v>0</v>
      </c>
      <c r="K694" s="227">
        <f>(K644/K612)*AC89</f>
        <v>2231101.5458285846</v>
      </c>
      <c r="L694" s="227">
        <f>(L647/L612)*AC94</f>
        <v>845196.37574076862</v>
      </c>
      <c r="M694" s="211">
        <f t="shared" si="24"/>
        <v>4529804</v>
      </c>
      <c r="N694" s="221" t="s">
        <v>659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2255813.15</v>
      </c>
      <c r="D695" s="227">
        <f>(D615/D612)*AD90</f>
        <v>49893.803856212653</v>
      </c>
      <c r="E695" s="229">
        <f>(E623/E612)*SUM(C695:D695)</f>
        <v>207240.99684554641</v>
      </c>
      <c r="F695" s="229">
        <f>(F624/F612)*AD64</f>
        <v>72.069114867068322</v>
      </c>
      <c r="G695" s="227">
        <f>(G625/G612)*AD91</f>
        <v>0</v>
      </c>
      <c r="H695" s="229">
        <f>(H628/H612)*AD60</f>
        <v>0</v>
      </c>
      <c r="I695" s="227">
        <f>(I629/I612)*AD92</f>
        <v>29609.146834652784</v>
      </c>
      <c r="J695" s="227">
        <f>(J630/J612)*AD93</f>
        <v>0</v>
      </c>
      <c r="K695" s="227">
        <f>(K644/K612)*AD89</f>
        <v>1124082.5987025516</v>
      </c>
      <c r="L695" s="227">
        <f>(L647/L612)*AD94</f>
        <v>0</v>
      </c>
      <c r="M695" s="211">
        <f t="shared" si="24"/>
        <v>1410899</v>
      </c>
      <c r="N695" s="221" t="s">
        <v>660</v>
      </c>
    </row>
    <row r="696" spans="1:14" s="211" customFormat="1" ht="12.6" customHeight="1" x14ac:dyDescent="0.2">
      <c r="A696" s="222">
        <v>7200</v>
      </c>
      <c r="B696" s="221" t="s">
        <v>661</v>
      </c>
      <c r="C696" s="227">
        <f>AE85</f>
        <v>13057999.68</v>
      </c>
      <c r="D696" s="227">
        <f>(D615/D612)*AE90</f>
        <v>408517.04582297243</v>
      </c>
      <c r="E696" s="229">
        <f>(E623/E612)*SUM(C696:D696)</f>
        <v>1210394.2114713404</v>
      </c>
      <c r="F696" s="229">
        <f>(F624/F612)*AE64</f>
        <v>3081.2446468445837</v>
      </c>
      <c r="G696" s="227">
        <f>(G625/G612)*AE91</f>
        <v>0</v>
      </c>
      <c r="H696" s="229">
        <f>(H628/H612)*AE60</f>
        <v>0</v>
      </c>
      <c r="I696" s="227">
        <f>(I629/I612)*AE92</f>
        <v>242431.73018216022</v>
      </c>
      <c r="J696" s="227">
        <f>(J630/J612)*AE93</f>
        <v>38192.516577365335</v>
      </c>
      <c r="K696" s="227">
        <f>(K644/K612)*AE89</f>
        <v>3129843.4114167574</v>
      </c>
      <c r="L696" s="227">
        <f>(L647/L612)*AE94</f>
        <v>1006461.6026477808</v>
      </c>
      <c r="M696" s="211">
        <f t="shared" si="24"/>
        <v>6038922</v>
      </c>
      <c r="N696" s="221" t="s">
        <v>662</v>
      </c>
    </row>
    <row r="697" spans="1:14" s="211" customFormat="1" ht="12.6" customHeight="1" x14ac:dyDescent="0.2">
      <c r="A697" s="222">
        <v>7220</v>
      </c>
      <c r="B697" s="221" t="s">
        <v>663</v>
      </c>
      <c r="C697" s="227">
        <f>AF85</f>
        <v>4127303.63</v>
      </c>
      <c r="D697" s="227">
        <f>(D615/D612)*AF90</f>
        <v>522077.46724416246</v>
      </c>
      <c r="E697" s="229">
        <f>(E623/E612)*SUM(C697:D697)</f>
        <v>417894.55147204647</v>
      </c>
      <c r="F697" s="229">
        <f>(F624/F612)*AF64</f>
        <v>1093.8517027201883</v>
      </c>
      <c r="G697" s="227">
        <f>(G625/G612)*AF91</f>
        <v>0</v>
      </c>
      <c r="H697" s="229">
        <f>(H628/H612)*AF60</f>
        <v>38606.554393405495</v>
      </c>
      <c r="I697" s="227">
        <f>(I629/I612)*AF92</f>
        <v>309823.40875922627</v>
      </c>
      <c r="J697" s="227">
        <f>(J630/J612)*AF93</f>
        <v>0</v>
      </c>
      <c r="K697" s="227">
        <f>(K644/K612)*AF89</f>
        <v>805255.13842574693</v>
      </c>
      <c r="L697" s="227">
        <f>(L647/L612)*AF94</f>
        <v>928952.49071973329</v>
      </c>
      <c r="M697" s="211">
        <f t="shared" si="24"/>
        <v>3023703</v>
      </c>
      <c r="N697" s="221" t="s">
        <v>664</v>
      </c>
    </row>
    <row r="698" spans="1:14" s="211" customFormat="1" ht="12.6" customHeight="1" x14ac:dyDescent="0.2">
      <c r="A698" s="222">
        <v>7230</v>
      </c>
      <c r="B698" s="221" t="s">
        <v>665</v>
      </c>
      <c r="C698" s="227">
        <f>AG85</f>
        <v>43242845.120000005</v>
      </c>
      <c r="D698" s="227">
        <f>(D615/D612)*AG90</f>
        <v>820102.14927702351</v>
      </c>
      <c r="E698" s="229">
        <f>(E623/E612)*SUM(C698:D698)</f>
        <v>3960455.209091234</v>
      </c>
      <c r="F698" s="229">
        <f>(F624/F612)*AG64</f>
        <v>81256.856212686194</v>
      </c>
      <c r="G698" s="227">
        <f>(G625/G612)*AG91</f>
        <v>0</v>
      </c>
      <c r="H698" s="229">
        <f>(H628/H612)*AG60</f>
        <v>749566.52639616514</v>
      </c>
      <c r="I698" s="227">
        <f>(I629/I612)*AG92</f>
        <v>486684.17880778847</v>
      </c>
      <c r="J698" s="227">
        <f>(J630/J612)*AG93</f>
        <v>0</v>
      </c>
      <c r="K698" s="227">
        <f>(K644/K612)*AG89</f>
        <v>23603136.827861238</v>
      </c>
      <c r="L698" s="227">
        <f>(L647/L612)*AG94</f>
        <v>2246491.7082548575</v>
      </c>
      <c r="M698" s="211">
        <f t="shared" si="24"/>
        <v>31947693</v>
      </c>
      <c r="N698" s="221" t="s">
        <v>666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125297.67</v>
      </c>
      <c r="D699" s="227">
        <f>(D615/D612)*AH90</f>
        <v>30677.526091366708</v>
      </c>
      <c r="E699" s="229">
        <f>(E623/E612)*SUM(C699:D699)</f>
        <v>14019.324991449113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18205.374302205364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62902</v>
      </c>
      <c r="N699" s="221" t="s">
        <v>667</v>
      </c>
    </row>
    <row r="700" spans="1:14" s="211" customFormat="1" ht="12.6" customHeight="1" x14ac:dyDescent="0.2">
      <c r="A700" s="222">
        <v>7250</v>
      </c>
      <c r="B700" s="221" t="s">
        <v>668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669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89944367.269999981</v>
      </c>
      <c r="D701" s="227">
        <f>(D615/D612)*AJ90</f>
        <v>9201611.4664873052</v>
      </c>
      <c r="E701" s="229">
        <f>(E623/E612)*SUM(C701:D701)</f>
        <v>8911414.9706720803</v>
      </c>
      <c r="F701" s="229">
        <f>(F624/F612)*AJ64</f>
        <v>176281.59810611751</v>
      </c>
      <c r="G701" s="227">
        <f>(G625/G612)*AJ91</f>
        <v>0</v>
      </c>
      <c r="H701" s="229">
        <f>(H628/H612)*AJ60</f>
        <v>1353344.831407187</v>
      </c>
      <c r="I701" s="227">
        <f>(I629/I612)*AJ92</f>
        <v>5460635.2686962411</v>
      </c>
      <c r="J701" s="227">
        <f>(J630/J612)*AJ93</f>
        <v>244086.62236401701</v>
      </c>
      <c r="K701" s="227">
        <f>(K644/K612)*AJ89</f>
        <v>16392847.889971642</v>
      </c>
      <c r="L701" s="227">
        <f>(L647/L612)*AJ94</f>
        <v>7814191.0200057058</v>
      </c>
      <c r="M701" s="211">
        <f t="shared" si="24"/>
        <v>49554414</v>
      </c>
      <c r="N701" s="221" t="s">
        <v>670</v>
      </c>
    </row>
    <row r="702" spans="1:14" s="211" customFormat="1" ht="12.6" customHeight="1" x14ac:dyDescent="0.2">
      <c r="A702" s="222">
        <v>7310</v>
      </c>
      <c r="B702" s="221" t="s">
        <v>671</v>
      </c>
      <c r="C702" s="227">
        <f>AK85</f>
        <v>4273863.7700000005</v>
      </c>
      <c r="D702" s="227">
        <f>(D615/D612)*AK90</f>
        <v>206701.16156050024</v>
      </c>
      <c r="E702" s="229">
        <f>(E623/E612)*SUM(C702:D702)</f>
        <v>402721.05754585052</v>
      </c>
      <c r="F702" s="229">
        <f>(F624/F612)*AK64</f>
        <v>549.69165979142429</v>
      </c>
      <c r="G702" s="227">
        <f>(G625/G612)*AK91</f>
        <v>0</v>
      </c>
      <c r="H702" s="229">
        <f>(H628/H612)*AK60</f>
        <v>0</v>
      </c>
      <c r="I702" s="227">
        <f>(I629/I612)*AK92</f>
        <v>122665.43278952787</v>
      </c>
      <c r="J702" s="227">
        <f>(J630/J612)*AK93</f>
        <v>0</v>
      </c>
      <c r="K702" s="227">
        <f>(K644/K612)*AK89</f>
        <v>1365338.1373432137</v>
      </c>
      <c r="L702" s="227">
        <f>(L647/L612)*AK94</f>
        <v>370539.82911274047</v>
      </c>
      <c r="M702" s="211">
        <f t="shared" si="24"/>
        <v>2468515</v>
      </c>
      <c r="N702" s="221" t="s">
        <v>672</v>
      </c>
    </row>
    <row r="703" spans="1:14" s="211" customFormat="1" ht="12.6" customHeight="1" x14ac:dyDescent="0.2">
      <c r="A703" s="222">
        <v>7320</v>
      </c>
      <c r="B703" s="221" t="s">
        <v>673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674</v>
      </c>
    </row>
    <row r="704" spans="1:14" s="211" customFormat="1" ht="12.6" customHeight="1" x14ac:dyDescent="0.2">
      <c r="A704" s="222">
        <v>7330</v>
      </c>
      <c r="B704" s="221" t="s">
        <v>675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676</v>
      </c>
    </row>
    <row r="705" spans="1:14" s="211" customFormat="1" ht="12.6" customHeight="1" x14ac:dyDescent="0.2">
      <c r="A705" s="222">
        <v>7340</v>
      </c>
      <c r="B705" s="221" t="s">
        <v>677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678</v>
      </c>
    </row>
    <row r="706" spans="1:14" s="211" customFormat="1" ht="12.6" customHeight="1" x14ac:dyDescent="0.2">
      <c r="A706" s="222">
        <v>7350</v>
      </c>
      <c r="B706" s="221" t="s">
        <v>679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680</v>
      </c>
    </row>
    <row r="707" spans="1:14" s="211" customFormat="1" ht="12.6" customHeight="1" x14ac:dyDescent="0.2">
      <c r="A707" s="222">
        <v>7380</v>
      </c>
      <c r="B707" s="221" t="s">
        <v>681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682</v>
      </c>
    </row>
    <row r="708" spans="1:14" s="211" customFormat="1" ht="12.6" customHeight="1" x14ac:dyDescent="0.2">
      <c r="A708" s="222">
        <v>7390</v>
      </c>
      <c r="B708" s="221" t="s">
        <v>683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684</v>
      </c>
    </row>
    <row r="709" spans="1:14" s="211" customFormat="1" ht="12.6" customHeight="1" x14ac:dyDescent="0.2">
      <c r="A709" s="222">
        <v>7400</v>
      </c>
      <c r="B709" s="221" t="s">
        <v>685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686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687</v>
      </c>
    </row>
    <row r="711" spans="1:14" s="211" customFormat="1" ht="12.6" customHeight="1" x14ac:dyDescent="0.2">
      <c r="A711" s="222">
        <v>7420</v>
      </c>
      <c r="B711" s="221" t="s">
        <v>688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689</v>
      </c>
    </row>
    <row r="712" spans="1:14" s="211" customFormat="1" ht="12.6" customHeight="1" x14ac:dyDescent="0.2">
      <c r="A712" s="222">
        <v>7430</v>
      </c>
      <c r="B712" s="221" t="s">
        <v>690</v>
      </c>
      <c r="C712" s="227">
        <f>AU85</f>
        <v>184690.58999999985</v>
      </c>
      <c r="D712" s="227">
        <f>(D615/D612)*AU90</f>
        <v>0</v>
      </c>
      <c r="E712" s="229">
        <f>(E623/E612)*SUM(C712:D712)</f>
        <v>16600.315107510836</v>
      </c>
      <c r="F712" s="229">
        <f>(F624/F612)*AU64</f>
        <v>57.395068757630895</v>
      </c>
      <c r="G712" s="227">
        <f>(G625/G612)*AU91</f>
        <v>0</v>
      </c>
      <c r="H712" s="229">
        <f>(H628/H612)*AU60</f>
        <v>33582.413753167799</v>
      </c>
      <c r="I712" s="227">
        <f>(I629/I612)*AU92</f>
        <v>0</v>
      </c>
      <c r="J712" s="227">
        <f>(J630/J612)*AU93</f>
        <v>466.16640432100195</v>
      </c>
      <c r="K712" s="227">
        <f>(K644/K612)*AU89</f>
        <v>40878.478513240952</v>
      </c>
      <c r="L712" s="227">
        <f>(L647/L612)*AU94</f>
        <v>98563.825914472327</v>
      </c>
      <c r="M712" s="211">
        <f t="shared" si="24"/>
        <v>190149</v>
      </c>
      <c r="N712" s="221" t="s">
        <v>691</v>
      </c>
    </row>
    <row r="713" spans="1:14" s="211" customFormat="1" ht="12.6" customHeight="1" x14ac:dyDescent="0.2">
      <c r="A713" s="222">
        <v>7490</v>
      </c>
      <c r="B713" s="221" t="s">
        <v>692</v>
      </c>
      <c r="C713" s="227">
        <f>AV85</f>
        <v>7668967.4400000013</v>
      </c>
      <c r="D713" s="227">
        <f>(D615/D612)*AV90</f>
        <v>119751.35819421826</v>
      </c>
      <c r="E713" s="229">
        <f>(E623/E612)*SUM(C713:D713)</f>
        <v>700063.74625700875</v>
      </c>
      <c r="F713" s="229">
        <f>(F624/F612)*AV64</f>
        <v>5170.5388938667265</v>
      </c>
      <c r="G713" s="227">
        <f>(G625/G612)*AV91</f>
        <v>0</v>
      </c>
      <c r="H713" s="229">
        <f>(H628/H612)*AV60</f>
        <v>82766.106336547396</v>
      </c>
      <c r="I713" s="227">
        <f>(I629/I612)*AV92</f>
        <v>71065.648925867645</v>
      </c>
      <c r="J713" s="227">
        <f>(J630/J612)*AV93</f>
        <v>134.88063475277721</v>
      </c>
      <c r="K713" s="227">
        <f>(K644/K612)*AV89</f>
        <v>470069.47655908373</v>
      </c>
      <c r="L713" s="227">
        <f>(L647/L612)*AV94</f>
        <v>540712.8196293941</v>
      </c>
      <c r="M713" s="211">
        <f t="shared" si="24"/>
        <v>1989735</v>
      </c>
      <c r="N713" s="223" t="s">
        <v>693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1230765786.8</v>
      </c>
      <c r="D715" s="211">
        <f>SUM(D616:D647)+SUM(D668:D713)</f>
        <v>44613604.529999986</v>
      </c>
      <c r="E715" s="211">
        <f>SUM(E624:E647)+SUM(E668:E713)</f>
        <v>101500362.7387493</v>
      </c>
      <c r="F715" s="211">
        <f>SUM(F625:F648)+SUM(F668:F713)</f>
        <v>4257954.8110946957</v>
      </c>
      <c r="G715" s="211">
        <f>SUM(G626:G647)+SUM(G668:G713)</f>
        <v>15755143.937851727</v>
      </c>
      <c r="H715" s="211">
        <f>SUM(H629:H647)+SUM(H668:H713)</f>
        <v>10790796.381411584</v>
      </c>
      <c r="I715" s="211">
        <f>SUM(I630:I647)+SUM(I668:I713)</f>
        <v>22020761.684479129</v>
      </c>
      <c r="J715" s="211">
        <f>SUM(J631:J647)+SUM(J668:J713)</f>
        <v>1698480.8436339588</v>
      </c>
      <c r="K715" s="211">
        <f>SUM(K668:K713)</f>
        <v>301075003.27254128</v>
      </c>
      <c r="L715" s="211">
        <f>SUM(L668:L713)</f>
        <v>41303448.894039668</v>
      </c>
      <c r="M715" s="211">
        <f>SUM(M668:M713)</f>
        <v>484670831</v>
      </c>
      <c r="N715" s="221" t="s">
        <v>694</v>
      </c>
    </row>
    <row r="716" spans="1:14" s="211" customFormat="1" ht="12.6" customHeight="1" x14ac:dyDescent="0.2">
      <c r="C716" s="224">
        <f>CE85</f>
        <v>1230765786.7999997</v>
      </c>
      <c r="D716" s="211">
        <f>D615</f>
        <v>44613604.530000001</v>
      </c>
      <c r="E716" s="211">
        <f>E623</f>
        <v>101500362.73874933</v>
      </c>
      <c r="F716" s="211">
        <f>F624</f>
        <v>4257954.8110946957</v>
      </c>
      <c r="G716" s="211">
        <f>G625</f>
        <v>15755143.937851725</v>
      </c>
      <c r="H716" s="211">
        <f>H628</f>
        <v>10790796.381411579</v>
      </c>
      <c r="I716" s="211">
        <f>I629</f>
        <v>22020761.684479129</v>
      </c>
      <c r="J716" s="211">
        <f>J630</f>
        <v>1698480.8436339588</v>
      </c>
      <c r="K716" s="211">
        <f>K644</f>
        <v>301075003.27254128</v>
      </c>
      <c r="L716" s="211">
        <f>L647</f>
        <v>41303448.894039668</v>
      </c>
      <c r="M716" s="211">
        <f>C648</f>
        <v>484670834.08999991</v>
      </c>
      <c r="N716" s="221" t="s">
        <v>695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422B-6C73-490A-829B-DD7360DFC2CD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900</v>
      </c>
      <c r="B1" s="178"/>
      <c r="C1" s="178"/>
    </row>
    <row r="2" spans="1:3" ht="20.100000000000001" customHeight="1" x14ac:dyDescent="0.25">
      <c r="A2" s="177"/>
      <c r="B2" s="178"/>
      <c r="C2" s="103" t="s">
        <v>901</v>
      </c>
    </row>
    <row r="3" spans="1:3" ht="20.100000000000001" customHeight="1" x14ac:dyDescent="0.25">
      <c r="A3" s="129" t="str">
        <f>"Hospital: "&amp;data!C98</f>
        <v>Hospital: Harborview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902</v>
      </c>
      <c r="C4" s="182"/>
    </row>
    <row r="5" spans="1:3" ht="20.100000000000001" customHeight="1" x14ac:dyDescent="0.25">
      <c r="A5" s="183">
        <v>1</v>
      </c>
      <c r="B5" s="184" t="s">
        <v>421</v>
      </c>
      <c r="C5" s="184"/>
    </row>
    <row r="6" spans="1:3" ht="20.100000000000001" customHeight="1" x14ac:dyDescent="0.25">
      <c r="A6" s="183">
        <v>2</v>
      </c>
      <c r="B6" s="185" t="s">
        <v>422</v>
      </c>
      <c r="C6" s="185">
        <f>data!C266</f>
        <v>257031833</v>
      </c>
    </row>
    <row r="7" spans="1:3" ht="20.100000000000001" customHeight="1" x14ac:dyDescent="0.25">
      <c r="A7" s="183">
        <v>3</v>
      </c>
      <c r="B7" s="185" t="s">
        <v>423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424</v>
      </c>
      <c r="C8" s="185">
        <f>data!C268</f>
        <v>206892135</v>
      </c>
    </row>
    <row r="9" spans="1:3" ht="20.100000000000001" customHeight="1" x14ac:dyDescent="0.25">
      <c r="A9" s="183">
        <v>5</v>
      </c>
      <c r="B9" s="185" t="s">
        <v>903</v>
      </c>
      <c r="C9" s="185">
        <f>data!C269</f>
        <v>0</v>
      </c>
    </row>
    <row r="10" spans="1:3" ht="20.100000000000001" customHeight="1" x14ac:dyDescent="0.25">
      <c r="A10" s="183">
        <v>6</v>
      </c>
      <c r="B10" s="185" t="s">
        <v>904</v>
      </c>
      <c r="C10" s="185">
        <f>data!C270</f>
        <v>43266117</v>
      </c>
    </row>
    <row r="11" spans="1:3" ht="20.100000000000001" customHeight="1" x14ac:dyDescent="0.25">
      <c r="A11" s="183">
        <v>7</v>
      </c>
      <c r="B11" s="185" t="s">
        <v>905</v>
      </c>
      <c r="C11" s="185">
        <f>data!C271</f>
        <v>45554587</v>
      </c>
    </row>
    <row r="12" spans="1:3" ht="20.100000000000001" customHeight="1" x14ac:dyDescent="0.25">
      <c r="A12" s="183">
        <v>8</v>
      </c>
      <c r="B12" s="185" t="s">
        <v>428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429</v>
      </c>
      <c r="C13" s="185">
        <f>data!C273</f>
        <v>13417706</v>
      </c>
    </row>
    <row r="14" spans="1:3" ht="20.100000000000001" customHeight="1" x14ac:dyDescent="0.25">
      <c r="A14" s="183">
        <v>10</v>
      </c>
      <c r="B14" s="185" t="s">
        <v>430</v>
      </c>
      <c r="C14" s="185">
        <f>data!C274</f>
        <v>0</v>
      </c>
    </row>
    <row r="15" spans="1:3" ht="20.100000000000001" customHeight="1" x14ac:dyDescent="0.25">
      <c r="A15" s="183">
        <v>11</v>
      </c>
      <c r="B15" s="185" t="s">
        <v>906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907</v>
      </c>
      <c r="C16" s="185">
        <f>data!D276</f>
        <v>566162378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908</v>
      </c>
      <c r="C18" s="184"/>
    </row>
    <row r="19" spans="1:3" ht="20.100000000000001" customHeight="1" x14ac:dyDescent="0.25">
      <c r="A19" s="183">
        <v>15</v>
      </c>
      <c r="B19" s="185" t="s">
        <v>422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423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434</v>
      </c>
      <c r="C21" s="185">
        <f>data!C280</f>
        <v>265961058</v>
      </c>
    </row>
    <row r="22" spans="1:3" ht="20.100000000000001" customHeight="1" x14ac:dyDescent="0.25">
      <c r="A22" s="183">
        <v>18</v>
      </c>
      <c r="B22" s="185" t="s">
        <v>909</v>
      </c>
      <c r="C22" s="185">
        <f>data!D281</f>
        <v>265961058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910</v>
      </c>
      <c r="C24" s="184"/>
    </row>
    <row r="25" spans="1:3" ht="20.100000000000001" customHeight="1" x14ac:dyDescent="0.25">
      <c r="A25" s="183">
        <v>21</v>
      </c>
      <c r="B25" s="185" t="s">
        <v>391</v>
      </c>
      <c r="C25" s="185">
        <f>data!C283</f>
        <v>2432000</v>
      </c>
    </row>
    <row r="26" spans="1:3" ht="20.100000000000001" customHeight="1" x14ac:dyDescent="0.25">
      <c r="A26" s="183">
        <v>22</v>
      </c>
      <c r="B26" s="185" t="s">
        <v>392</v>
      </c>
      <c r="C26" s="185">
        <f>data!C284</f>
        <v>7707000</v>
      </c>
    </row>
    <row r="27" spans="1:3" ht="20.100000000000001" customHeight="1" x14ac:dyDescent="0.25">
      <c r="A27" s="183">
        <v>23</v>
      </c>
      <c r="B27" s="185" t="s">
        <v>393</v>
      </c>
      <c r="C27" s="185">
        <f>data!C285</f>
        <v>466706384.53999996</v>
      </c>
    </row>
    <row r="28" spans="1:3" ht="20.100000000000001" customHeight="1" x14ac:dyDescent="0.25">
      <c r="A28" s="183">
        <v>24</v>
      </c>
      <c r="B28" s="185" t="s">
        <v>911</v>
      </c>
      <c r="C28" s="185">
        <f>data!C286</f>
        <v>126473791.79000001</v>
      </c>
    </row>
    <row r="29" spans="1:3" ht="20.100000000000001" customHeight="1" x14ac:dyDescent="0.25">
      <c r="A29" s="183">
        <v>25</v>
      </c>
      <c r="B29" s="185" t="s">
        <v>395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439</v>
      </c>
      <c r="C30" s="185">
        <f>data!C288</f>
        <v>166543000</v>
      </c>
    </row>
    <row r="31" spans="1:3" ht="20.100000000000001" customHeight="1" x14ac:dyDescent="0.25">
      <c r="A31" s="183">
        <v>27</v>
      </c>
      <c r="B31" s="185" t="s">
        <v>398</v>
      </c>
      <c r="C31" s="185">
        <f>data!C289</f>
        <v>14158000</v>
      </c>
    </row>
    <row r="32" spans="1:3" ht="20.100000000000001" customHeight="1" x14ac:dyDescent="0.25">
      <c r="A32" s="183">
        <v>28</v>
      </c>
      <c r="B32" s="185" t="s">
        <v>399</v>
      </c>
      <c r="C32" s="185">
        <f>data!C290</f>
        <v>26763138.239999998</v>
      </c>
    </row>
    <row r="33" spans="1:3" ht="20.100000000000001" customHeight="1" x14ac:dyDescent="0.25">
      <c r="A33" s="183">
        <v>29</v>
      </c>
      <c r="B33" s="185" t="s">
        <v>612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912</v>
      </c>
      <c r="C34" s="185">
        <f>data!C292</f>
        <v>538940000</v>
      </c>
    </row>
    <row r="35" spans="1:3" ht="20.100000000000001" customHeight="1" x14ac:dyDescent="0.25">
      <c r="A35" s="183">
        <v>31</v>
      </c>
      <c r="B35" s="185" t="s">
        <v>913</v>
      </c>
      <c r="C35" s="185">
        <f>data!D293</f>
        <v>271843314.56999993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914</v>
      </c>
      <c r="C37" s="184"/>
    </row>
    <row r="38" spans="1:3" ht="20.100000000000001" customHeight="1" x14ac:dyDescent="0.25">
      <c r="A38" s="183">
        <v>34</v>
      </c>
      <c r="B38" s="185" t="s">
        <v>915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916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446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434</v>
      </c>
      <c r="C41" s="185">
        <f>data!C298</f>
        <v>65768581</v>
      </c>
    </row>
    <row r="42" spans="1:3" ht="20.100000000000001" customHeight="1" x14ac:dyDescent="0.25">
      <c r="A42" s="183">
        <v>38</v>
      </c>
      <c r="B42" s="185" t="s">
        <v>917</v>
      </c>
      <c r="C42" s="185">
        <f>data!D299</f>
        <v>65768581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918</v>
      </c>
      <c r="C44" s="184"/>
    </row>
    <row r="45" spans="1:3" ht="20.100000000000001" customHeight="1" x14ac:dyDescent="0.25">
      <c r="A45" s="183">
        <v>41</v>
      </c>
      <c r="B45" s="185" t="s">
        <v>449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450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919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452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920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921</v>
      </c>
      <c r="C50" s="185">
        <f>data!D308</f>
        <v>1169735331.5699999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922</v>
      </c>
      <c r="B53" s="178"/>
      <c r="C53" s="178"/>
    </row>
    <row r="54" spans="1:3" ht="20.100000000000001" customHeight="1" x14ac:dyDescent="0.25">
      <c r="A54" s="177"/>
      <c r="B54" s="178"/>
      <c r="C54" s="103" t="s">
        <v>923</v>
      </c>
    </row>
    <row r="55" spans="1:3" ht="20.100000000000001" customHeight="1" x14ac:dyDescent="0.25">
      <c r="A55" s="129" t="str">
        <f>"Hospital: "&amp;data!C98</f>
        <v>Hospital: Harborview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924</v>
      </c>
      <c r="C56" s="182"/>
    </row>
    <row r="57" spans="1:3" ht="20.100000000000001" customHeight="1" x14ac:dyDescent="0.25">
      <c r="A57" s="192">
        <v>1</v>
      </c>
      <c r="B57" s="177" t="s">
        <v>456</v>
      </c>
      <c r="C57" s="193"/>
    </row>
    <row r="58" spans="1:3" ht="20.100000000000001" customHeight="1" x14ac:dyDescent="0.25">
      <c r="A58" s="183">
        <v>2</v>
      </c>
      <c r="B58" s="185" t="s">
        <v>457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925</v>
      </c>
      <c r="C59" s="185">
        <f>data!C315</f>
        <v>46942880</v>
      </c>
    </row>
    <row r="60" spans="1:3" ht="20.100000000000001" customHeight="1" x14ac:dyDescent="0.25">
      <c r="A60" s="183">
        <v>4</v>
      </c>
      <c r="B60" s="185" t="s">
        <v>926</v>
      </c>
      <c r="C60" s="185">
        <f>data!C316</f>
        <v>73243579</v>
      </c>
    </row>
    <row r="61" spans="1:3" ht="20.100000000000001" customHeight="1" x14ac:dyDescent="0.25">
      <c r="A61" s="183">
        <v>5</v>
      </c>
      <c r="B61" s="185" t="s">
        <v>460</v>
      </c>
      <c r="C61" s="185">
        <f>data!C317</f>
        <v>0</v>
      </c>
    </row>
    <row r="62" spans="1:3" ht="20.100000000000001" customHeight="1" x14ac:dyDescent="0.25">
      <c r="A62" s="183">
        <v>6</v>
      </c>
      <c r="B62" s="185" t="s">
        <v>927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928</v>
      </c>
      <c r="C63" s="185">
        <f>data!C319</f>
        <v>80403602</v>
      </c>
    </row>
    <row r="64" spans="1:3" ht="20.100000000000001" customHeight="1" x14ac:dyDescent="0.25">
      <c r="A64" s="183">
        <v>8</v>
      </c>
      <c r="B64" s="185" t="s">
        <v>463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464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465</v>
      </c>
      <c r="C66" s="185">
        <f>data!C322</f>
        <v>14986072</v>
      </c>
    </row>
    <row r="67" spans="1:3" ht="20.100000000000001" customHeight="1" x14ac:dyDescent="0.25">
      <c r="A67" s="183">
        <v>11</v>
      </c>
      <c r="B67" s="185" t="s">
        <v>929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930</v>
      </c>
      <c r="C68" s="185">
        <f>data!D324</f>
        <v>215576133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931</v>
      </c>
      <c r="C70" s="184"/>
    </row>
    <row r="71" spans="1:3" ht="20.100000000000001" customHeight="1" x14ac:dyDescent="0.25">
      <c r="A71" s="183">
        <v>15</v>
      </c>
      <c r="B71" s="185" t="s">
        <v>469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932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471</v>
      </c>
      <c r="C73" s="185">
        <f>data!C328</f>
        <v>35512962</v>
      </c>
    </row>
    <row r="74" spans="1:3" ht="20.100000000000001" customHeight="1" x14ac:dyDescent="0.25">
      <c r="A74" s="183">
        <v>18</v>
      </c>
      <c r="B74" s="185" t="s">
        <v>933</v>
      </c>
      <c r="C74" s="185">
        <f>data!D329</f>
        <v>35512962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473</v>
      </c>
      <c r="C76" s="184"/>
    </row>
    <row r="77" spans="1:3" ht="20.100000000000001" customHeight="1" x14ac:dyDescent="0.25">
      <c r="A77" s="183">
        <v>21</v>
      </c>
      <c r="B77" s="185" t="s">
        <v>474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934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476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935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478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936</v>
      </c>
      <c r="C82" s="185">
        <f>data!C336</f>
        <v>20426328</v>
      </c>
    </row>
    <row r="83" spans="1:3" ht="20.100000000000001" customHeight="1" x14ac:dyDescent="0.25">
      <c r="A83" s="183">
        <v>27</v>
      </c>
      <c r="B83" s="185" t="s">
        <v>480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481</v>
      </c>
      <c r="C84" s="185">
        <f>data!C338</f>
        <v>151343832</v>
      </c>
    </row>
    <row r="85" spans="1:3" ht="20.100000000000001" customHeight="1" x14ac:dyDescent="0.25">
      <c r="A85" s="183">
        <v>29</v>
      </c>
      <c r="B85" s="185" t="s">
        <v>612</v>
      </c>
      <c r="C85" s="185">
        <f>data!D339</f>
        <v>171770160</v>
      </c>
    </row>
    <row r="86" spans="1:3" ht="20.100000000000001" customHeight="1" x14ac:dyDescent="0.25">
      <c r="A86" s="183">
        <v>30</v>
      </c>
      <c r="B86" s="185" t="s">
        <v>937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938</v>
      </c>
      <c r="C87" s="185">
        <f>data!D341</f>
        <v>171770160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939</v>
      </c>
      <c r="C89" s="185">
        <f>data!C343</f>
        <v>746876077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940</v>
      </c>
      <c r="C91" s="184"/>
    </row>
    <row r="92" spans="1:3" ht="20.100000000000001" customHeight="1" x14ac:dyDescent="0.25">
      <c r="A92" s="183">
        <v>36</v>
      </c>
      <c r="B92" s="185" t="s">
        <v>485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486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941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942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943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944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945</v>
      </c>
      <c r="C102" s="185">
        <f>data!C343+data!C345+data!C346+data!C347+data!C348-data!C349</f>
        <v>746876077</v>
      </c>
    </row>
    <row r="103" spans="1:3" ht="20.100000000000001" customHeight="1" x14ac:dyDescent="0.25">
      <c r="A103" s="183">
        <v>47</v>
      </c>
      <c r="B103" s="185" t="s">
        <v>946</v>
      </c>
      <c r="C103" s="185">
        <f>data!D352</f>
        <v>1169735331.5699999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947</v>
      </c>
      <c r="B106" s="178"/>
      <c r="C106" s="178"/>
    </row>
    <row r="107" spans="1:3" ht="20.100000000000001" customHeight="1" x14ac:dyDescent="0.25">
      <c r="A107" s="179"/>
      <c r="C107" s="103" t="s">
        <v>948</v>
      </c>
    </row>
    <row r="108" spans="1:3" ht="20.100000000000001" customHeight="1" x14ac:dyDescent="0.25">
      <c r="A108" s="129" t="str">
        <f>"Hospital: "&amp;data!C98</f>
        <v>Hospital: Harborview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949</v>
      </c>
      <c r="C110" s="184"/>
    </row>
    <row r="111" spans="1:3" ht="20.100000000000001" customHeight="1" x14ac:dyDescent="0.25">
      <c r="A111" s="183">
        <v>2</v>
      </c>
      <c r="B111" s="185" t="s">
        <v>494</v>
      </c>
      <c r="C111" s="185">
        <f>data!C358</f>
        <v>2177549114</v>
      </c>
    </row>
    <row r="112" spans="1:3" ht="20.100000000000001" customHeight="1" x14ac:dyDescent="0.25">
      <c r="A112" s="183">
        <v>3</v>
      </c>
      <c r="B112" s="185" t="s">
        <v>495</v>
      </c>
      <c r="C112" s="185">
        <f>data!C359</f>
        <v>1206159270</v>
      </c>
    </row>
    <row r="113" spans="1:3" ht="20.100000000000001" customHeight="1" x14ac:dyDescent="0.25">
      <c r="A113" s="183">
        <v>4</v>
      </c>
      <c r="B113" s="185" t="s">
        <v>950</v>
      </c>
      <c r="C113" s="185">
        <f>data!D360</f>
        <v>3383708384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951</v>
      </c>
      <c r="C115" s="184"/>
    </row>
    <row r="116" spans="1:3" ht="20.100000000000001" customHeight="1" x14ac:dyDescent="0.25">
      <c r="A116" s="183">
        <v>7</v>
      </c>
      <c r="B116" s="197" t="s">
        <v>952</v>
      </c>
      <c r="C116" s="198">
        <f>data!C362</f>
        <v>39655218.950000003</v>
      </c>
    </row>
    <row r="117" spans="1:3" ht="20.100000000000001" customHeight="1" x14ac:dyDescent="0.25">
      <c r="A117" s="183">
        <v>8</v>
      </c>
      <c r="B117" s="185" t="s">
        <v>498</v>
      </c>
      <c r="C117" s="198">
        <f>data!C363</f>
        <v>2032358473.04</v>
      </c>
    </row>
    <row r="118" spans="1:3" ht="20.100000000000001" customHeight="1" x14ac:dyDescent="0.25">
      <c r="A118" s="183">
        <v>9</v>
      </c>
      <c r="B118" s="185" t="s">
        <v>953</v>
      </c>
      <c r="C118" s="198">
        <f>data!C364</f>
        <v>110077882.01000001</v>
      </c>
    </row>
    <row r="119" spans="1:3" ht="20.100000000000001" customHeight="1" x14ac:dyDescent="0.25">
      <c r="A119" s="183">
        <v>10</v>
      </c>
      <c r="B119" s="185" t="s">
        <v>954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898</v>
      </c>
      <c r="C120" s="198">
        <f>data!D366</f>
        <v>2182091574</v>
      </c>
    </row>
    <row r="121" spans="1:3" ht="20.100000000000001" customHeight="1" x14ac:dyDescent="0.25">
      <c r="A121" s="183">
        <v>12</v>
      </c>
      <c r="B121" s="185" t="s">
        <v>955</v>
      </c>
      <c r="C121" s="198">
        <f>data!D367</f>
        <v>1201616810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502</v>
      </c>
      <c r="C123" s="184"/>
    </row>
    <row r="124" spans="1:3" ht="20.100000000000001" customHeight="1" x14ac:dyDescent="0.25">
      <c r="A124" s="183">
        <v>15</v>
      </c>
      <c r="B124" s="199" t="s">
        <v>503</v>
      </c>
      <c r="C124" s="200"/>
    </row>
    <row r="125" spans="1:3" ht="20.100000000000001" customHeight="1" x14ac:dyDescent="0.25">
      <c r="A125" s="204" t="s">
        <v>956</v>
      </c>
      <c r="B125" s="201" t="s">
        <v>504</v>
      </c>
      <c r="C125" s="200">
        <f>data!C370</f>
        <v>0</v>
      </c>
    </row>
    <row r="126" spans="1:3" ht="20.100000000000001" customHeight="1" x14ac:dyDescent="0.25">
      <c r="A126" s="204" t="s">
        <v>957</v>
      </c>
      <c r="B126" s="201" t="s">
        <v>505</v>
      </c>
      <c r="C126" s="200">
        <f>data!C371</f>
        <v>0</v>
      </c>
    </row>
    <row r="127" spans="1:3" ht="20.100000000000001" customHeight="1" x14ac:dyDescent="0.25">
      <c r="A127" s="204" t="s">
        <v>958</v>
      </c>
      <c r="B127" s="201" t="s">
        <v>506</v>
      </c>
      <c r="C127" s="200">
        <f>data!C372</f>
        <v>0</v>
      </c>
    </row>
    <row r="128" spans="1:3" ht="20.100000000000001" customHeight="1" x14ac:dyDescent="0.25">
      <c r="A128" s="204" t="s">
        <v>959</v>
      </c>
      <c r="B128" s="201" t="s">
        <v>507</v>
      </c>
      <c r="C128" s="200">
        <f>data!C373</f>
        <v>0</v>
      </c>
    </row>
    <row r="129" spans="1:3" ht="20.100000000000001" customHeight="1" x14ac:dyDescent="0.25">
      <c r="A129" s="204" t="s">
        <v>960</v>
      </c>
      <c r="B129" s="201" t="s">
        <v>508</v>
      </c>
      <c r="C129" s="200">
        <f>data!C374</f>
        <v>0</v>
      </c>
    </row>
    <row r="130" spans="1:3" ht="20.100000000000001" customHeight="1" x14ac:dyDescent="0.25">
      <c r="A130" s="204" t="s">
        <v>961</v>
      </c>
      <c r="B130" s="201" t="s">
        <v>509</v>
      </c>
      <c r="C130" s="200">
        <f>data!C375</f>
        <v>0</v>
      </c>
    </row>
    <row r="131" spans="1:3" ht="20.100000000000001" customHeight="1" x14ac:dyDescent="0.25">
      <c r="A131" s="204" t="s">
        <v>962</v>
      </c>
      <c r="B131" s="201" t="s">
        <v>510</v>
      </c>
      <c r="C131" s="200">
        <f>data!C376</f>
        <v>0</v>
      </c>
    </row>
    <row r="132" spans="1:3" ht="20.100000000000001" customHeight="1" x14ac:dyDescent="0.25">
      <c r="A132" s="204" t="s">
        <v>963</v>
      </c>
      <c r="B132" s="201" t="s">
        <v>511</v>
      </c>
      <c r="C132" s="200">
        <f>data!C377</f>
        <v>0</v>
      </c>
    </row>
    <row r="133" spans="1:3" ht="20.100000000000001" customHeight="1" x14ac:dyDescent="0.25">
      <c r="A133" s="204" t="s">
        <v>964</v>
      </c>
      <c r="B133" s="201" t="s">
        <v>512</v>
      </c>
      <c r="C133" s="200">
        <f>data!C378</f>
        <v>0</v>
      </c>
    </row>
    <row r="134" spans="1:3" ht="20.100000000000001" customHeight="1" x14ac:dyDescent="0.25">
      <c r="A134" s="204" t="s">
        <v>965</v>
      </c>
      <c r="B134" s="201" t="s">
        <v>513</v>
      </c>
      <c r="C134" s="200">
        <f>data!C379</f>
        <v>0</v>
      </c>
    </row>
    <row r="135" spans="1:3" ht="20.100000000000001" customHeight="1" x14ac:dyDescent="0.25">
      <c r="A135" s="204" t="s">
        <v>966</v>
      </c>
      <c r="B135" s="201" t="s">
        <v>514</v>
      </c>
      <c r="C135" s="200">
        <f>data!C380</f>
        <v>106943276</v>
      </c>
    </row>
    <row r="136" spans="1:3" ht="20.100000000000001" customHeight="1" x14ac:dyDescent="0.25">
      <c r="A136" s="183">
        <v>16</v>
      </c>
      <c r="B136" s="185" t="s">
        <v>516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967</v>
      </c>
      <c r="C137" s="198">
        <f>data!D383</f>
        <v>106943276</v>
      </c>
    </row>
    <row r="138" spans="1:3" ht="20.100000000000001" customHeight="1" x14ac:dyDescent="0.25">
      <c r="A138" s="183">
        <v>18</v>
      </c>
      <c r="B138" s="185" t="s">
        <v>968</v>
      </c>
      <c r="C138" s="198">
        <f>data!D384</f>
        <v>1308560086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969</v>
      </c>
      <c r="C140" s="184"/>
    </row>
    <row r="141" spans="1:3" ht="20.100000000000001" customHeight="1" x14ac:dyDescent="0.25">
      <c r="A141" s="183">
        <v>21</v>
      </c>
      <c r="B141" s="185" t="s">
        <v>520</v>
      </c>
      <c r="C141" s="198">
        <f>data!C389</f>
        <v>559661204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159027451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44421612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225718568</v>
      </c>
    </row>
    <row r="145" spans="1:3" ht="20.100000000000001" customHeight="1" x14ac:dyDescent="0.25">
      <c r="A145" s="183">
        <v>25</v>
      </c>
      <c r="B145" s="185" t="s">
        <v>970</v>
      </c>
      <c r="C145" s="198">
        <f>data!C393</f>
        <v>13410241</v>
      </c>
    </row>
    <row r="146" spans="1:3" ht="20.100000000000001" customHeight="1" x14ac:dyDescent="0.25">
      <c r="A146" s="183">
        <v>26</v>
      </c>
      <c r="B146" s="185" t="s">
        <v>971</v>
      </c>
      <c r="C146" s="198">
        <f>data!C394</f>
        <v>274724028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41132454</v>
      </c>
    </row>
    <row r="148" spans="1:3" ht="20.100000000000001" customHeight="1" x14ac:dyDescent="0.25">
      <c r="A148" s="183">
        <v>28</v>
      </c>
      <c r="B148" s="185" t="s">
        <v>972</v>
      </c>
      <c r="C148" s="198">
        <f>data!C396</f>
        <v>3221393</v>
      </c>
    </row>
    <row r="149" spans="1:3" ht="20.100000000000001" customHeight="1" x14ac:dyDescent="0.25">
      <c r="A149" s="183">
        <v>29</v>
      </c>
      <c r="B149" s="185" t="s">
        <v>525</v>
      </c>
      <c r="C149" s="198">
        <f>data!C397</f>
        <v>11276632</v>
      </c>
    </row>
    <row r="150" spans="1:3" ht="20.100000000000001" customHeight="1" x14ac:dyDescent="0.25">
      <c r="A150" s="183">
        <v>30</v>
      </c>
      <c r="B150" s="185" t="s">
        <v>973</v>
      </c>
      <c r="C150" s="198">
        <f>data!C398</f>
        <v>2440443</v>
      </c>
    </row>
    <row r="151" spans="1:3" ht="20.100000000000001" customHeight="1" x14ac:dyDescent="0.25">
      <c r="A151" s="183">
        <v>31</v>
      </c>
      <c r="B151" s="185" t="s">
        <v>527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974</v>
      </c>
      <c r="B153" s="202" t="s">
        <v>270</v>
      </c>
      <c r="C153" s="198">
        <f>data!C401</f>
        <v>0</v>
      </c>
    </row>
    <row r="154" spans="1:3" ht="20.100000000000001" customHeight="1" x14ac:dyDescent="0.25">
      <c r="A154" s="204" t="s">
        <v>975</v>
      </c>
      <c r="B154" s="202" t="s">
        <v>271</v>
      </c>
      <c r="C154" s="198">
        <f>data!C402</f>
        <v>0</v>
      </c>
    </row>
    <row r="155" spans="1:3" ht="20.100000000000001" customHeight="1" x14ac:dyDescent="0.25">
      <c r="A155" s="204" t="s">
        <v>976</v>
      </c>
      <c r="B155" s="202" t="s">
        <v>977</v>
      </c>
      <c r="C155" s="198">
        <f>data!C403</f>
        <v>0</v>
      </c>
    </row>
    <row r="156" spans="1:3" ht="20.100000000000001" customHeight="1" x14ac:dyDescent="0.25">
      <c r="A156" s="204" t="s">
        <v>978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979</v>
      </c>
      <c r="B157" s="202" t="s">
        <v>274</v>
      </c>
      <c r="C157" s="198">
        <f>data!C405</f>
        <v>0</v>
      </c>
    </row>
    <row r="158" spans="1:3" ht="20.100000000000001" customHeight="1" x14ac:dyDescent="0.25">
      <c r="A158" s="204" t="s">
        <v>980</v>
      </c>
      <c r="B158" s="202" t="s">
        <v>275</v>
      </c>
      <c r="C158" s="198">
        <f>data!C406</f>
        <v>0</v>
      </c>
    </row>
    <row r="159" spans="1:3" ht="20.100000000000001" customHeight="1" x14ac:dyDescent="0.25">
      <c r="A159" s="204" t="s">
        <v>981</v>
      </c>
      <c r="B159" s="202" t="s">
        <v>276</v>
      </c>
      <c r="C159" s="198">
        <f>data!C407</f>
        <v>0</v>
      </c>
    </row>
    <row r="160" spans="1:3" ht="20.100000000000001" customHeight="1" x14ac:dyDescent="0.25">
      <c r="A160" s="204" t="s">
        <v>982</v>
      </c>
      <c r="B160" s="202" t="s">
        <v>277</v>
      </c>
      <c r="C160" s="198">
        <f>data!C408</f>
        <v>0</v>
      </c>
    </row>
    <row r="161" spans="1:3" ht="20.100000000000001" customHeight="1" x14ac:dyDescent="0.25">
      <c r="A161" s="204" t="s">
        <v>983</v>
      </c>
      <c r="B161" s="202" t="s">
        <v>278</v>
      </c>
      <c r="C161" s="198">
        <f>data!C409</f>
        <v>0</v>
      </c>
    </row>
    <row r="162" spans="1:3" ht="20.100000000000001" customHeight="1" x14ac:dyDescent="0.25">
      <c r="A162" s="204" t="s">
        <v>984</v>
      </c>
      <c r="B162" s="202" t="s">
        <v>279</v>
      </c>
      <c r="C162" s="198">
        <f>data!C410</f>
        <v>0</v>
      </c>
    </row>
    <row r="163" spans="1:3" ht="20.100000000000001" customHeight="1" x14ac:dyDescent="0.25">
      <c r="A163" s="204" t="s">
        <v>985</v>
      </c>
      <c r="B163" s="202" t="s">
        <v>280</v>
      </c>
      <c r="C163" s="198">
        <f>data!C411</f>
        <v>0</v>
      </c>
    </row>
    <row r="164" spans="1:3" ht="20.100000000000001" customHeight="1" x14ac:dyDescent="0.25">
      <c r="A164" s="204" t="s">
        <v>986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987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988</v>
      </c>
      <c r="B166" s="202" t="s">
        <v>989</v>
      </c>
      <c r="C166" s="198">
        <f>data!C414</f>
        <v>2675034</v>
      </c>
    </row>
    <row r="167" spans="1:3" ht="20.100000000000001" customHeight="1" x14ac:dyDescent="0.25">
      <c r="A167" s="183">
        <v>34</v>
      </c>
      <c r="B167" s="185" t="s">
        <v>990</v>
      </c>
      <c r="C167" s="198">
        <f>data!D416</f>
        <v>1337709060</v>
      </c>
    </row>
    <row r="168" spans="1:3" ht="20.100000000000001" customHeight="1" x14ac:dyDescent="0.25">
      <c r="A168" s="183">
        <v>35</v>
      </c>
      <c r="B168" s="185" t="s">
        <v>991</v>
      </c>
      <c r="C168" s="198">
        <f>data!D417</f>
        <v>-29148974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992</v>
      </c>
      <c r="C170" s="198">
        <f>data!D420</f>
        <v>49449013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993</v>
      </c>
      <c r="C172" s="185">
        <f>data!D421</f>
        <v>20300039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994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995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996</v>
      </c>
      <c r="C177" s="198">
        <f>data!D424</f>
        <v>20300039</v>
      </c>
    </row>
    <row r="178" spans="1:3" ht="20.100000000000001" customHeight="1" x14ac:dyDescent="0.25">
      <c r="A178" s="188">
        <v>45</v>
      </c>
      <c r="B178" s="187" t="s">
        <v>997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D9097-68B3-419F-B920-DB1BC22867F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998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999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Harborview Medical Center</v>
      </c>
      <c r="G4" s="250"/>
      <c r="H4" s="249" t="str">
        <f>"FYE: "&amp;data!C96</f>
        <v>FYE: 06/30/2023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1000</v>
      </c>
      <c r="C6" s="256" t="s">
        <v>118</v>
      </c>
      <c r="D6" s="257" t="s">
        <v>1001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1002</v>
      </c>
      <c r="E7" s="257" t="s">
        <v>190</v>
      </c>
      <c r="F7" s="257" t="s">
        <v>1003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1004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29389</v>
      </c>
      <c r="D9" s="251">
        <f>data!D59</f>
        <v>100587</v>
      </c>
      <c r="E9" s="251">
        <f>data!E59</f>
        <v>8721</v>
      </c>
      <c r="F9" s="251">
        <f>data!F59</f>
        <v>0</v>
      </c>
      <c r="G9" s="251">
        <f>data!G59</f>
        <v>11419</v>
      </c>
      <c r="H9" s="251">
        <f>data!H59</f>
        <v>23021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247.68</v>
      </c>
      <c r="D10" s="258">
        <f>data!D60</f>
        <v>343.9</v>
      </c>
      <c r="E10" s="258">
        <f>data!E60</f>
        <v>14.55</v>
      </c>
      <c r="F10" s="258">
        <f>data!F60</f>
        <v>0</v>
      </c>
      <c r="G10" s="258">
        <f>data!G60</f>
        <v>32.5</v>
      </c>
      <c r="H10" s="258">
        <f>data!H60</f>
        <v>66.739999999999995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51862790.840000004</v>
      </c>
      <c r="D11" s="251">
        <f>data!D61</f>
        <v>90844286.959999993</v>
      </c>
      <c r="E11" s="251">
        <f>data!E61</f>
        <v>7343075.9800000004</v>
      </c>
      <c r="F11" s="251">
        <f>data!F61</f>
        <v>0</v>
      </c>
      <c r="G11" s="251">
        <f>data!G61</f>
        <v>9880237.4499999993</v>
      </c>
      <c r="H11" s="251">
        <f>data!H61</f>
        <v>14060453.73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12039943</v>
      </c>
      <c r="D12" s="251">
        <f>data!D62</f>
        <v>18816796</v>
      </c>
      <c r="E12" s="251">
        <f>data!E62</f>
        <v>957369</v>
      </c>
      <c r="F12" s="251">
        <f>data!F62</f>
        <v>0</v>
      </c>
      <c r="G12" s="251">
        <f>data!G62</f>
        <v>2061110</v>
      </c>
      <c r="H12" s="251">
        <f>data!H62</f>
        <v>4374685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1375.7</v>
      </c>
      <c r="D13" s="251">
        <f>data!D63</f>
        <v>0</v>
      </c>
      <c r="E13" s="251">
        <f>data!E63</f>
        <v>0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6479636.2699999996</v>
      </c>
      <c r="D14" s="251">
        <f>data!D64</f>
        <v>6234842.21</v>
      </c>
      <c r="E14" s="251">
        <f>data!E64</f>
        <v>120481</v>
      </c>
      <c r="F14" s="251">
        <f>data!F64</f>
        <v>0</v>
      </c>
      <c r="G14" s="251">
        <f>data!G64</f>
        <v>444612.13</v>
      </c>
      <c r="H14" s="251">
        <f>data!H64</f>
        <v>227956.75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522</v>
      </c>
      <c r="C15" s="251">
        <f>data!C65</f>
        <v>572.52</v>
      </c>
      <c r="D15" s="251">
        <f>data!D65</f>
        <v>68.400000000000006</v>
      </c>
      <c r="E15" s="251">
        <f>data!E65</f>
        <v>0</v>
      </c>
      <c r="F15" s="251">
        <f>data!F65</f>
        <v>0</v>
      </c>
      <c r="G15" s="251">
        <f>data!G65</f>
        <v>41.04</v>
      </c>
      <c r="H15" s="251">
        <f>data!H65</f>
        <v>41.04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523</v>
      </c>
      <c r="C16" s="251">
        <f>data!C66</f>
        <v>657535.79</v>
      </c>
      <c r="D16" s="251">
        <f>data!D66</f>
        <v>838308.5</v>
      </c>
      <c r="E16" s="251">
        <f>data!E66</f>
        <v>345.72</v>
      </c>
      <c r="F16" s="251">
        <f>data!F66</f>
        <v>0</v>
      </c>
      <c r="G16" s="251">
        <f>data!G66</f>
        <v>108651.36</v>
      </c>
      <c r="H16" s="251">
        <f>data!H66</f>
        <v>102061.95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314516</v>
      </c>
      <c r="D17" s="251">
        <f>data!D67</f>
        <v>230103</v>
      </c>
      <c r="E17" s="251">
        <f>data!E67</f>
        <v>0</v>
      </c>
      <c r="F17" s="251">
        <f>data!F67</f>
        <v>0</v>
      </c>
      <c r="G17" s="251">
        <f>data!G67</f>
        <v>26732</v>
      </c>
      <c r="H17" s="251">
        <f>data!H67</f>
        <v>63555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1005</v>
      </c>
      <c r="C18" s="251">
        <f>data!C68</f>
        <v>722.26</v>
      </c>
      <c r="D18" s="251">
        <f>data!D68</f>
        <v>88.09</v>
      </c>
      <c r="E18" s="251">
        <f>data!E68</f>
        <v>0</v>
      </c>
      <c r="F18" s="251">
        <f>data!F68</f>
        <v>0</v>
      </c>
      <c r="G18" s="251">
        <f>data!G68</f>
        <v>52.88</v>
      </c>
      <c r="H18" s="251">
        <f>data!H68</f>
        <v>88.1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1006</v>
      </c>
      <c r="C19" s="251">
        <f>data!C69</f>
        <v>72711.73</v>
      </c>
      <c r="D19" s="251">
        <f>data!D69</f>
        <v>287852.09999999998</v>
      </c>
      <c r="E19" s="251">
        <f>data!E69</f>
        <v>12128.45</v>
      </c>
      <c r="F19" s="251">
        <f>data!F69</f>
        <v>0</v>
      </c>
      <c r="G19" s="251">
        <f>data!G69</f>
        <v>40566.620000000003</v>
      </c>
      <c r="H19" s="251">
        <f>data!H69</f>
        <v>145403.44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-2106.15</v>
      </c>
      <c r="D20" s="251">
        <f>-data!D84</f>
        <v>0</v>
      </c>
      <c r="E20" s="251">
        <f>-data!E84</f>
        <v>0</v>
      </c>
      <c r="F20" s="251">
        <f>-data!F84</f>
        <v>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1007</v>
      </c>
      <c r="C21" s="251">
        <f>data!C85</f>
        <v>71427697.960000008</v>
      </c>
      <c r="D21" s="251">
        <f>data!D85</f>
        <v>117252345.25999999</v>
      </c>
      <c r="E21" s="251">
        <f>data!E85</f>
        <v>8433400.1500000004</v>
      </c>
      <c r="F21" s="251">
        <f>data!F85</f>
        <v>0</v>
      </c>
      <c r="G21" s="251">
        <f>data!G85</f>
        <v>12562003.479999999</v>
      </c>
      <c r="H21" s="251">
        <f>data!H85</f>
        <v>18974245.010000002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1008</v>
      </c>
      <c r="C23" s="259">
        <f>+data!M668</f>
        <v>47580057</v>
      </c>
      <c r="D23" s="259">
        <f>+data!M669</f>
        <v>66703945</v>
      </c>
      <c r="E23" s="259">
        <f>+data!M670</f>
        <v>5453877</v>
      </c>
      <c r="F23" s="259">
        <f>+data!M671</f>
        <v>0</v>
      </c>
      <c r="G23" s="259">
        <f>+data!M672</f>
        <v>7563483</v>
      </c>
      <c r="H23" s="259">
        <f>+data!M673</f>
        <v>14053511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1009</v>
      </c>
      <c r="C24" s="251">
        <f>data!C87</f>
        <v>324909658.67000002</v>
      </c>
      <c r="D24" s="251">
        <f>data!D87</f>
        <v>320157244.38999999</v>
      </c>
      <c r="E24" s="251">
        <f>data!E87</f>
        <v>31930771.670000002</v>
      </c>
      <c r="F24" s="251">
        <f>data!F87</f>
        <v>0</v>
      </c>
      <c r="G24" s="251">
        <f>data!G87</f>
        <v>40471800.960000001</v>
      </c>
      <c r="H24" s="251">
        <f>data!H87</f>
        <v>72462790.659999996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1010</v>
      </c>
      <c r="C25" s="251">
        <f>data!C88</f>
        <v>1584674.3</v>
      </c>
      <c r="D25" s="251">
        <f>data!D88</f>
        <v>16859114.48</v>
      </c>
      <c r="E25" s="251">
        <f>data!E88</f>
        <v>2726999.25</v>
      </c>
      <c r="F25" s="251">
        <f>data!F88</f>
        <v>0</v>
      </c>
      <c r="G25" s="251">
        <f>data!G88</f>
        <v>402316.64</v>
      </c>
      <c r="H25" s="251">
        <f>data!H88</f>
        <v>163319.70000000001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1011</v>
      </c>
      <c r="C26" s="251">
        <f>data!C89</f>
        <v>326494332.97000003</v>
      </c>
      <c r="D26" s="251">
        <f>data!D89</f>
        <v>337016358.87</v>
      </c>
      <c r="E26" s="251">
        <f>data!E89</f>
        <v>34657770.920000002</v>
      </c>
      <c r="F26" s="251">
        <f>data!F89</f>
        <v>0</v>
      </c>
      <c r="G26" s="251">
        <f>data!G89</f>
        <v>40874117.600000001</v>
      </c>
      <c r="H26" s="251">
        <f>data!H89</f>
        <v>72626110.359999999</v>
      </c>
      <c r="I26" s="251">
        <f>data!I89</f>
        <v>0</v>
      </c>
    </row>
    <row r="27" spans="1:9" ht="20.100000000000001" customHeight="1" x14ac:dyDescent="0.2">
      <c r="A27" s="243" t="s">
        <v>1012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1013</v>
      </c>
      <c r="C28" s="251">
        <f>data!C90</f>
        <v>55295.859224047577</v>
      </c>
      <c r="D28" s="251">
        <f>data!D90</f>
        <v>106911.89484957345</v>
      </c>
      <c r="E28" s="251">
        <f>data!E90</f>
        <v>2686.8333333333335</v>
      </c>
      <c r="F28" s="251">
        <f>data!F90</f>
        <v>0</v>
      </c>
      <c r="G28" s="251">
        <f>data!G90</f>
        <v>12696</v>
      </c>
      <c r="H28" s="251">
        <f>data!H90</f>
        <v>32043.957269696693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1014</v>
      </c>
      <c r="C29" s="251">
        <f>data!C91</f>
        <v>163991</v>
      </c>
      <c r="D29" s="251">
        <f>data!D91</f>
        <v>561274</v>
      </c>
      <c r="E29" s="251">
        <f>data!E91</f>
        <v>48663</v>
      </c>
      <c r="F29" s="251">
        <f>data!F91</f>
        <v>0</v>
      </c>
      <c r="G29" s="251">
        <f>data!G91</f>
        <v>63718</v>
      </c>
      <c r="H29" s="251">
        <f>data!H91</f>
        <v>128457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1015</v>
      </c>
      <c r="C30" s="251">
        <f>data!C92</f>
        <v>13849.555805502048</v>
      </c>
      <c r="D30" s="251">
        <f>data!D92</f>
        <v>26777.452683965203</v>
      </c>
      <c r="E30" s="251">
        <f>data!E92</f>
        <v>672.95180348513748</v>
      </c>
      <c r="F30" s="251">
        <f>data!F92</f>
        <v>0</v>
      </c>
      <c r="G30" s="251">
        <f>data!G92</f>
        <v>3179.8757262132517</v>
      </c>
      <c r="H30" s="251">
        <f>data!H92</f>
        <v>8025.8193047986115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1016</v>
      </c>
      <c r="C31" s="251">
        <f>data!C93</f>
        <v>0</v>
      </c>
      <c r="D31" s="251">
        <f>data!D93</f>
        <v>0</v>
      </c>
      <c r="E31" s="251">
        <f>data!E93</f>
        <v>0</v>
      </c>
      <c r="F31" s="251">
        <f>data!F93</f>
        <v>0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365.49</v>
      </c>
      <c r="D32" s="258">
        <f>data!D94</f>
        <v>714.76000000000022</v>
      </c>
      <c r="E32" s="258">
        <f>data!E94</f>
        <v>47.289999999999992</v>
      </c>
      <c r="F32" s="258">
        <f>data!F94</f>
        <v>0</v>
      </c>
      <c r="G32" s="258">
        <f>data!G94</f>
        <v>68.959999999999994</v>
      </c>
      <c r="H32" s="258">
        <f>data!H94</f>
        <v>131.26</v>
      </c>
      <c r="I32" s="258">
        <f>data!I94</f>
        <v>0</v>
      </c>
    </row>
    <row r="33" spans="1:9" ht="20.100000000000001" customHeight="1" x14ac:dyDescent="0.2">
      <c r="A33" s="244" t="s">
        <v>998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1017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Harborview Medical Center</v>
      </c>
      <c r="G36" s="250"/>
      <c r="H36" s="249" t="str">
        <f>"FYE: "&amp;data!C96</f>
        <v>FYE: 06/30/2023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1000</v>
      </c>
      <c r="C38" s="257"/>
      <c r="D38" s="257" t="s">
        <v>126</v>
      </c>
      <c r="E38" s="257" t="s">
        <v>127</v>
      </c>
      <c r="F38" s="257" t="s">
        <v>1018</v>
      </c>
      <c r="G38" s="257" t="s">
        <v>129</v>
      </c>
      <c r="H38" s="257" t="s">
        <v>1019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1004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0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0</v>
      </c>
      <c r="H41" s="251">
        <f>data!O59</f>
        <v>0</v>
      </c>
      <c r="I41" s="251">
        <f>data!P59</f>
        <v>2459115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0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0</v>
      </c>
      <c r="H42" s="258">
        <f>data!O60</f>
        <v>0</v>
      </c>
      <c r="I42" s="258">
        <f>data!P60</f>
        <v>93.05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0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288223.11</v>
      </c>
      <c r="H43" s="251">
        <f>data!O61</f>
        <v>0</v>
      </c>
      <c r="I43" s="251">
        <f>data!P61</f>
        <v>23515196.579999998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0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101305</v>
      </c>
      <c r="H44" s="251">
        <f>data!O62</f>
        <v>0</v>
      </c>
      <c r="I44" s="251">
        <f>data!P62</f>
        <v>6621216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0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0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0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86492.54</v>
      </c>
      <c r="H46" s="251">
        <f>data!O64</f>
        <v>0</v>
      </c>
      <c r="I46" s="251">
        <f>data!P64</f>
        <v>53096089.299999997</v>
      </c>
    </row>
    <row r="47" spans="1:9" ht="20.100000000000001" customHeight="1" x14ac:dyDescent="0.2">
      <c r="A47" s="243">
        <v>10</v>
      </c>
      <c r="B47" s="251" t="s">
        <v>522</v>
      </c>
      <c r="C47" s="251">
        <f>data!J65</f>
        <v>0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00000000000001" customHeight="1" x14ac:dyDescent="0.2">
      <c r="A48" s="243">
        <v>11</v>
      </c>
      <c r="B48" s="251" t="s">
        <v>523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3578.8</v>
      </c>
      <c r="H48" s="251">
        <f>data!O66</f>
        <v>0</v>
      </c>
      <c r="I48" s="251">
        <f>data!P66</f>
        <v>1188286.1000000001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0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0</v>
      </c>
      <c r="I49" s="251">
        <f>data!P67</f>
        <v>3051421</v>
      </c>
    </row>
    <row r="50" spans="1:11" ht="20.100000000000001" customHeight="1" x14ac:dyDescent="0.2">
      <c r="A50" s="243">
        <v>13</v>
      </c>
      <c r="B50" s="251" t="s">
        <v>1005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0</v>
      </c>
      <c r="I50" s="251">
        <f>data!P68</f>
        <v>39177.78</v>
      </c>
    </row>
    <row r="51" spans="1:11" ht="20.100000000000001" customHeight="1" x14ac:dyDescent="0.2">
      <c r="A51" s="243">
        <v>14</v>
      </c>
      <c r="B51" s="251" t="s">
        <v>1006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0</v>
      </c>
      <c r="H51" s="251">
        <f>data!O69</f>
        <v>0</v>
      </c>
      <c r="I51" s="251">
        <f>data!P69</f>
        <v>8168.97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-290114.65000000002</v>
      </c>
      <c r="H52" s="251">
        <f>-data!O84</f>
        <v>0</v>
      </c>
      <c r="I52" s="251">
        <f>-data!P84</f>
        <v>0</v>
      </c>
    </row>
    <row r="53" spans="1:11" ht="20.100000000000001" customHeight="1" x14ac:dyDescent="0.2">
      <c r="A53" s="243">
        <v>16</v>
      </c>
      <c r="B53" s="259" t="s">
        <v>1007</v>
      </c>
      <c r="C53" s="251">
        <f>data!J85</f>
        <v>0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189484.79999999993</v>
      </c>
      <c r="H53" s="251">
        <f>data!O85</f>
        <v>0</v>
      </c>
      <c r="I53" s="251">
        <f>data!P85</f>
        <v>87519555.729999989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1008</v>
      </c>
      <c r="C55" s="259">
        <f>+data!M675</f>
        <v>0</v>
      </c>
      <c r="D55" s="259">
        <f>+data!M676</f>
        <v>0</v>
      </c>
      <c r="E55" s="259">
        <f>+data!M677</f>
        <v>0</v>
      </c>
      <c r="F55" s="259">
        <f>+data!M678</f>
        <v>0</v>
      </c>
      <c r="G55" s="259">
        <f>+data!M679</f>
        <v>61730</v>
      </c>
      <c r="H55" s="259">
        <f>+data!M680</f>
        <v>0</v>
      </c>
      <c r="I55" s="259">
        <f>+data!M681</f>
        <v>80602896</v>
      </c>
    </row>
    <row r="56" spans="1:11" ht="20.100000000000001" customHeight="1" x14ac:dyDescent="0.2">
      <c r="A56" s="243">
        <v>19</v>
      </c>
      <c r="B56" s="259" t="s">
        <v>1009</v>
      </c>
      <c r="C56" s="251">
        <f>data!J87</f>
        <v>0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0</v>
      </c>
      <c r="I56" s="251">
        <f>data!P87</f>
        <v>537075936.13</v>
      </c>
    </row>
    <row r="57" spans="1:11" ht="20.100000000000001" customHeight="1" x14ac:dyDescent="0.2">
      <c r="A57" s="243">
        <v>20</v>
      </c>
      <c r="B57" s="259" t="s">
        <v>1010</v>
      </c>
      <c r="C57" s="251">
        <f>data!J88</f>
        <v>0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0</v>
      </c>
      <c r="H57" s="251">
        <f>data!O88</f>
        <v>0</v>
      </c>
      <c r="I57" s="251">
        <f>data!P88</f>
        <v>188780384.03999999</v>
      </c>
    </row>
    <row r="58" spans="1:11" ht="20.100000000000001" customHeight="1" x14ac:dyDescent="0.2">
      <c r="A58" s="243">
        <v>21</v>
      </c>
      <c r="B58" s="259" t="s">
        <v>1011</v>
      </c>
      <c r="C58" s="251">
        <f>data!J89</f>
        <v>0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0</v>
      </c>
      <c r="H58" s="251">
        <f>data!O89</f>
        <v>0</v>
      </c>
      <c r="I58" s="251">
        <f>data!P89</f>
        <v>725856320.16999996</v>
      </c>
    </row>
    <row r="59" spans="1:11" ht="20.100000000000001" customHeight="1" x14ac:dyDescent="0.2">
      <c r="A59" s="243" t="s">
        <v>1012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1013</v>
      </c>
      <c r="C60" s="251">
        <f>data!J90</f>
        <v>0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0</v>
      </c>
      <c r="I60" s="251">
        <f>data!P90</f>
        <v>51073.353503598992</v>
      </c>
      <c r="K60" s="262"/>
    </row>
    <row r="61" spans="1:11" ht="20.100000000000001" customHeight="1" x14ac:dyDescent="0.2">
      <c r="A61" s="243">
        <v>23</v>
      </c>
      <c r="B61" s="251" t="s">
        <v>1014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0</v>
      </c>
      <c r="H61" s="251">
        <f>data!O91</f>
        <v>0</v>
      </c>
      <c r="I61" s="251">
        <f>data!P91</f>
        <v>0</v>
      </c>
    </row>
    <row r="62" spans="1:11" ht="20.100000000000001" customHeight="1" x14ac:dyDescent="0.2">
      <c r="A62" s="243">
        <v>24</v>
      </c>
      <c r="B62" s="251" t="s">
        <v>1015</v>
      </c>
      <c r="C62" s="251">
        <f>data!J92</f>
        <v>0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0</v>
      </c>
      <c r="I62" s="251">
        <f>data!P92</f>
        <v>12791.975193951084</v>
      </c>
    </row>
    <row r="63" spans="1:11" ht="20.100000000000001" customHeight="1" x14ac:dyDescent="0.2">
      <c r="A63" s="243">
        <v>25</v>
      </c>
      <c r="B63" s="251" t="s">
        <v>1016</v>
      </c>
      <c r="C63" s="251">
        <f>data!J93</f>
        <v>0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0</v>
      </c>
      <c r="I63" s="251">
        <f>data!P93</f>
        <v>250379.5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0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3.7199999999999998</v>
      </c>
      <c r="H64" s="258">
        <f>data!O94</f>
        <v>0</v>
      </c>
      <c r="I64" s="258">
        <f>data!P94</f>
        <v>211.55999999999997</v>
      </c>
    </row>
    <row r="65" spans="1:9" ht="20.100000000000001" customHeight="1" x14ac:dyDescent="0.2">
      <c r="A65" s="244" t="s">
        <v>998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1020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Harborview Medical Center</v>
      </c>
      <c r="G68" s="250"/>
      <c r="H68" s="249" t="str">
        <f>"FYE: "&amp;data!C96</f>
        <v>FYE: 06/30/2023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1000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1021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1004</v>
      </c>
      <c r="C72" s="253" t="s">
        <v>1022</v>
      </c>
      <c r="D72" s="252" t="s">
        <v>1023</v>
      </c>
      <c r="E72" s="263"/>
      <c r="F72" s="263"/>
      <c r="G72" s="252" t="s">
        <v>1024</v>
      </c>
      <c r="H72" s="252" t="s">
        <v>1024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1049013</v>
      </c>
      <c r="D73" s="259">
        <f>data!R59</f>
        <v>2867290</v>
      </c>
      <c r="E73" s="263"/>
      <c r="F73" s="263"/>
      <c r="G73" s="251">
        <f>data!U59</f>
        <v>1905284</v>
      </c>
      <c r="H73" s="251">
        <f>data!V59</f>
        <v>67702</v>
      </c>
      <c r="I73" s="251">
        <f>data!W59</f>
        <v>91838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55.53</v>
      </c>
      <c r="D74" s="258">
        <f>data!R60</f>
        <v>0</v>
      </c>
      <c r="E74" s="258">
        <f>data!S60</f>
        <v>0.06</v>
      </c>
      <c r="F74" s="258">
        <f>data!T60</f>
        <v>0</v>
      </c>
      <c r="G74" s="258">
        <f>data!U60</f>
        <v>0</v>
      </c>
      <c r="H74" s="258">
        <f>data!V60</f>
        <v>8.18</v>
      </c>
      <c r="I74" s="258">
        <f>data!W60</f>
        <v>0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9526340.0199999996</v>
      </c>
      <c r="D75" s="251">
        <f>data!R61</f>
        <v>10728151.119999999</v>
      </c>
      <c r="E75" s="251">
        <f>data!S61</f>
        <v>4813280.22</v>
      </c>
      <c r="F75" s="251">
        <f>data!T61</f>
        <v>0</v>
      </c>
      <c r="G75" s="251">
        <f>data!U61</f>
        <v>12976668.52</v>
      </c>
      <c r="H75" s="251">
        <f>data!V61</f>
        <v>7230394.0300000003</v>
      </c>
      <c r="I75" s="251">
        <f>data!W61</f>
        <v>1728705.46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3187017</v>
      </c>
      <c r="D76" s="251">
        <f>data!R62</f>
        <v>3305762</v>
      </c>
      <c r="E76" s="251">
        <f>data!S62</f>
        <v>1216181</v>
      </c>
      <c r="F76" s="251">
        <f>data!T62</f>
        <v>0</v>
      </c>
      <c r="G76" s="251">
        <f>data!U62</f>
        <v>4525495</v>
      </c>
      <c r="H76" s="251">
        <f>data!V62</f>
        <v>2342624</v>
      </c>
      <c r="I76" s="251">
        <f>data!W62</f>
        <v>590567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250</v>
      </c>
      <c r="H77" s="251">
        <f>data!V63</f>
        <v>124395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872347.17</v>
      </c>
      <c r="D78" s="251">
        <f>data!R64</f>
        <v>2538860.13</v>
      </c>
      <c r="E78" s="251">
        <f>data!S64</f>
        <v>2093177.12</v>
      </c>
      <c r="F78" s="251">
        <f>data!T64</f>
        <v>0</v>
      </c>
      <c r="G78" s="251">
        <f>data!U64</f>
        <v>8474049.7699999996</v>
      </c>
      <c r="H78" s="251">
        <f>data!V64</f>
        <v>1761430.38</v>
      </c>
      <c r="I78" s="251">
        <f>data!W64</f>
        <v>187334.86</v>
      </c>
    </row>
    <row r="79" spans="1:9" ht="20.100000000000001" customHeight="1" x14ac:dyDescent="0.2">
      <c r="A79" s="243">
        <v>10</v>
      </c>
      <c r="B79" s="251" t="s">
        <v>522</v>
      </c>
      <c r="C79" s="251">
        <f>data!Q65</f>
        <v>0</v>
      </c>
      <c r="D79" s="251">
        <f>data!R65</f>
        <v>30.4</v>
      </c>
      <c r="E79" s="251">
        <f>data!S65</f>
        <v>9670.2000000000007</v>
      </c>
      <c r="F79" s="251">
        <f>data!T65</f>
        <v>0</v>
      </c>
      <c r="G79" s="251">
        <f>data!U65</f>
        <v>1630.86</v>
      </c>
      <c r="H79" s="251">
        <f>data!V65</f>
        <v>2601.7199999999998</v>
      </c>
      <c r="I79" s="251">
        <f>data!W65</f>
        <v>0</v>
      </c>
    </row>
    <row r="80" spans="1:9" ht="20.100000000000001" customHeight="1" x14ac:dyDescent="0.2">
      <c r="A80" s="243">
        <v>11</v>
      </c>
      <c r="B80" s="251" t="s">
        <v>523</v>
      </c>
      <c r="C80" s="251">
        <f>data!Q66</f>
        <v>124924.88</v>
      </c>
      <c r="D80" s="251">
        <f>data!R66</f>
        <v>25938.29</v>
      </c>
      <c r="E80" s="251">
        <f>data!S66</f>
        <v>3890833.01</v>
      </c>
      <c r="F80" s="251">
        <f>data!T66</f>
        <v>0</v>
      </c>
      <c r="G80" s="251">
        <f>data!U66</f>
        <v>11973482.67</v>
      </c>
      <c r="H80" s="251">
        <f>data!V66</f>
        <v>134462.18</v>
      </c>
      <c r="I80" s="251">
        <f>data!W66</f>
        <v>58025.47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41707</v>
      </c>
      <c r="D81" s="251">
        <f>data!R67</f>
        <v>155643</v>
      </c>
      <c r="E81" s="251">
        <f>data!S67</f>
        <v>201552</v>
      </c>
      <c r="F81" s="251">
        <f>data!T67</f>
        <v>0</v>
      </c>
      <c r="G81" s="251">
        <f>data!U67</f>
        <v>420165</v>
      </c>
      <c r="H81" s="251">
        <f>data!V67</f>
        <v>367217</v>
      </c>
      <c r="I81" s="251">
        <f>data!W67</f>
        <v>335441</v>
      </c>
    </row>
    <row r="82" spans="1:9" ht="20.100000000000001" customHeight="1" x14ac:dyDescent="0.2">
      <c r="A82" s="243">
        <v>13</v>
      </c>
      <c r="B82" s="251" t="s">
        <v>1005</v>
      </c>
      <c r="C82" s="251">
        <f>data!Q68</f>
        <v>0</v>
      </c>
      <c r="D82" s="251">
        <f>data!R68</f>
        <v>92764.59</v>
      </c>
      <c r="E82" s="251">
        <f>data!S68</f>
        <v>2450678.17</v>
      </c>
      <c r="F82" s="251">
        <f>data!T68</f>
        <v>0</v>
      </c>
      <c r="G82" s="251">
        <f>data!U68</f>
        <v>10647.75</v>
      </c>
      <c r="H82" s="251">
        <f>data!V68</f>
        <v>236308.62</v>
      </c>
      <c r="I82" s="251">
        <f>data!W68</f>
        <v>0</v>
      </c>
    </row>
    <row r="83" spans="1:9" ht="20.100000000000001" customHeight="1" x14ac:dyDescent="0.2">
      <c r="A83" s="243">
        <v>14</v>
      </c>
      <c r="B83" s="251" t="s">
        <v>1006</v>
      </c>
      <c r="C83" s="251">
        <f>data!Q69</f>
        <v>26003.3</v>
      </c>
      <c r="D83" s="251">
        <f>data!R69</f>
        <v>4909.8900000000003</v>
      </c>
      <c r="E83" s="251">
        <f>data!S69</f>
        <v>1194516.9099999999</v>
      </c>
      <c r="F83" s="251">
        <f>data!T69</f>
        <v>0</v>
      </c>
      <c r="G83" s="251">
        <f>data!U69</f>
        <v>119795.99</v>
      </c>
      <c r="H83" s="251">
        <f>data!V69</f>
        <v>19780.27</v>
      </c>
      <c r="I83" s="251">
        <f>data!W69</f>
        <v>0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0</v>
      </c>
      <c r="E84" s="251">
        <f>data!S84</f>
        <v>0</v>
      </c>
      <c r="F84" s="251">
        <f>data!T84</f>
        <v>0</v>
      </c>
      <c r="G84" s="251">
        <f>data!U84</f>
        <v>115222.25</v>
      </c>
      <c r="H84" s="251">
        <f>data!V84</f>
        <v>313.7</v>
      </c>
      <c r="I84" s="251">
        <f>data!W84</f>
        <v>0</v>
      </c>
    </row>
    <row r="85" spans="1:9" ht="20.100000000000001" customHeight="1" x14ac:dyDescent="0.2">
      <c r="A85" s="243">
        <v>16</v>
      </c>
      <c r="B85" s="259" t="s">
        <v>1007</v>
      </c>
      <c r="C85" s="251">
        <f>data!Q85</f>
        <v>13778339.370000001</v>
      </c>
      <c r="D85" s="251">
        <f>data!R85</f>
        <v>16852059.420000002</v>
      </c>
      <c r="E85" s="251">
        <f>data!S85</f>
        <v>15869888.630000001</v>
      </c>
      <c r="F85" s="251">
        <f>data!T85</f>
        <v>0</v>
      </c>
      <c r="G85" s="251">
        <f>data!U85</f>
        <v>38386963.310000002</v>
      </c>
      <c r="H85" s="251">
        <f>data!V85</f>
        <v>12218899.5</v>
      </c>
      <c r="I85" s="251">
        <f>data!W85</f>
        <v>2900073.79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1008</v>
      </c>
      <c r="C87" s="259">
        <f>+data!M682</f>
        <v>5752555</v>
      </c>
      <c r="D87" s="259">
        <f>+data!M683</f>
        <v>13448910</v>
      </c>
      <c r="E87" s="259">
        <f>+data!M684</f>
        <v>4285679</v>
      </c>
      <c r="F87" s="259">
        <f>+data!M685</f>
        <v>0</v>
      </c>
      <c r="G87" s="259">
        <f>+data!M686</f>
        <v>29003847</v>
      </c>
      <c r="H87" s="259">
        <f>+data!M687</f>
        <v>11303783</v>
      </c>
      <c r="I87" s="259">
        <f>+data!M688</f>
        <v>3988965</v>
      </c>
    </row>
    <row r="88" spans="1:9" ht="20.100000000000001" customHeight="1" x14ac:dyDescent="0.2">
      <c r="A88" s="243">
        <v>19</v>
      </c>
      <c r="B88" s="259" t="s">
        <v>1009</v>
      </c>
      <c r="C88" s="251">
        <f>data!Q87</f>
        <v>14230919.32</v>
      </c>
      <c r="D88" s="251">
        <f>data!R87</f>
        <v>62672674.270000003</v>
      </c>
      <c r="E88" s="251">
        <f>data!S87</f>
        <v>0</v>
      </c>
      <c r="F88" s="251">
        <f>data!T87</f>
        <v>0</v>
      </c>
      <c r="G88" s="251">
        <f>data!U87</f>
        <v>128832432.15000001</v>
      </c>
      <c r="H88" s="251">
        <f>data!V87</f>
        <v>57036203.399999999</v>
      </c>
      <c r="I88" s="251">
        <f>data!W87</f>
        <v>14276735.59</v>
      </c>
    </row>
    <row r="89" spans="1:9" ht="20.100000000000001" customHeight="1" x14ac:dyDescent="0.2">
      <c r="A89" s="243">
        <v>20</v>
      </c>
      <c r="B89" s="259" t="s">
        <v>1010</v>
      </c>
      <c r="C89" s="251">
        <f>data!Q88</f>
        <v>12828409.619999999</v>
      </c>
      <c r="D89" s="251">
        <f>data!R88</f>
        <v>58945603.420000002</v>
      </c>
      <c r="E89" s="251">
        <f>data!S88</f>
        <v>0</v>
      </c>
      <c r="F89" s="251">
        <f>data!T88</f>
        <v>0</v>
      </c>
      <c r="G89" s="251">
        <f>data!U88</f>
        <v>105077513.31999999</v>
      </c>
      <c r="H89" s="251">
        <f>data!V88</f>
        <v>35412134.060000002</v>
      </c>
      <c r="I89" s="251">
        <f>data!W88</f>
        <v>24843897.940000001</v>
      </c>
    </row>
    <row r="90" spans="1:9" ht="20.100000000000001" customHeight="1" x14ac:dyDescent="0.2">
      <c r="A90" s="243">
        <v>21</v>
      </c>
      <c r="B90" s="259" t="s">
        <v>1011</v>
      </c>
      <c r="C90" s="251">
        <f>data!Q89</f>
        <v>27059328.939999998</v>
      </c>
      <c r="D90" s="251">
        <f>data!R89</f>
        <v>121618277.69</v>
      </c>
      <c r="E90" s="251">
        <f>data!S89</f>
        <v>0</v>
      </c>
      <c r="F90" s="251">
        <f>data!T89</f>
        <v>0</v>
      </c>
      <c r="G90" s="251">
        <f>data!U89</f>
        <v>233909945.47</v>
      </c>
      <c r="H90" s="251">
        <f>data!V89</f>
        <v>92448337.460000008</v>
      </c>
      <c r="I90" s="251">
        <f>data!W89</f>
        <v>39120633.530000001</v>
      </c>
    </row>
    <row r="91" spans="1:9" ht="20.100000000000001" customHeight="1" x14ac:dyDescent="0.2">
      <c r="A91" s="243" t="s">
        <v>1012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1013</v>
      </c>
      <c r="C92" s="251">
        <f>data!Q90</f>
        <v>14668.5</v>
      </c>
      <c r="D92" s="251">
        <f>data!R90</f>
        <v>7105</v>
      </c>
      <c r="E92" s="251">
        <f>data!S90</f>
        <v>40470</v>
      </c>
      <c r="F92" s="251">
        <f>data!T90</f>
        <v>0</v>
      </c>
      <c r="G92" s="251">
        <f>data!U90</f>
        <v>54685</v>
      </c>
      <c r="H92" s="251">
        <f>data!V90</f>
        <v>19816.333333333332</v>
      </c>
      <c r="I92" s="251">
        <f>data!W90</f>
        <v>2089</v>
      </c>
    </row>
    <row r="93" spans="1:9" ht="20.100000000000001" customHeight="1" x14ac:dyDescent="0.2">
      <c r="A93" s="243">
        <v>23</v>
      </c>
      <c r="B93" s="251" t="s">
        <v>1014</v>
      </c>
      <c r="C93" s="251">
        <f>data!Q91</f>
        <v>0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1015</v>
      </c>
      <c r="C94" s="251">
        <f>data!Q92</f>
        <v>3673.9136019186421</v>
      </c>
      <c r="D94" s="251">
        <f>data!R92</f>
        <v>1779.5382037448921</v>
      </c>
      <c r="E94" s="251">
        <f>data!S92</f>
        <v>10136.229571506798</v>
      </c>
      <c r="F94" s="251">
        <f>data!T92</f>
        <v>0</v>
      </c>
      <c r="G94" s="251">
        <f>data!U92</f>
        <v>13696.55829300344</v>
      </c>
      <c r="H94" s="251">
        <f>data!V92</f>
        <v>4963.254359579174</v>
      </c>
      <c r="I94" s="251">
        <f>data!W92</f>
        <v>523.21679206517661</v>
      </c>
    </row>
    <row r="95" spans="1:9" ht="20.100000000000001" customHeight="1" x14ac:dyDescent="0.2">
      <c r="A95" s="243">
        <v>25</v>
      </c>
      <c r="B95" s="251" t="s">
        <v>1016</v>
      </c>
      <c r="C95" s="251">
        <f>data!Q93</f>
        <v>0</v>
      </c>
      <c r="D95" s="251">
        <f>data!R93</f>
        <v>0</v>
      </c>
      <c r="E95" s="251">
        <f>data!S93</f>
        <v>0</v>
      </c>
      <c r="F95" s="251">
        <f>data!T93</f>
        <v>0</v>
      </c>
      <c r="G95" s="251">
        <f>data!U93</f>
        <v>1531.5</v>
      </c>
      <c r="H95" s="251">
        <f>data!V93</f>
        <v>26303.5</v>
      </c>
      <c r="I95" s="251">
        <f>data!W93</f>
        <v>0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71.849999999999994</v>
      </c>
      <c r="D96" s="258">
        <f>data!R94</f>
        <v>59.780000000000015</v>
      </c>
      <c r="E96" s="258">
        <f>data!S94</f>
        <v>60.230000000000004</v>
      </c>
      <c r="F96" s="258">
        <f>data!T94</f>
        <v>0</v>
      </c>
      <c r="G96" s="258">
        <f>data!U94</f>
        <v>147.26</v>
      </c>
      <c r="H96" s="258">
        <f>data!V94</f>
        <v>61.4</v>
      </c>
      <c r="I96" s="258">
        <f>data!W94</f>
        <v>11.61</v>
      </c>
    </row>
    <row r="97" spans="1:9" ht="20.100000000000001" customHeight="1" x14ac:dyDescent="0.2">
      <c r="A97" s="244" t="s">
        <v>998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1025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Harborview Medical Center</v>
      </c>
      <c r="G100" s="250"/>
      <c r="H100" s="249" t="str">
        <f>"FYE: "&amp;data!C96</f>
        <v>FYE: 06/30/2023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1000</v>
      </c>
      <c r="C102" s="257" t="s">
        <v>1026</v>
      </c>
      <c r="D102" s="257" t="s">
        <v>1027</v>
      </c>
      <c r="E102" s="257" t="s">
        <v>1027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1004</v>
      </c>
      <c r="C104" s="252" t="s">
        <v>251</v>
      </c>
      <c r="D104" s="253" t="s">
        <v>1028</v>
      </c>
      <c r="E104" s="253" t="s">
        <v>1028</v>
      </c>
      <c r="F104" s="253" t="s">
        <v>1028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351825</v>
      </c>
      <c r="D105" s="251">
        <f>data!Y59</f>
        <v>706039</v>
      </c>
      <c r="E105" s="251">
        <f>data!Z59</f>
        <v>9620</v>
      </c>
      <c r="F105" s="251">
        <f>data!AA59</f>
        <v>16403</v>
      </c>
      <c r="G105" s="263"/>
      <c r="H105" s="251">
        <f>data!AC59</f>
        <v>65855</v>
      </c>
      <c r="I105" s="251">
        <f>data!AD59</f>
        <v>0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0</v>
      </c>
      <c r="D106" s="258">
        <f>data!Y60</f>
        <v>19.170000000000002</v>
      </c>
      <c r="E106" s="258">
        <f>data!Z60</f>
        <v>3.71</v>
      </c>
      <c r="F106" s="258">
        <f>data!AA60</f>
        <v>0</v>
      </c>
      <c r="G106" s="258">
        <f>data!AB60</f>
        <v>0</v>
      </c>
      <c r="H106" s="258">
        <f>data!AC60</f>
        <v>1.8499999999999999</v>
      </c>
      <c r="I106" s="258">
        <f>data!AD60</f>
        <v>0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4488088.8499999996</v>
      </c>
      <c r="D107" s="251">
        <f>data!Y61</f>
        <v>19016491.16</v>
      </c>
      <c r="E107" s="251">
        <f>data!Z61</f>
        <v>1147618.8999999999</v>
      </c>
      <c r="F107" s="251">
        <f>data!AA61</f>
        <v>499521.72</v>
      </c>
      <c r="G107" s="251">
        <f>data!AB61</f>
        <v>25136468.059999999</v>
      </c>
      <c r="H107" s="251">
        <f>data!AC61</f>
        <v>9771260.1699999999</v>
      </c>
      <c r="I107" s="251">
        <f>data!AD61</f>
        <v>0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954374</v>
      </c>
      <c r="D108" s="251">
        <f>data!Y62</f>
        <v>5933202</v>
      </c>
      <c r="E108" s="251">
        <f>data!Z62</f>
        <v>372659</v>
      </c>
      <c r="F108" s="251">
        <f>data!AA62</f>
        <v>193982</v>
      </c>
      <c r="G108" s="251">
        <f>data!AB62</f>
        <v>9175821</v>
      </c>
      <c r="H108" s="251">
        <f>data!AC62</f>
        <v>2345120</v>
      </c>
      <c r="I108" s="251">
        <f>data!AD62</f>
        <v>0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2825.54</v>
      </c>
      <c r="E109" s="251">
        <f>data!Z63</f>
        <v>0</v>
      </c>
      <c r="F109" s="251">
        <f>data!AA63</f>
        <v>0</v>
      </c>
      <c r="G109" s="251">
        <f>data!AB63</f>
        <v>116823.4</v>
      </c>
      <c r="H109" s="251">
        <f>data!AC63</f>
        <v>0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709180.7</v>
      </c>
      <c r="D110" s="251">
        <f>data!Y64</f>
        <v>7071374.1399999997</v>
      </c>
      <c r="E110" s="251">
        <f>data!Z64</f>
        <v>277712.99</v>
      </c>
      <c r="F110" s="251">
        <f>data!AA64</f>
        <v>205242.38</v>
      </c>
      <c r="G110" s="251">
        <f>data!AB64</f>
        <v>104346080.27</v>
      </c>
      <c r="H110" s="251">
        <f>data!AC64</f>
        <v>1074418.83</v>
      </c>
      <c r="I110" s="251">
        <f>data!AD64</f>
        <v>3747.15</v>
      </c>
    </row>
    <row r="111" spans="1:9" ht="20.100000000000001" customHeight="1" x14ac:dyDescent="0.2">
      <c r="A111" s="243">
        <v>10</v>
      </c>
      <c r="B111" s="251" t="s">
        <v>522</v>
      </c>
      <c r="C111" s="251">
        <f>data!X65</f>
        <v>315.48</v>
      </c>
      <c r="D111" s="251">
        <f>data!Y65</f>
        <v>41.04</v>
      </c>
      <c r="E111" s="251">
        <f>data!Z65</f>
        <v>761.59</v>
      </c>
      <c r="F111" s="251">
        <f>data!AA65</f>
        <v>0</v>
      </c>
      <c r="G111" s="251">
        <f>data!AB65</f>
        <v>12614.12</v>
      </c>
      <c r="H111" s="251">
        <f>data!AC65</f>
        <v>0</v>
      </c>
      <c r="I111" s="251">
        <f>data!AD65</f>
        <v>0</v>
      </c>
    </row>
    <row r="112" spans="1:9" ht="20.100000000000001" customHeight="1" x14ac:dyDescent="0.2">
      <c r="A112" s="243">
        <v>11</v>
      </c>
      <c r="B112" s="251" t="s">
        <v>523</v>
      </c>
      <c r="C112" s="251">
        <f>data!X66</f>
        <v>70149.47</v>
      </c>
      <c r="D112" s="251">
        <f>data!Y66</f>
        <v>180553.68</v>
      </c>
      <c r="E112" s="251">
        <f>data!Z66</f>
        <v>5484.55</v>
      </c>
      <c r="F112" s="251">
        <f>data!AA66</f>
        <v>5</v>
      </c>
      <c r="G112" s="251">
        <f>data!AB66</f>
        <v>7038464.3300000001</v>
      </c>
      <c r="H112" s="251">
        <f>data!AC66</f>
        <v>30020.63</v>
      </c>
      <c r="I112" s="251">
        <f>data!AD66</f>
        <v>2182655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244701</v>
      </c>
      <c r="D113" s="251">
        <f>data!Y67</f>
        <v>1046932</v>
      </c>
      <c r="E113" s="251">
        <f>data!Z67</f>
        <v>168277</v>
      </c>
      <c r="F113" s="251">
        <f>data!AA67</f>
        <v>244814</v>
      </c>
      <c r="G113" s="251">
        <f>data!AB67</f>
        <v>16303</v>
      </c>
      <c r="H113" s="251">
        <f>data!AC67</f>
        <v>364325</v>
      </c>
      <c r="I113" s="251">
        <f>data!AD67</f>
        <v>69411</v>
      </c>
    </row>
    <row r="114" spans="1:9" ht="20.100000000000001" customHeight="1" x14ac:dyDescent="0.2">
      <c r="A114" s="243">
        <v>13</v>
      </c>
      <c r="B114" s="251" t="s">
        <v>1005</v>
      </c>
      <c r="C114" s="251">
        <f>data!X68</f>
        <v>0</v>
      </c>
      <c r="D114" s="251">
        <f>data!Y68</f>
        <v>122227.51</v>
      </c>
      <c r="E114" s="251">
        <f>data!Z68</f>
        <v>44.05</v>
      </c>
      <c r="F114" s="251">
        <f>data!AA68</f>
        <v>44.05</v>
      </c>
      <c r="G114" s="251">
        <f>data!AB68</f>
        <v>1293992.31</v>
      </c>
      <c r="H114" s="251">
        <f>data!AC68</f>
        <v>7345.06</v>
      </c>
      <c r="I114" s="251">
        <f>data!AD68</f>
        <v>0</v>
      </c>
    </row>
    <row r="115" spans="1:9" ht="20.100000000000001" customHeight="1" x14ac:dyDescent="0.2">
      <c r="A115" s="243">
        <v>14</v>
      </c>
      <c r="B115" s="251" t="s">
        <v>1006</v>
      </c>
      <c r="C115" s="251">
        <f>data!X69</f>
        <v>16109.23</v>
      </c>
      <c r="D115" s="251">
        <f>data!Y69</f>
        <v>14657.35</v>
      </c>
      <c r="E115" s="251">
        <f>data!Z69</f>
        <v>10107.43</v>
      </c>
      <c r="F115" s="251">
        <f>data!AA69</f>
        <v>494.54</v>
      </c>
      <c r="G115" s="251">
        <f>data!AB69</f>
        <v>367809.99</v>
      </c>
      <c r="H115" s="251">
        <f>data!AC69</f>
        <v>11590.25</v>
      </c>
      <c r="I115" s="251">
        <f>data!AD69</f>
        <v>0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0</v>
      </c>
      <c r="D116" s="251">
        <f>-data!Y84</f>
        <v>-31160.6</v>
      </c>
      <c r="E116" s="251">
        <f>-data!Z84</f>
        <v>0</v>
      </c>
      <c r="F116" s="251">
        <f>-data!AA84</f>
        <v>0</v>
      </c>
      <c r="G116" s="251">
        <f>-data!AB84</f>
        <v>-39220691.840000004</v>
      </c>
      <c r="H116" s="251">
        <f>-data!AC84</f>
        <v>-5748.35</v>
      </c>
      <c r="I116" s="251">
        <f>-data!AD84</f>
        <v>0</v>
      </c>
    </row>
    <row r="117" spans="1:9" ht="20.100000000000001" customHeight="1" x14ac:dyDescent="0.2">
      <c r="A117" s="243">
        <v>16</v>
      </c>
      <c r="B117" s="259" t="s">
        <v>1007</v>
      </c>
      <c r="C117" s="251">
        <f>data!X85</f>
        <v>6482918.7300000004</v>
      </c>
      <c r="D117" s="251">
        <f>data!Y85</f>
        <v>33357143.82</v>
      </c>
      <c r="E117" s="251">
        <f>data!Z85</f>
        <v>1982665.51</v>
      </c>
      <c r="F117" s="251">
        <f>data!AA85</f>
        <v>1144103.6900000002</v>
      </c>
      <c r="G117" s="251">
        <f>data!AB85</f>
        <v>108283684.64000002</v>
      </c>
      <c r="H117" s="251">
        <f>data!AC85</f>
        <v>13598331.590000002</v>
      </c>
      <c r="I117" s="251">
        <f>data!AD85</f>
        <v>2255813.15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1008</v>
      </c>
      <c r="C119" s="259">
        <f>+data!M689</f>
        <v>19571388</v>
      </c>
      <c r="D119" s="259">
        <f>+data!M690</f>
        <v>22850596</v>
      </c>
      <c r="E119" s="259">
        <f>+data!M691</f>
        <v>2875368</v>
      </c>
      <c r="F119" s="259">
        <f>+data!M692</f>
        <v>554779</v>
      </c>
      <c r="G119" s="259">
        <f>+data!M693</f>
        <v>47798726</v>
      </c>
      <c r="H119" s="259">
        <f>+data!M694</f>
        <v>4529804</v>
      </c>
      <c r="I119" s="259">
        <f>+data!M695</f>
        <v>1410899</v>
      </c>
    </row>
    <row r="120" spans="1:9" ht="20.100000000000001" customHeight="1" x14ac:dyDescent="0.2">
      <c r="A120" s="243">
        <v>19</v>
      </c>
      <c r="B120" s="259" t="s">
        <v>1009</v>
      </c>
      <c r="C120" s="251">
        <f>data!X87</f>
        <v>119102526.17</v>
      </c>
      <c r="D120" s="251">
        <f>data!Y87</f>
        <v>102594721.98</v>
      </c>
      <c r="E120" s="251">
        <f>data!Z87</f>
        <v>79432.679999999993</v>
      </c>
      <c r="F120" s="251">
        <f>data!AA87</f>
        <v>1137587.3600000001</v>
      </c>
      <c r="G120" s="251">
        <f>data!AB87</f>
        <v>163394570.88999999</v>
      </c>
      <c r="H120" s="251">
        <f>data!AC87</f>
        <v>20778528.460000001</v>
      </c>
      <c r="I120" s="251">
        <f>data!AD87</f>
        <v>12248080.66</v>
      </c>
    </row>
    <row r="121" spans="1:9" ht="20.100000000000001" customHeight="1" x14ac:dyDescent="0.2">
      <c r="A121" s="243">
        <v>20</v>
      </c>
      <c r="B121" s="259" t="s">
        <v>1010</v>
      </c>
      <c r="C121" s="251">
        <f>data!X88</f>
        <v>88486408.969999999</v>
      </c>
      <c r="D121" s="251">
        <f>data!Y88</f>
        <v>73682398.590000004</v>
      </c>
      <c r="E121" s="251">
        <f>data!Z88</f>
        <v>26990325.16</v>
      </c>
      <c r="F121" s="251">
        <f>data!AA88</f>
        <v>2507882.15</v>
      </c>
      <c r="G121" s="251">
        <f>data!AB88</f>
        <v>201525071.86000001</v>
      </c>
      <c r="H121" s="251">
        <f>data!AC88</f>
        <v>4296276.57</v>
      </c>
      <c r="I121" s="251">
        <f>data!AD88</f>
        <v>385208.96</v>
      </c>
    </row>
    <row r="122" spans="1:9" ht="20.100000000000001" customHeight="1" x14ac:dyDescent="0.2">
      <c r="A122" s="243">
        <v>21</v>
      </c>
      <c r="B122" s="259" t="s">
        <v>1011</v>
      </c>
      <c r="C122" s="251">
        <f>data!X89</f>
        <v>207588935.13999999</v>
      </c>
      <c r="D122" s="251">
        <f>data!Y89</f>
        <v>176277120.56999999</v>
      </c>
      <c r="E122" s="251">
        <f>data!Z89</f>
        <v>27069757.84</v>
      </c>
      <c r="F122" s="251">
        <f>data!AA89</f>
        <v>3645469.51</v>
      </c>
      <c r="G122" s="251">
        <f>data!AB89</f>
        <v>364919642.75</v>
      </c>
      <c r="H122" s="251">
        <f>data!AC89</f>
        <v>25074805.030000001</v>
      </c>
      <c r="I122" s="251">
        <f>data!AD89</f>
        <v>12633289.620000001</v>
      </c>
    </row>
    <row r="123" spans="1:9" ht="20.100000000000001" customHeight="1" x14ac:dyDescent="0.2">
      <c r="A123" s="243" t="s">
        <v>1012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1013</v>
      </c>
      <c r="C124" s="251">
        <f>data!X90</f>
        <v>2296</v>
      </c>
      <c r="D124" s="251">
        <f>data!Y90</f>
        <v>35980.5</v>
      </c>
      <c r="E124" s="251">
        <f>data!Z90</f>
        <v>2863</v>
      </c>
      <c r="F124" s="251">
        <f>data!AA90</f>
        <v>1694</v>
      </c>
      <c r="G124" s="251">
        <f>data!AB90</f>
        <v>22315.147144625178</v>
      </c>
      <c r="H124" s="251">
        <f>data!AC90</f>
        <v>3706</v>
      </c>
      <c r="I124" s="251">
        <f>data!AD90</f>
        <v>1602</v>
      </c>
    </row>
    <row r="125" spans="1:9" ht="20.100000000000001" customHeight="1" x14ac:dyDescent="0.2">
      <c r="A125" s="243">
        <v>23</v>
      </c>
      <c r="B125" s="251" t="s">
        <v>1014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1015</v>
      </c>
      <c r="C126" s="251">
        <f>data!X92</f>
        <v>575.06259194908841</v>
      </c>
      <c r="D126" s="251">
        <f>data!Y92</f>
        <v>9011.776824749204</v>
      </c>
      <c r="E126" s="251">
        <f>data!Z92</f>
        <v>717.07500032675955</v>
      </c>
      <c r="F126" s="251">
        <f>data!AA92</f>
        <v>424.28398552341275</v>
      </c>
      <c r="G126" s="251">
        <f>data!AB92</f>
        <v>5589.1142668612601</v>
      </c>
      <c r="H126" s="251">
        <f>data!AC92</f>
        <v>928.21514188297965</v>
      </c>
      <c r="I126" s="251">
        <f>data!AD92</f>
        <v>401.24140779722978</v>
      </c>
    </row>
    <row r="127" spans="1:9" ht="20.100000000000001" customHeight="1" x14ac:dyDescent="0.2">
      <c r="A127" s="243">
        <v>25</v>
      </c>
      <c r="B127" s="251" t="s">
        <v>1016</v>
      </c>
      <c r="C127" s="251">
        <f>data!X93</f>
        <v>12667.5</v>
      </c>
      <c r="D127" s="251">
        <f>data!Y93</f>
        <v>4441.5</v>
      </c>
      <c r="E127" s="251">
        <f>data!Z93</f>
        <v>0</v>
      </c>
      <c r="F127" s="251">
        <f>data!AA93</f>
        <v>0</v>
      </c>
      <c r="G127" s="251">
        <f>data!AB93</f>
        <v>0</v>
      </c>
      <c r="H127" s="251">
        <f>data!AC93</f>
        <v>0</v>
      </c>
      <c r="I127" s="251">
        <f>data!AD93</f>
        <v>0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28.000000000000004</v>
      </c>
      <c r="D128" s="258">
        <f>data!Y94</f>
        <v>169.01999999999998</v>
      </c>
      <c r="E128" s="258">
        <f>data!Z94</f>
        <v>8.68</v>
      </c>
      <c r="F128" s="258">
        <f>data!AA94</f>
        <v>3.01</v>
      </c>
      <c r="G128" s="258">
        <f>data!AB94</f>
        <v>209.13999999999996</v>
      </c>
      <c r="H128" s="258">
        <f>data!AC94</f>
        <v>73.06</v>
      </c>
      <c r="I128" s="258">
        <f>data!AD94</f>
        <v>0</v>
      </c>
    </row>
    <row r="129" spans="1:14" ht="20.100000000000001" customHeight="1" x14ac:dyDescent="0.2">
      <c r="A129" s="244" t="s">
        <v>998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1029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Harborview Medical Center</v>
      </c>
      <c r="G132" s="250"/>
      <c r="H132" s="249" t="str">
        <f>"FYE: "&amp;data!C96</f>
        <v>FYE: 06/30/2023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1000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1030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1004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1031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149086</v>
      </c>
      <c r="D137" s="251">
        <f>data!AF59</f>
        <v>22019</v>
      </c>
      <c r="E137" s="251">
        <f>data!AG59</f>
        <v>54312</v>
      </c>
      <c r="F137" s="251">
        <f>data!AH59</f>
        <v>0</v>
      </c>
      <c r="G137" s="251">
        <f>data!AI59</f>
        <v>0</v>
      </c>
      <c r="H137" s="251">
        <f>data!AJ59</f>
        <v>359656</v>
      </c>
      <c r="I137" s="251">
        <f>data!AK59</f>
        <v>77940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0</v>
      </c>
      <c r="D138" s="258">
        <f>data!AF60</f>
        <v>4.38</v>
      </c>
      <c r="E138" s="258">
        <f>data!AG60</f>
        <v>85.04</v>
      </c>
      <c r="F138" s="258">
        <f>data!AH60</f>
        <v>0</v>
      </c>
      <c r="G138" s="258">
        <f>data!AI60</f>
        <v>0</v>
      </c>
      <c r="H138" s="258">
        <f>data!AJ60</f>
        <v>153.54</v>
      </c>
      <c r="I138" s="258">
        <f>data!AK60</f>
        <v>0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9530944.6999999993</v>
      </c>
      <c r="D139" s="251">
        <f>data!AF61</f>
        <v>7945642.2599999998</v>
      </c>
      <c r="E139" s="251">
        <f>data!AG61</f>
        <v>30944758.059999999</v>
      </c>
      <c r="F139" s="251">
        <f>data!AH61</f>
        <v>0</v>
      </c>
      <c r="G139" s="251">
        <f>data!AI61</f>
        <v>0</v>
      </c>
      <c r="H139" s="251">
        <f>data!AJ61</f>
        <v>70814025.709999993</v>
      </c>
      <c r="I139" s="251">
        <f>data!AK61</f>
        <v>3451617.76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3324672</v>
      </c>
      <c r="D140" s="251">
        <f>data!AF62</f>
        <v>2791609</v>
      </c>
      <c r="E140" s="251">
        <f>data!AG62</f>
        <v>7374513</v>
      </c>
      <c r="F140" s="251">
        <f>data!AH62</f>
        <v>0</v>
      </c>
      <c r="G140" s="251">
        <f>data!AI62</f>
        <v>0</v>
      </c>
      <c r="H140" s="251">
        <f>data!AJ62</f>
        <v>24218639</v>
      </c>
      <c r="I140" s="251">
        <f>data!AK62</f>
        <v>1160979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281520.3</v>
      </c>
      <c r="E141" s="251">
        <f>data!AG63</f>
        <v>42768.75</v>
      </c>
      <c r="F141" s="251">
        <f>data!AH63</f>
        <v>0</v>
      </c>
      <c r="G141" s="251">
        <f>data!AI63</f>
        <v>0</v>
      </c>
      <c r="H141" s="251">
        <f>data!AJ63</f>
        <v>247843.78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160205.74</v>
      </c>
      <c r="D142" s="251">
        <f>data!AF64</f>
        <v>56873.55</v>
      </c>
      <c r="E142" s="251">
        <f>data!AG64</f>
        <v>4224855.95</v>
      </c>
      <c r="F142" s="251">
        <f>data!AH64</f>
        <v>0</v>
      </c>
      <c r="G142" s="251">
        <f>data!AI64</f>
        <v>0</v>
      </c>
      <c r="H142" s="251">
        <f>data!AJ64</f>
        <v>9165557.1400000006</v>
      </c>
      <c r="I142" s="251">
        <f>data!AK64</f>
        <v>28580.58</v>
      </c>
    </row>
    <row r="143" spans="1:14" ht="20.100000000000001" customHeight="1" x14ac:dyDescent="0.2">
      <c r="A143" s="243">
        <v>10</v>
      </c>
      <c r="B143" s="251" t="s">
        <v>522</v>
      </c>
      <c r="C143" s="251">
        <f>data!AE65</f>
        <v>0</v>
      </c>
      <c r="D143" s="251">
        <f>data!AF65</f>
        <v>567.80999999999995</v>
      </c>
      <c r="E143" s="251">
        <f>data!AG65</f>
        <v>0</v>
      </c>
      <c r="F143" s="251">
        <f>data!AH65</f>
        <v>0</v>
      </c>
      <c r="G143" s="251">
        <f>data!AI65</f>
        <v>0</v>
      </c>
      <c r="H143" s="251">
        <f>data!AJ65</f>
        <v>38392.800000000003</v>
      </c>
      <c r="I143" s="251">
        <f>data!AK65</f>
        <v>-82.79</v>
      </c>
    </row>
    <row r="144" spans="1:14" ht="20.100000000000001" customHeight="1" x14ac:dyDescent="0.2">
      <c r="A144" s="243">
        <v>11</v>
      </c>
      <c r="B144" s="251" t="s">
        <v>523</v>
      </c>
      <c r="C144" s="251">
        <f>data!AE66</f>
        <v>18215.07</v>
      </c>
      <c r="D144" s="251">
        <f>data!AF66</f>
        <v>94458.87</v>
      </c>
      <c r="E144" s="251">
        <f>data!AG66</f>
        <v>474965.8</v>
      </c>
      <c r="F144" s="251">
        <f>data!AH66</f>
        <v>125297.67</v>
      </c>
      <c r="G144" s="251">
        <f>data!AI66</f>
        <v>0</v>
      </c>
      <c r="H144" s="251">
        <f>data!AJ66</f>
        <v>2496393.2200000002</v>
      </c>
      <c r="I144" s="251">
        <f>data!AK66</f>
        <v>432.78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22679</v>
      </c>
      <c r="D145" s="251">
        <f>data!AF67</f>
        <v>0</v>
      </c>
      <c r="E145" s="251">
        <f>data!AG67</f>
        <v>300351</v>
      </c>
      <c r="F145" s="251">
        <f>data!AH67</f>
        <v>0</v>
      </c>
      <c r="G145" s="251">
        <f>data!AI67</f>
        <v>0</v>
      </c>
      <c r="H145" s="251">
        <f>data!AJ67</f>
        <v>1517643</v>
      </c>
      <c r="I145" s="251">
        <f>data!AK67</f>
        <v>30377</v>
      </c>
    </row>
    <row r="146" spans="1:9" ht="20.100000000000001" customHeight="1" x14ac:dyDescent="0.2">
      <c r="A146" s="243">
        <v>13</v>
      </c>
      <c r="B146" s="251" t="s">
        <v>1005</v>
      </c>
      <c r="C146" s="251">
        <f>data!AE68</f>
        <v>88.09</v>
      </c>
      <c r="D146" s="251">
        <f>data!AF68</f>
        <v>1375.43</v>
      </c>
      <c r="E146" s="251">
        <f>data!AG68</f>
        <v>88.21</v>
      </c>
      <c r="F146" s="251">
        <f>data!AH68</f>
        <v>0</v>
      </c>
      <c r="G146" s="251">
        <f>data!AI68</f>
        <v>0</v>
      </c>
      <c r="H146" s="251">
        <f>data!AJ68</f>
        <v>809136.16</v>
      </c>
      <c r="I146" s="251">
        <f>data!AK68</f>
        <v>44.05</v>
      </c>
    </row>
    <row r="147" spans="1:9" ht="20.100000000000001" customHeight="1" x14ac:dyDescent="0.2">
      <c r="A147" s="243">
        <v>14</v>
      </c>
      <c r="B147" s="251" t="s">
        <v>1006</v>
      </c>
      <c r="C147" s="251">
        <f>data!AE69</f>
        <v>1195.08</v>
      </c>
      <c r="D147" s="251">
        <f>data!AF69</f>
        <v>95461.69</v>
      </c>
      <c r="E147" s="251">
        <f>data!AG69</f>
        <v>179198.34</v>
      </c>
      <c r="F147" s="251">
        <f>data!AH69</f>
        <v>0</v>
      </c>
      <c r="G147" s="251">
        <f>data!AI69</f>
        <v>0</v>
      </c>
      <c r="H147" s="251">
        <f>data!AJ69</f>
        <v>230998.33</v>
      </c>
      <c r="I147" s="251">
        <f>data!AK69</f>
        <v>4301.03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0</v>
      </c>
      <c r="D148" s="251">
        <f>-data!AF84</f>
        <v>-7140205.2800000003</v>
      </c>
      <c r="E148" s="251">
        <f>-data!AG84</f>
        <v>-298653.99</v>
      </c>
      <c r="F148" s="251">
        <f>-data!AH84</f>
        <v>0</v>
      </c>
      <c r="G148" s="251">
        <f>-data!AI84</f>
        <v>0</v>
      </c>
      <c r="H148" s="251">
        <f>-data!AJ84</f>
        <v>-19594261.870000001</v>
      </c>
      <c r="I148" s="251">
        <f>-data!AK84</f>
        <v>-402385.64</v>
      </c>
    </row>
    <row r="149" spans="1:9" ht="20.100000000000001" customHeight="1" x14ac:dyDescent="0.2">
      <c r="A149" s="243">
        <v>16</v>
      </c>
      <c r="B149" s="259" t="s">
        <v>1007</v>
      </c>
      <c r="C149" s="251">
        <f>data!AE85</f>
        <v>13057999.68</v>
      </c>
      <c r="D149" s="251">
        <f>data!AF85</f>
        <v>4127303.63</v>
      </c>
      <c r="E149" s="251">
        <f>data!AG85</f>
        <v>43242845.120000005</v>
      </c>
      <c r="F149" s="251">
        <f>data!AH85</f>
        <v>125297.67</v>
      </c>
      <c r="G149" s="251">
        <f>data!AI85</f>
        <v>0</v>
      </c>
      <c r="H149" s="251">
        <f>data!AJ85</f>
        <v>89944367.269999981</v>
      </c>
      <c r="I149" s="251">
        <f>data!AK85</f>
        <v>4273863.7700000005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1008</v>
      </c>
      <c r="C151" s="259">
        <f>+data!M696</f>
        <v>6038922</v>
      </c>
      <c r="D151" s="259">
        <f>+data!M697</f>
        <v>3023703</v>
      </c>
      <c r="E151" s="259">
        <f>+data!M698</f>
        <v>31947693</v>
      </c>
      <c r="F151" s="259">
        <f>+data!M699</f>
        <v>62902</v>
      </c>
      <c r="G151" s="259">
        <f>+data!M700</f>
        <v>0</v>
      </c>
      <c r="H151" s="259">
        <f>+data!M701</f>
        <v>49554414</v>
      </c>
      <c r="I151" s="259">
        <f>+data!M702</f>
        <v>2468515</v>
      </c>
    </row>
    <row r="152" spans="1:9" ht="20.100000000000001" customHeight="1" x14ac:dyDescent="0.2">
      <c r="A152" s="243">
        <v>19</v>
      </c>
      <c r="B152" s="259" t="s">
        <v>1009</v>
      </c>
      <c r="C152" s="251">
        <f>data!AE87</f>
        <v>25911614.239999998</v>
      </c>
      <c r="D152" s="251">
        <f>data!AF87</f>
        <v>61195.14</v>
      </c>
      <c r="E152" s="251">
        <f>data!AG87</f>
        <v>98438433.219999999</v>
      </c>
      <c r="F152" s="251">
        <f>data!AH87</f>
        <v>0</v>
      </c>
      <c r="G152" s="251">
        <f>data!AI87</f>
        <v>0</v>
      </c>
      <c r="H152" s="251">
        <f>data!AJ87</f>
        <v>10974627.35</v>
      </c>
      <c r="I152" s="251">
        <f>data!AK87</f>
        <v>15275120.609999999</v>
      </c>
    </row>
    <row r="153" spans="1:9" ht="20.100000000000001" customHeight="1" x14ac:dyDescent="0.2">
      <c r="A153" s="243">
        <v>20</v>
      </c>
      <c r="B153" s="259" t="s">
        <v>1010</v>
      </c>
      <c r="C153" s="251">
        <f>data!AE88</f>
        <v>9263930.9800000004</v>
      </c>
      <c r="D153" s="251">
        <f>data!AF88</f>
        <v>8988870.5700000003</v>
      </c>
      <c r="E153" s="251">
        <f>data!AG88</f>
        <v>166831453.38</v>
      </c>
      <c r="F153" s="251">
        <f>data!AH88</f>
        <v>0</v>
      </c>
      <c r="G153" s="251">
        <f>data!AI88</f>
        <v>0</v>
      </c>
      <c r="H153" s="251">
        <f>data!AJ88</f>
        <v>173260583.94999999</v>
      </c>
      <c r="I153" s="251">
        <f>data!AK88</f>
        <v>69581.05</v>
      </c>
    </row>
    <row r="154" spans="1:9" ht="20.100000000000001" customHeight="1" x14ac:dyDescent="0.2">
      <c r="A154" s="243">
        <v>21</v>
      </c>
      <c r="B154" s="259" t="s">
        <v>1011</v>
      </c>
      <c r="C154" s="251">
        <f>data!AE89</f>
        <v>35175545.219999999</v>
      </c>
      <c r="D154" s="251">
        <f>data!AF89</f>
        <v>9050065.7100000009</v>
      </c>
      <c r="E154" s="251">
        <f>data!AG89</f>
        <v>265269886.59999999</v>
      </c>
      <c r="F154" s="251">
        <f>data!AH89</f>
        <v>0</v>
      </c>
      <c r="G154" s="251">
        <f>data!AI89</f>
        <v>0</v>
      </c>
      <c r="H154" s="251">
        <f>data!AJ89</f>
        <v>184235211.29999998</v>
      </c>
      <c r="I154" s="251">
        <f>data!AK89</f>
        <v>15344701.66</v>
      </c>
    </row>
    <row r="155" spans="1:9" ht="20.100000000000001" customHeight="1" x14ac:dyDescent="0.2">
      <c r="A155" s="243" t="s">
        <v>1012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1013</v>
      </c>
      <c r="C156" s="251">
        <f>data!AE90</f>
        <v>13116.745103147954</v>
      </c>
      <c r="D156" s="251">
        <f>data!AF90</f>
        <v>16762.965295960406</v>
      </c>
      <c r="E156" s="251">
        <f>data!AG90</f>
        <v>26332</v>
      </c>
      <c r="F156" s="251">
        <f>data!AH90</f>
        <v>985</v>
      </c>
      <c r="G156" s="251">
        <f>data!AI90</f>
        <v>0</v>
      </c>
      <c r="H156" s="251">
        <f>data!AJ90</f>
        <v>295447.13832190912</v>
      </c>
      <c r="I156" s="251">
        <f>data!AK90</f>
        <v>6636.8012704384982</v>
      </c>
    </row>
    <row r="157" spans="1:9" ht="20.100000000000001" customHeight="1" x14ac:dyDescent="0.2">
      <c r="A157" s="243">
        <v>23</v>
      </c>
      <c r="B157" s="251" t="s">
        <v>1014</v>
      </c>
      <c r="C157" s="251">
        <f>data!AE91</f>
        <v>0</v>
      </c>
      <c r="D157" s="251">
        <f>data!AF91</f>
        <v>0</v>
      </c>
      <c r="E157" s="251">
        <f>data!AG91</f>
        <v>0</v>
      </c>
      <c r="F157" s="251">
        <f>data!AH91</f>
        <v>0</v>
      </c>
      <c r="G157" s="251">
        <f>data!AI91</f>
        <v>0</v>
      </c>
      <c r="H157" s="251">
        <f>data!AJ91</f>
        <v>0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1015</v>
      </c>
      <c r="C158" s="251">
        <f>data!AE92</f>
        <v>3285.256723411052</v>
      </c>
      <c r="D158" s="251">
        <f>data!AF92</f>
        <v>4198.4992473203865</v>
      </c>
      <c r="E158" s="251">
        <f>data!AG92</f>
        <v>6595.1864857157643</v>
      </c>
      <c r="F158" s="251">
        <f>data!AH92</f>
        <v>246.70585935098086</v>
      </c>
      <c r="G158" s="251">
        <f>data!AI92</f>
        <v>0</v>
      </c>
      <c r="H158" s="251">
        <f>data!AJ92</f>
        <v>73998.517921314415</v>
      </c>
      <c r="I158" s="251">
        <f>data!AK92</f>
        <v>1662.271838340316</v>
      </c>
    </row>
    <row r="159" spans="1:9" ht="20.100000000000001" customHeight="1" x14ac:dyDescent="0.2">
      <c r="A159" s="243">
        <v>25</v>
      </c>
      <c r="B159" s="251" t="s">
        <v>1016</v>
      </c>
      <c r="C159" s="251">
        <f>data!AE93</f>
        <v>8070</v>
      </c>
      <c r="D159" s="251">
        <f>data!AF93</f>
        <v>0</v>
      </c>
      <c r="E159" s="251">
        <f>data!AG93</f>
        <v>0</v>
      </c>
      <c r="F159" s="251">
        <f>data!AH93</f>
        <v>0</v>
      </c>
      <c r="G159" s="251">
        <f>data!AI93</f>
        <v>0</v>
      </c>
      <c r="H159" s="251">
        <f>data!AJ93</f>
        <v>51575</v>
      </c>
      <c r="I159" s="251">
        <f>data!AK93</f>
        <v>0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87</v>
      </c>
      <c r="D160" s="258">
        <f>data!AF94</f>
        <v>80.3</v>
      </c>
      <c r="E160" s="258">
        <f>data!AG94</f>
        <v>194.19000000000003</v>
      </c>
      <c r="F160" s="258">
        <f>data!AH94</f>
        <v>0</v>
      </c>
      <c r="G160" s="258">
        <f>data!AI94</f>
        <v>0</v>
      </c>
      <c r="H160" s="258">
        <f>data!AJ94</f>
        <v>675.46999999999991</v>
      </c>
      <c r="I160" s="258">
        <f>data!AK94</f>
        <v>32.03</v>
      </c>
    </row>
    <row r="161" spans="1:9" ht="20.100000000000001" customHeight="1" x14ac:dyDescent="0.2">
      <c r="A161" s="244" t="s">
        <v>998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1032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Harborview Medical Center</v>
      </c>
      <c r="G164" s="250"/>
      <c r="H164" s="249" t="str">
        <f>"FYE: "&amp;data!C96</f>
        <v>FYE: 06/30/2023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1000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1033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1034</v>
      </c>
      <c r="F167" s="257" t="s">
        <v>209</v>
      </c>
      <c r="G167" s="257" t="s">
        <v>148</v>
      </c>
      <c r="H167" s="256" t="s">
        <v>1035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1004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0</v>
      </c>
      <c r="H169" s="251">
        <f>data!AQ59</f>
        <v>0</v>
      </c>
      <c r="I169" s="251">
        <f>data!AR59</f>
        <v>0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0</v>
      </c>
      <c r="H170" s="258">
        <f>data!AQ60</f>
        <v>0</v>
      </c>
      <c r="I170" s="258">
        <f>data!AR60</f>
        <v>0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0</v>
      </c>
      <c r="H171" s="251">
        <f>data!AQ61</f>
        <v>0</v>
      </c>
      <c r="I171" s="251">
        <f>data!AR61</f>
        <v>0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0</v>
      </c>
      <c r="H172" s="251">
        <f>data!AQ62</f>
        <v>0</v>
      </c>
      <c r="I172" s="251">
        <f>data!AR62</f>
        <v>0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0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0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0</v>
      </c>
      <c r="H174" s="251">
        <f>data!AQ64</f>
        <v>0</v>
      </c>
      <c r="I174" s="251">
        <f>data!AR64</f>
        <v>0</v>
      </c>
    </row>
    <row r="175" spans="1:9" ht="20.100000000000001" customHeight="1" x14ac:dyDescent="0.2">
      <c r="A175" s="243">
        <v>10</v>
      </c>
      <c r="B175" s="251" t="s">
        <v>522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0</v>
      </c>
      <c r="H175" s="251">
        <f>data!AQ65</f>
        <v>0</v>
      </c>
      <c r="I175" s="251">
        <f>data!AR65</f>
        <v>0</v>
      </c>
    </row>
    <row r="176" spans="1:9" ht="20.100000000000001" customHeight="1" x14ac:dyDescent="0.2">
      <c r="A176" s="243">
        <v>11</v>
      </c>
      <c r="B176" s="251" t="s">
        <v>523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0</v>
      </c>
      <c r="H176" s="251">
        <f>data!AQ66</f>
        <v>0</v>
      </c>
      <c r="I176" s="251">
        <f>data!AR66</f>
        <v>0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0</v>
      </c>
      <c r="H177" s="251">
        <f>data!AQ67</f>
        <v>0</v>
      </c>
      <c r="I177" s="251">
        <f>data!AR67</f>
        <v>0</v>
      </c>
    </row>
    <row r="178" spans="1:9" ht="20.100000000000001" customHeight="1" x14ac:dyDescent="0.2">
      <c r="A178" s="243">
        <v>13</v>
      </c>
      <c r="B178" s="251" t="s">
        <v>1005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0</v>
      </c>
      <c r="H178" s="251">
        <f>data!AQ68</f>
        <v>0</v>
      </c>
      <c r="I178" s="251">
        <f>data!AR68</f>
        <v>0</v>
      </c>
    </row>
    <row r="179" spans="1:9" ht="20.100000000000001" customHeight="1" x14ac:dyDescent="0.2">
      <c r="A179" s="243">
        <v>14</v>
      </c>
      <c r="B179" s="251" t="s">
        <v>1006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0</v>
      </c>
      <c r="H179" s="251">
        <f>data!AQ69</f>
        <v>0</v>
      </c>
      <c r="I179" s="251">
        <f>data!AR69</f>
        <v>0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1007</v>
      </c>
      <c r="C181" s="251">
        <f>data!AL85</f>
        <v>0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0</v>
      </c>
      <c r="H181" s="251">
        <f>data!AQ85</f>
        <v>0</v>
      </c>
      <c r="I181" s="251">
        <f>data!AR85</f>
        <v>0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1008</v>
      </c>
      <c r="C183" s="259">
        <f>+data!M703</f>
        <v>0</v>
      </c>
      <c r="D183" s="259">
        <f>+data!M704</f>
        <v>0</v>
      </c>
      <c r="E183" s="259">
        <f>+data!M705</f>
        <v>0</v>
      </c>
      <c r="F183" s="259">
        <f>+data!M706</f>
        <v>0</v>
      </c>
      <c r="G183" s="259">
        <f>+data!M707</f>
        <v>0</v>
      </c>
      <c r="H183" s="259">
        <f>+data!M708</f>
        <v>0</v>
      </c>
      <c r="I183" s="259">
        <f>+data!M709</f>
        <v>0</v>
      </c>
    </row>
    <row r="184" spans="1:9" ht="20.100000000000001" customHeight="1" x14ac:dyDescent="0.2">
      <c r="A184" s="243">
        <v>19</v>
      </c>
      <c r="B184" s="259" t="s">
        <v>1009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0</v>
      </c>
      <c r="H184" s="251">
        <f>data!AQ87</f>
        <v>0</v>
      </c>
      <c r="I184" s="251">
        <f>data!AR87</f>
        <v>0</v>
      </c>
    </row>
    <row r="185" spans="1:9" ht="20.100000000000001" customHeight="1" x14ac:dyDescent="0.2">
      <c r="A185" s="243">
        <v>20</v>
      </c>
      <c r="B185" s="259" t="s">
        <v>1010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0</v>
      </c>
      <c r="H185" s="251">
        <f>data!AQ88</f>
        <v>0</v>
      </c>
      <c r="I185" s="251">
        <f>data!AR88</f>
        <v>0</v>
      </c>
    </row>
    <row r="186" spans="1:9" ht="20.100000000000001" customHeight="1" x14ac:dyDescent="0.2">
      <c r="A186" s="243">
        <v>21</v>
      </c>
      <c r="B186" s="259" t="s">
        <v>1011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0</v>
      </c>
      <c r="H186" s="251">
        <f>data!AQ89</f>
        <v>0</v>
      </c>
      <c r="I186" s="251">
        <f>data!AR89</f>
        <v>0</v>
      </c>
    </row>
    <row r="187" spans="1:9" ht="20.100000000000001" customHeight="1" x14ac:dyDescent="0.2">
      <c r="A187" s="243" t="s">
        <v>1012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1013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0</v>
      </c>
      <c r="H188" s="251">
        <f>data!AQ90</f>
        <v>0</v>
      </c>
      <c r="I188" s="251">
        <f>data!AR90</f>
        <v>0</v>
      </c>
    </row>
    <row r="189" spans="1:9" ht="20.100000000000001" customHeight="1" x14ac:dyDescent="0.2">
      <c r="A189" s="243">
        <v>23</v>
      </c>
      <c r="B189" s="251" t="s">
        <v>1014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1015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0</v>
      </c>
      <c r="H190" s="251">
        <f>data!AQ92</f>
        <v>0</v>
      </c>
      <c r="I190" s="251">
        <f>data!AR92</f>
        <v>0</v>
      </c>
    </row>
    <row r="191" spans="1:9" ht="20.100000000000001" customHeight="1" x14ac:dyDescent="0.2">
      <c r="A191" s="243">
        <v>25</v>
      </c>
      <c r="B191" s="251" t="s">
        <v>1016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0</v>
      </c>
      <c r="H191" s="251">
        <f>data!AQ93</f>
        <v>0</v>
      </c>
      <c r="I191" s="251">
        <f>data!AR93</f>
        <v>0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0</v>
      </c>
      <c r="H192" s="258">
        <f>data!AQ94</f>
        <v>0</v>
      </c>
      <c r="I192" s="258">
        <f>data!AR94</f>
        <v>0</v>
      </c>
    </row>
    <row r="193" spans="1:9" ht="20.100000000000001" customHeight="1" x14ac:dyDescent="0.2">
      <c r="A193" s="244" t="s">
        <v>998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1036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Harborview Medical Center</v>
      </c>
      <c r="G196" s="250"/>
      <c r="H196" s="249" t="str">
        <f>"FYE: "&amp;data!C96</f>
        <v>FYE: 06/30/2023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1000</v>
      </c>
      <c r="C198" s="257"/>
      <c r="D198" s="257" t="s">
        <v>157</v>
      </c>
      <c r="E198" s="257" t="s">
        <v>158</v>
      </c>
      <c r="F198" s="257" t="s">
        <v>159</v>
      </c>
      <c r="G198" s="257" t="s">
        <v>1037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1038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1004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1525</v>
      </c>
      <c r="F201" s="263"/>
      <c r="G201" s="263"/>
      <c r="H201" s="263"/>
      <c r="I201" s="251">
        <f>data!AY59</f>
        <v>743434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3.8100000000000005</v>
      </c>
      <c r="F202" s="258">
        <f>data!AV60</f>
        <v>9.39</v>
      </c>
      <c r="G202" s="258">
        <f>data!AW60</f>
        <v>0</v>
      </c>
      <c r="H202" s="258">
        <f>data!AX60</f>
        <v>0</v>
      </c>
      <c r="I202" s="258">
        <f>data!AY60</f>
        <v>0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888094.84</v>
      </c>
      <c r="F203" s="251">
        <f>data!AV61</f>
        <v>4507921.03</v>
      </c>
      <c r="G203" s="251">
        <f>data!AW61</f>
        <v>241703.34</v>
      </c>
      <c r="H203" s="251">
        <f>data!AX61</f>
        <v>0</v>
      </c>
      <c r="I203" s="251">
        <f>data!AY61</f>
        <v>8117458.9199999999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311288</v>
      </c>
      <c r="F204" s="251">
        <f>data!AV62</f>
        <v>1569061</v>
      </c>
      <c r="G204" s="251">
        <f>data!AW62</f>
        <v>58250</v>
      </c>
      <c r="H204" s="251">
        <f>data!AX62</f>
        <v>0</v>
      </c>
      <c r="I204" s="251">
        <f>data!AY62</f>
        <v>2952632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20025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2984.19</v>
      </c>
      <c r="F206" s="251">
        <f>data!AV64</f>
        <v>268836.17</v>
      </c>
      <c r="G206" s="251">
        <f>data!AW64</f>
        <v>618052.09</v>
      </c>
      <c r="H206" s="251">
        <f>data!AX64</f>
        <v>0</v>
      </c>
      <c r="I206" s="251">
        <f>data!AY64</f>
        <v>6832822.96</v>
      </c>
    </row>
    <row r="207" spans="1:9" ht="20.100000000000001" customHeight="1" x14ac:dyDescent="0.2">
      <c r="A207" s="243">
        <v>10</v>
      </c>
      <c r="B207" s="251" t="s">
        <v>522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510.12</v>
      </c>
      <c r="G207" s="251">
        <f>data!AW65</f>
        <v>0</v>
      </c>
      <c r="H207" s="251">
        <f>data!AX65</f>
        <v>0</v>
      </c>
      <c r="I207" s="251">
        <f>data!AY65</f>
        <v>0</v>
      </c>
    </row>
    <row r="208" spans="1:9" ht="20.100000000000001" customHeight="1" x14ac:dyDescent="0.2">
      <c r="A208" s="243">
        <v>11</v>
      </c>
      <c r="B208" s="251" t="s">
        <v>523</v>
      </c>
      <c r="C208" s="251">
        <f>data!AS66</f>
        <v>0</v>
      </c>
      <c r="D208" s="251">
        <f>data!AT66</f>
        <v>0</v>
      </c>
      <c r="E208" s="251">
        <f>data!AU66</f>
        <v>47592.29</v>
      </c>
      <c r="F208" s="251">
        <f>data!AV66</f>
        <v>7876588.2300000004</v>
      </c>
      <c r="G208" s="251">
        <f>data!AW66</f>
        <v>33259920.920000002</v>
      </c>
      <c r="H208" s="251">
        <f>data!AX66</f>
        <v>0</v>
      </c>
      <c r="I208" s="251">
        <f>data!AY66</f>
        <v>516944.91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1017</v>
      </c>
      <c r="G209" s="251">
        <f>data!AW67</f>
        <v>0</v>
      </c>
      <c r="H209" s="251">
        <f>data!AX67</f>
        <v>0</v>
      </c>
      <c r="I209" s="251">
        <f>data!AY67</f>
        <v>130925</v>
      </c>
    </row>
    <row r="210" spans="1:9" ht="20.100000000000001" customHeight="1" x14ac:dyDescent="0.2">
      <c r="A210" s="243">
        <v>13</v>
      </c>
      <c r="B210" s="251" t="s">
        <v>1005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30108.48</v>
      </c>
      <c r="G210" s="251">
        <f>data!AW68</f>
        <v>0</v>
      </c>
      <c r="H210" s="251">
        <f>data!AX68</f>
        <v>0</v>
      </c>
      <c r="I210" s="251">
        <f>data!AY68</f>
        <v>88.16</v>
      </c>
    </row>
    <row r="211" spans="1:9" ht="20.100000000000001" customHeight="1" x14ac:dyDescent="0.2">
      <c r="A211" s="243">
        <v>14</v>
      </c>
      <c r="B211" s="251" t="s">
        <v>1006</v>
      </c>
      <c r="C211" s="251">
        <f>data!AS69</f>
        <v>0</v>
      </c>
      <c r="D211" s="251">
        <f>data!AT69</f>
        <v>0</v>
      </c>
      <c r="E211" s="251">
        <f>data!AU69</f>
        <v>2606.83</v>
      </c>
      <c r="F211" s="251">
        <f>data!AV69</f>
        <v>-197651.43</v>
      </c>
      <c r="G211" s="251">
        <f>data!AW69</f>
        <v>19042</v>
      </c>
      <c r="H211" s="251">
        <f>data!AX69</f>
        <v>0</v>
      </c>
      <c r="I211" s="251">
        <f>data!AY69</f>
        <v>-754797.58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-1067875.56</v>
      </c>
      <c r="F212" s="251">
        <f>-data!AV84</f>
        <v>-6407448.1600000001</v>
      </c>
      <c r="G212" s="251">
        <f>-data!AW84</f>
        <v>0</v>
      </c>
      <c r="H212" s="251">
        <f>-data!AX84</f>
        <v>0</v>
      </c>
      <c r="I212" s="251">
        <f>-data!AY84</f>
        <v>-4387596.7</v>
      </c>
    </row>
    <row r="213" spans="1:9" ht="20.100000000000001" customHeight="1" x14ac:dyDescent="0.2">
      <c r="A213" s="243">
        <v>16</v>
      </c>
      <c r="B213" s="259" t="s">
        <v>1007</v>
      </c>
      <c r="C213" s="251">
        <f>data!AS85</f>
        <v>0</v>
      </c>
      <c r="D213" s="251">
        <f>data!AT85</f>
        <v>0</v>
      </c>
      <c r="E213" s="251">
        <f>data!AU85</f>
        <v>184690.58999999985</v>
      </c>
      <c r="F213" s="251">
        <f>data!AV85</f>
        <v>7668967.4400000013</v>
      </c>
      <c r="G213" s="251">
        <f>data!AW85</f>
        <v>34196968.350000001</v>
      </c>
      <c r="H213" s="251">
        <f>data!AX85</f>
        <v>0</v>
      </c>
      <c r="I213" s="251">
        <f>data!AY85</f>
        <v>13408477.670000002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1008</v>
      </c>
      <c r="C215" s="259">
        <f>+data!M710</f>
        <v>0</v>
      </c>
      <c r="D215" s="259">
        <f>+data!M711</f>
        <v>0</v>
      </c>
      <c r="E215" s="259">
        <f>+data!M712</f>
        <v>190149</v>
      </c>
      <c r="F215" s="259">
        <f>+data!M713</f>
        <v>1989735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1009</v>
      </c>
      <c r="C216" s="251">
        <f>data!AS87</f>
        <v>0</v>
      </c>
      <c r="D216" s="251">
        <f>data!AT87</f>
        <v>0</v>
      </c>
      <c r="E216" s="251">
        <f>data!AU87</f>
        <v>759</v>
      </c>
      <c r="F216" s="251">
        <f>data!AV87</f>
        <v>3494749.31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1010</v>
      </c>
      <c r="C217" s="251">
        <f>data!AS88</f>
        <v>0</v>
      </c>
      <c r="D217" s="251">
        <f>data!AT88</f>
        <v>0</v>
      </c>
      <c r="E217" s="251">
        <f>data!AU88</f>
        <v>458664.23</v>
      </c>
      <c r="F217" s="251">
        <f>data!AV88</f>
        <v>1788246.66</v>
      </c>
      <c r="G217" s="266" t="str">
        <f>IF(data!AW74&gt;0,data!AW74,"")</f>
        <v/>
      </c>
      <c r="H217" s="266" t="str">
        <f>IF(data!AX74&gt;0,data!AX74,"")</f>
        <v/>
      </c>
      <c r="I217" s="266" t="str">
        <f>IF(data!AY74&gt;0,data!AY74,"")</f>
        <v/>
      </c>
    </row>
    <row r="218" spans="1:9" ht="20.100000000000001" customHeight="1" x14ac:dyDescent="0.2">
      <c r="A218" s="243">
        <v>21</v>
      </c>
      <c r="B218" s="259" t="s">
        <v>1011</v>
      </c>
      <c r="C218" s="251">
        <f>data!AS89</f>
        <v>0</v>
      </c>
      <c r="D218" s="251">
        <f>data!AT89</f>
        <v>0</v>
      </c>
      <c r="E218" s="251">
        <f>data!AU89</f>
        <v>459423.23</v>
      </c>
      <c r="F218" s="251">
        <f>data!AV89</f>
        <v>5282995.97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1012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1013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3845</v>
      </c>
      <c r="G220" s="251">
        <f>data!AW90</f>
        <v>0</v>
      </c>
      <c r="H220" s="251">
        <f>data!AX90</f>
        <v>0</v>
      </c>
      <c r="I220" s="251">
        <f>data!AY90</f>
        <v>29757</v>
      </c>
    </row>
    <row r="221" spans="1:9" ht="20.100000000000001" customHeight="1" x14ac:dyDescent="0.2">
      <c r="A221" s="243">
        <v>23</v>
      </c>
      <c r="B221" s="251" t="s">
        <v>1014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0</v>
      </c>
      <c r="G221" s="251">
        <f>data!AW91</f>
        <v>0</v>
      </c>
      <c r="H221" s="266" t="str">
        <f>IF(data!AX77&gt;0,data!AX77,"")</f>
        <v/>
      </c>
      <c r="I221" s="266" t="str">
        <f>IF(data!AY77&gt;0,data!AY77,"")</f>
        <v/>
      </c>
    </row>
    <row r="222" spans="1:9" ht="20.100000000000001" customHeight="1" x14ac:dyDescent="0.2">
      <c r="A222" s="243">
        <v>24</v>
      </c>
      <c r="B222" s="251" t="s">
        <v>1015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963.02947127362586</v>
      </c>
      <c r="G222" s="251">
        <f>data!AW92</f>
        <v>0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1016</v>
      </c>
      <c r="C223" s="251">
        <f>data!AS93</f>
        <v>0</v>
      </c>
      <c r="D223" s="251">
        <f>data!AT93</f>
        <v>0</v>
      </c>
      <c r="E223" s="251">
        <f>data!AU93</f>
        <v>98.5</v>
      </c>
      <c r="F223" s="251">
        <f>data!AV93</f>
        <v>28.5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8.52</v>
      </c>
      <c r="F224" s="258">
        <f>data!AV94</f>
        <v>46.740000000000009</v>
      </c>
      <c r="G224" s="266" t="str">
        <f>IF(data!AW80&gt;0,data!AW80,"")</f>
        <v/>
      </c>
      <c r="H224" s="266" t="str">
        <f>IF(data!AX80&gt;0,data!AX80,"")</f>
        <v/>
      </c>
      <c r="I224" s="266" t="str">
        <f>IF(data!AY80&gt;0,data!AY80,"")</f>
        <v/>
      </c>
    </row>
    <row r="225" spans="1:9" ht="20.100000000000001" customHeight="1" x14ac:dyDescent="0.2">
      <c r="A225" s="244" t="s">
        <v>998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1039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Harborview Medical Center</v>
      </c>
      <c r="G228" s="250"/>
      <c r="H228" s="249" t="str">
        <f>"FYE: "&amp;data!C96</f>
        <v>FYE: 06/30/2023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1000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1040</v>
      </c>
      <c r="F231" s="257" t="s">
        <v>1041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1004</v>
      </c>
      <c r="C232" s="253" t="s">
        <v>1042</v>
      </c>
      <c r="D232" s="253" t="s">
        <v>1043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0</v>
      </c>
      <c r="D233" s="251">
        <f>data!BA59</f>
        <v>0</v>
      </c>
      <c r="E233" s="263"/>
      <c r="F233" s="263"/>
      <c r="G233" s="263"/>
      <c r="H233" s="251">
        <f>data!BE59</f>
        <v>1163875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0</v>
      </c>
      <c r="D234" s="258">
        <f>data!BA60</f>
        <v>0</v>
      </c>
      <c r="E234" s="258">
        <f>data!BB60</f>
        <v>1.01</v>
      </c>
      <c r="F234" s="258">
        <f>data!BC60</f>
        <v>0</v>
      </c>
      <c r="G234" s="258">
        <f>data!BD60</f>
        <v>0</v>
      </c>
      <c r="H234" s="258">
        <f>data!BE60</f>
        <v>0</v>
      </c>
      <c r="I234" s="258">
        <f>data!BF60</f>
        <v>0.01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0</v>
      </c>
      <c r="D235" s="251">
        <f>data!BA61</f>
        <v>527542.96</v>
      </c>
      <c r="E235" s="251">
        <f>data!BB61</f>
        <v>10175189.859999999</v>
      </c>
      <c r="F235" s="251">
        <f>data!BC61</f>
        <v>0</v>
      </c>
      <c r="G235" s="251">
        <f>data!BD61</f>
        <v>0</v>
      </c>
      <c r="H235" s="251">
        <f>data!BE61</f>
        <v>7857587.2999999998</v>
      </c>
      <c r="I235" s="251">
        <f>data!BF61</f>
        <v>12056936.369999999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0</v>
      </c>
      <c r="D236" s="251">
        <f>data!BA62</f>
        <v>193830</v>
      </c>
      <c r="E236" s="251">
        <f>data!BB62</f>
        <v>3752087</v>
      </c>
      <c r="F236" s="251">
        <f>data!BC62</f>
        <v>0</v>
      </c>
      <c r="G236" s="251">
        <f>data!BD62</f>
        <v>0</v>
      </c>
      <c r="H236" s="251">
        <f>data!BE62</f>
        <v>2995004</v>
      </c>
      <c r="I236" s="251">
        <f>data!BF62</f>
        <v>4380295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288506.42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0</v>
      </c>
      <c r="D238" s="251">
        <f>data!BA64</f>
        <v>641130.85</v>
      </c>
      <c r="E238" s="251">
        <f>data!BB64</f>
        <v>166315.82999999999</v>
      </c>
      <c r="F238" s="251">
        <f>data!BC64</f>
        <v>0</v>
      </c>
      <c r="G238" s="251">
        <f>data!BD64</f>
        <v>0</v>
      </c>
      <c r="H238" s="251">
        <f>data!BE64</f>
        <v>2579081.96</v>
      </c>
      <c r="I238" s="251">
        <f>data!BF64</f>
        <v>1572542.55</v>
      </c>
    </row>
    <row r="239" spans="1:9" ht="20.100000000000001" customHeight="1" x14ac:dyDescent="0.2">
      <c r="A239" s="243">
        <v>10</v>
      </c>
      <c r="B239" s="251" t="s">
        <v>522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5421709.8899999997</v>
      </c>
      <c r="I239" s="251">
        <f>data!BF65</f>
        <v>698773.27</v>
      </c>
    </row>
    <row r="240" spans="1:9" ht="20.100000000000001" customHeight="1" x14ac:dyDescent="0.2">
      <c r="A240" s="243">
        <v>11</v>
      </c>
      <c r="B240" s="251" t="s">
        <v>523</v>
      </c>
      <c r="C240" s="251">
        <f>data!AZ66</f>
        <v>0</v>
      </c>
      <c r="D240" s="251">
        <f>data!BA66</f>
        <v>-116722.96</v>
      </c>
      <c r="E240" s="251">
        <f>data!BB66</f>
        <v>9387348.25</v>
      </c>
      <c r="F240" s="251">
        <f>data!BC66</f>
        <v>0</v>
      </c>
      <c r="G240" s="251">
        <f>data!BD66</f>
        <v>3743388.14</v>
      </c>
      <c r="H240" s="251">
        <f>data!BE66</f>
        <v>8962413.8200000003</v>
      </c>
      <c r="I240" s="251">
        <f>data!BF66</f>
        <v>371784.22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0</v>
      </c>
      <c r="D241" s="251">
        <f>data!BA67</f>
        <v>0</v>
      </c>
      <c r="E241" s="251">
        <f>data!BB67</f>
        <v>0</v>
      </c>
      <c r="F241" s="251">
        <f>data!BC67</f>
        <v>0</v>
      </c>
      <c r="G241" s="251">
        <f>data!BD67</f>
        <v>0</v>
      </c>
      <c r="H241" s="251">
        <f>data!BE67</f>
        <v>2158814</v>
      </c>
      <c r="I241" s="251">
        <f>data!BF67</f>
        <v>52147</v>
      </c>
    </row>
    <row r="242" spans="1:9" ht="20.100000000000001" customHeight="1" x14ac:dyDescent="0.2">
      <c r="A242" s="243">
        <v>13</v>
      </c>
      <c r="B242" s="251" t="s">
        <v>1005</v>
      </c>
      <c r="C242" s="251">
        <f>data!AZ68</f>
        <v>0</v>
      </c>
      <c r="D242" s="251">
        <f>data!BA68</f>
        <v>44.05</v>
      </c>
      <c r="E242" s="251">
        <f>data!BB68</f>
        <v>88.09</v>
      </c>
      <c r="F242" s="251">
        <f>data!BC68</f>
        <v>0</v>
      </c>
      <c r="G242" s="251">
        <f>data!BD68</f>
        <v>0</v>
      </c>
      <c r="H242" s="251">
        <f>data!BE68</f>
        <v>101760.16</v>
      </c>
      <c r="I242" s="251">
        <f>data!BF68</f>
        <v>49921.15</v>
      </c>
    </row>
    <row r="243" spans="1:9" ht="20.100000000000001" customHeight="1" x14ac:dyDescent="0.2">
      <c r="A243" s="243">
        <v>14</v>
      </c>
      <c r="B243" s="251" t="s">
        <v>1006</v>
      </c>
      <c r="C243" s="251">
        <f>data!AZ69</f>
        <v>0</v>
      </c>
      <c r="D243" s="251">
        <f>data!BA69</f>
        <v>0</v>
      </c>
      <c r="E243" s="251">
        <f>data!BB69</f>
        <v>145360.28</v>
      </c>
      <c r="F243" s="251">
        <f>data!BC69</f>
        <v>0</v>
      </c>
      <c r="G243" s="251">
        <f>data!BD69</f>
        <v>0</v>
      </c>
      <c r="H243" s="251">
        <f>data!BE69</f>
        <v>83642.64</v>
      </c>
      <c r="I243" s="251">
        <f>data!BF69</f>
        <v>5270.27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-2453884.9700000002</v>
      </c>
      <c r="F244" s="251">
        <f>-data!BC84</f>
        <v>0</v>
      </c>
      <c r="G244" s="251">
        <f>-data!BD84</f>
        <v>0</v>
      </c>
      <c r="H244" s="251">
        <f>-data!BE84</f>
        <v>-173267.88</v>
      </c>
      <c r="I244" s="251">
        <f>-data!BF84</f>
        <v>-305.10000000000002</v>
      </c>
    </row>
    <row r="245" spans="1:9" ht="20.100000000000001" customHeight="1" x14ac:dyDescent="0.2">
      <c r="A245" s="243">
        <v>16</v>
      </c>
      <c r="B245" s="259" t="s">
        <v>1007</v>
      </c>
      <c r="C245" s="251">
        <f>data!AZ85</f>
        <v>0</v>
      </c>
      <c r="D245" s="251">
        <f>data!BA85</f>
        <v>1245824.9000000001</v>
      </c>
      <c r="E245" s="251">
        <f>data!BB85</f>
        <v>21461010.760000002</v>
      </c>
      <c r="F245" s="251">
        <f>data!BC85</f>
        <v>0</v>
      </c>
      <c r="G245" s="251">
        <f>data!BD85</f>
        <v>3743388.14</v>
      </c>
      <c r="H245" s="251">
        <f>data!BE85</f>
        <v>29986745.890000004</v>
      </c>
      <c r="I245" s="251">
        <f>data!BF85</f>
        <v>19187364.729999993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1008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1009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 t="str">
        <f>IF(data!BE73&gt;0,data!BE73,"")</f>
        <v/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1010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 t="str">
        <f>IF(data!BE74&gt;0,data!BE74,"")</f>
        <v/>
      </c>
      <c r="I249" s="266" t="str">
        <f>IF(data!BF74&gt;0,data!BF74,"")</f>
        <v/>
      </c>
    </row>
    <row r="250" spans="1:9" ht="20.100000000000001" customHeight="1" x14ac:dyDescent="0.2">
      <c r="A250" s="243">
        <v>21</v>
      </c>
      <c r="B250" s="259" t="s">
        <v>1011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1012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1013</v>
      </c>
      <c r="C252" s="267">
        <f>data!AZ90</f>
        <v>0</v>
      </c>
      <c r="D252" s="267">
        <f>data!BA90</f>
        <v>6263</v>
      </c>
      <c r="E252" s="267">
        <f>data!BB90</f>
        <v>8881</v>
      </c>
      <c r="F252" s="267">
        <f>data!BC90</f>
        <v>0</v>
      </c>
      <c r="G252" s="267">
        <f>data!BD90</f>
        <v>5247</v>
      </c>
      <c r="H252" s="267">
        <f>data!BE90</f>
        <v>230968</v>
      </c>
      <c r="I252" s="267">
        <f>data!BF90</f>
        <v>31772</v>
      </c>
    </row>
    <row r="253" spans="1:9" ht="20.100000000000001" customHeight="1" x14ac:dyDescent="0.2">
      <c r="A253" s="243">
        <v>23</v>
      </c>
      <c r="B253" s="251" t="s">
        <v>1014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IF(data!BD77&gt;0,data!BD77,"")</f>
        <v/>
      </c>
      <c r="H253" s="266" t="str">
        <f>IF(data!BE77&gt;0,data!BE77,"")</f>
        <v/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1015</v>
      </c>
      <c r="C254" s="266" t="str">
        <f>IF(data!AZ78&gt;0,data!AZ78,"")</f>
        <v/>
      </c>
      <c r="D254" s="267">
        <f>data!BA92</f>
        <v>1568.6485249900436</v>
      </c>
      <c r="E254" s="267">
        <f>data!BB92</f>
        <v>2224.3601389807723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1016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 t="str">
        <f>IF(data!BE80&gt;0,data!BE80,"")</f>
        <v/>
      </c>
      <c r="I256" s="266" t="str">
        <f>IF(data!BF80&gt;0,data!BF80,"")</f>
        <v/>
      </c>
    </row>
    <row r="257" spans="1:9" ht="20.100000000000001" customHeight="1" x14ac:dyDescent="0.2">
      <c r="A257" s="244" t="s">
        <v>998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1044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Harborview Medical Center</v>
      </c>
      <c r="G260" s="250"/>
      <c r="H260" s="249" t="str">
        <f>"FYE: "&amp;data!C96</f>
        <v>FYE: 06/30/2023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1000</v>
      </c>
      <c r="C262" s="257" t="s">
        <v>1045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1046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1047</v>
      </c>
    </row>
    <row r="264" spans="1:9" ht="20.100000000000001" customHeight="1" x14ac:dyDescent="0.2">
      <c r="A264" s="243">
        <v>3</v>
      </c>
      <c r="B264" s="251" t="s">
        <v>1004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0</v>
      </c>
      <c r="D266" s="258">
        <f>data!BH60</f>
        <v>0</v>
      </c>
      <c r="E266" s="258">
        <f>data!BI60</f>
        <v>0.2</v>
      </c>
      <c r="F266" s="258">
        <f>data!BJ60</f>
        <v>0</v>
      </c>
      <c r="G266" s="258">
        <f>data!BK60</f>
        <v>0</v>
      </c>
      <c r="H266" s="258">
        <f>data!BL60</f>
        <v>0</v>
      </c>
      <c r="I266" s="258">
        <f>data!BM60</f>
        <v>0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34565.870000000003</v>
      </c>
      <c r="D267" s="251">
        <f>data!BH61</f>
        <v>975104.54</v>
      </c>
      <c r="E267" s="251">
        <f>data!BI61</f>
        <v>526605.03</v>
      </c>
      <c r="F267" s="251">
        <f>data!BJ61</f>
        <v>0</v>
      </c>
      <c r="G267" s="251">
        <f>data!BK61</f>
        <v>0</v>
      </c>
      <c r="H267" s="251">
        <f>data!BL61</f>
        <v>0</v>
      </c>
      <c r="I267" s="251">
        <f>data!BM61</f>
        <v>0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10181</v>
      </c>
      <c r="D268" s="251">
        <f>data!BH62</f>
        <v>345565</v>
      </c>
      <c r="E268" s="251">
        <f>data!BI62</f>
        <v>185975</v>
      </c>
      <c r="F268" s="251">
        <f>data!BJ62</f>
        <v>0</v>
      </c>
      <c r="G268" s="251">
        <f>data!BK62</f>
        <v>0</v>
      </c>
      <c r="H268" s="251">
        <f>data!BL62</f>
        <v>0</v>
      </c>
      <c r="I268" s="251">
        <f>data!BM62</f>
        <v>0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4430.76</v>
      </c>
      <c r="F269" s="251">
        <f>data!BJ63</f>
        <v>495659.65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812.67</v>
      </c>
      <c r="D270" s="251">
        <f>data!BH64</f>
        <v>586717.43000000005</v>
      </c>
      <c r="E270" s="251">
        <f>data!BI64</f>
        <v>277232.06</v>
      </c>
      <c r="F270" s="251">
        <f>data!BJ64</f>
        <v>17.28</v>
      </c>
      <c r="G270" s="251">
        <f>data!BK64</f>
        <v>0</v>
      </c>
      <c r="H270" s="251">
        <f>data!BL64</f>
        <v>0</v>
      </c>
      <c r="I270" s="251">
        <f>data!BM64</f>
        <v>513.66</v>
      </c>
    </row>
    <row r="271" spans="1:9" ht="20.100000000000001" customHeight="1" x14ac:dyDescent="0.2">
      <c r="A271" s="243">
        <v>10</v>
      </c>
      <c r="B271" s="251" t="s">
        <v>522</v>
      </c>
      <c r="C271" s="251">
        <f>data!BG65</f>
        <v>20043.419999999998</v>
      </c>
      <c r="D271" s="251">
        <f>data!BH65</f>
        <v>192194.88</v>
      </c>
      <c r="E271" s="251">
        <f>data!BI65</f>
        <v>86.64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00000000000001" customHeight="1" x14ac:dyDescent="0.2">
      <c r="A272" s="243">
        <v>11</v>
      </c>
      <c r="B272" s="251" t="s">
        <v>523</v>
      </c>
      <c r="C272" s="251">
        <f>data!BG66</f>
        <v>746005.89</v>
      </c>
      <c r="D272" s="251">
        <f>data!BH66</f>
        <v>83654421.849999994</v>
      </c>
      <c r="E272" s="251">
        <f>data!BI66</f>
        <v>26106</v>
      </c>
      <c r="F272" s="251">
        <f>data!BJ66</f>
        <v>11578019.310000001</v>
      </c>
      <c r="G272" s="251">
        <f>data!BK66</f>
        <v>24976469.850000001</v>
      </c>
      <c r="H272" s="251">
        <f>data!BL66</f>
        <v>6101694.7699999996</v>
      </c>
      <c r="I272" s="251">
        <f>data!BM66</f>
        <v>0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5843</v>
      </c>
      <c r="D273" s="251">
        <f>data!BH67</f>
        <v>907256</v>
      </c>
      <c r="E273" s="251">
        <f>data!BI67</f>
        <v>0</v>
      </c>
      <c r="F273" s="251">
        <f>data!BJ67</f>
        <v>0</v>
      </c>
      <c r="G273" s="251">
        <f>data!BK67</f>
        <v>0</v>
      </c>
      <c r="H273" s="251">
        <f>data!BL67</f>
        <v>0</v>
      </c>
      <c r="I273" s="251">
        <f>data!BM67</f>
        <v>0</v>
      </c>
    </row>
    <row r="274" spans="1:9" ht="20.100000000000001" customHeight="1" x14ac:dyDescent="0.2">
      <c r="A274" s="243">
        <v>13</v>
      </c>
      <c r="B274" s="251" t="s">
        <v>1005</v>
      </c>
      <c r="C274" s="251">
        <f>data!BG68</f>
        <v>132.13999999999999</v>
      </c>
      <c r="D274" s="251">
        <f>data!BH68</f>
        <v>1893429.2</v>
      </c>
      <c r="E274" s="251">
        <f>data!BI68</f>
        <v>917.41</v>
      </c>
      <c r="F274" s="251">
        <f>data!BJ68</f>
        <v>0</v>
      </c>
      <c r="G274" s="251">
        <f>data!BK68</f>
        <v>0</v>
      </c>
      <c r="H274" s="251">
        <f>data!BL68</f>
        <v>0</v>
      </c>
      <c r="I274" s="251">
        <f>data!BM68</f>
        <v>0</v>
      </c>
    </row>
    <row r="275" spans="1:9" ht="20.100000000000001" customHeight="1" x14ac:dyDescent="0.2">
      <c r="A275" s="243">
        <v>14</v>
      </c>
      <c r="B275" s="251" t="s">
        <v>1006</v>
      </c>
      <c r="C275" s="251">
        <f>data!BG69</f>
        <v>0</v>
      </c>
      <c r="D275" s="251">
        <f>data!BH69</f>
        <v>47952.67</v>
      </c>
      <c r="E275" s="251">
        <f>data!BI69</f>
        <v>11255.36</v>
      </c>
      <c r="F275" s="251">
        <f>data!BJ69</f>
        <v>0</v>
      </c>
      <c r="G275" s="251">
        <f>data!BK69</f>
        <v>-1696.21</v>
      </c>
      <c r="H275" s="251">
        <f>data!BL69</f>
        <v>0</v>
      </c>
      <c r="I275" s="251">
        <f>data!BM69</f>
        <v>0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0</v>
      </c>
      <c r="D276" s="251">
        <f>-data!BH84</f>
        <v>-6451238.7400000002</v>
      </c>
      <c r="E276" s="251">
        <f>-data!BI84</f>
        <v>-878004.27</v>
      </c>
      <c r="F276" s="251">
        <f>-data!BJ84</f>
        <v>0</v>
      </c>
      <c r="G276" s="251">
        <f>-data!BK84</f>
        <v>-205716.01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1007</v>
      </c>
      <c r="C277" s="251">
        <f>data!BG85</f>
        <v>817583.99</v>
      </c>
      <c r="D277" s="251">
        <f>data!BH85</f>
        <v>82151402.829999998</v>
      </c>
      <c r="E277" s="251">
        <f>data!BI85</f>
        <v>154603.99000000011</v>
      </c>
      <c r="F277" s="251">
        <f>data!BJ85</f>
        <v>12073696.24</v>
      </c>
      <c r="G277" s="251">
        <f>data!BK85</f>
        <v>24769057.629999999</v>
      </c>
      <c r="H277" s="251">
        <f>data!BL85</f>
        <v>6101694.7699999996</v>
      </c>
      <c r="I277" s="251">
        <f>data!BM85</f>
        <v>513.66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1008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1009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1010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1011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1012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1013</v>
      </c>
      <c r="C284" s="267">
        <f>data!BG90</f>
        <v>8899</v>
      </c>
      <c r="D284" s="267">
        <f>data!BH90</f>
        <v>114056</v>
      </c>
      <c r="E284" s="267">
        <f>data!BI90</f>
        <v>29132.5</v>
      </c>
      <c r="F284" s="267">
        <f>data!BJ90</f>
        <v>6285</v>
      </c>
      <c r="G284" s="267">
        <f>data!BK90</f>
        <v>7475.8</v>
      </c>
      <c r="H284" s="267">
        <f>data!BL90</f>
        <v>2948.5</v>
      </c>
      <c r="I284" s="267">
        <f>data!BM90</f>
        <v>0</v>
      </c>
    </row>
    <row r="285" spans="1:9" ht="20.100000000000001" customHeight="1" x14ac:dyDescent="0.2">
      <c r="A285" s="243">
        <v>23</v>
      </c>
      <c r="B285" s="251" t="s">
        <v>1014</v>
      </c>
      <c r="C285" s="266" t="str">
        <f>IF(data!BG77&gt;0,data!BG77,"")</f>
        <v/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1015</v>
      </c>
      <c r="C286" s="266" t="str">
        <f>IF(data!BG78&gt;0,data!BG78,"")</f>
        <v/>
      </c>
      <c r="D286" s="267">
        <f>data!BH92</f>
        <v>28566.785273233985</v>
      </c>
      <c r="E286" s="267">
        <f>data!BI92</f>
        <v>7296.6075609568015</v>
      </c>
      <c r="F286" s="266" t="str">
        <f>IF(data!BJ78&gt;0,data!BJ78,"")</f>
        <v/>
      </c>
      <c r="G286" s="267">
        <f>data!BK92</f>
        <v>1872.4098104934644</v>
      </c>
      <c r="H286" s="267">
        <f>data!BL92</f>
        <v>738.48956984402741</v>
      </c>
      <c r="I286" s="267">
        <f>data!BM92</f>
        <v>0</v>
      </c>
    </row>
    <row r="287" spans="1:9" ht="20.100000000000001" customHeight="1" x14ac:dyDescent="0.2">
      <c r="A287" s="243">
        <v>25</v>
      </c>
      <c r="B287" s="251" t="s">
        <v>1016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 t="str">
        <f>IF(data!BK80&gt;0,data!BK80,"")</f>
        <v/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998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1048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Harborview Medical Center</v>
      </c>
      <c r="G292" s="250"/>
      <c r="H292" s="249" t="str">
        <f>"FYE: "&amp;data!C96</f>
        <v>FYE: 06/30/2023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1000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1049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1004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1.01</v>
      </c>
      <c r="D298" s="258">
        <f>data!BO60</f>
        <v>6.7700000000000005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0</v>
      </c>
      <c r="I298" s="258">
        <f>data!BT60</f>
        <v>0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6634276.9699999997</v>
      </c>
      <c r="D299" s="251">
        <f>data!BO61</f>
        <v>1382466.14</v>
      </c>
      <c r="E299" s="251">
        <f>data!BP61</f>
        <v>653970.15</v>
      </c>
      <c r="F299" s="251">
        <f>data!BQ61</f>
        <v>0</v>
      </c>
      <c r="G299" s="251">
        <f>data!BR61</f>
        <v>0</v>
      </c>
      <c r="H299" s="251">
        <f>data!BS61</f>
        <v>165652.91</v>
      </c>
      <c r="I299" s="251">
        <f>data!BT61</f>
        <v>639123.30000000005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2170268</v>
      </c>
      <c r="D300" s="251">
        <f>data!BO62</f>
        <v>504567</v>
      </c>
      <c r="E300" s="251">
        <f>data!BP62</f>
        <v>224448</v>
      </c>
      <c r="F300" s="251">
        <f>data!BQ62</f>
        <v>0</v>
      </c>
      <c r="G300" s="251">
        <f>data!BR62</f>
        <v>0</v>
      </c>
      <c r="H300" s="251">
        <f>data!BS62</f>
        <v>52678</v>
      </c>
      <c r="I300" s="251">
        <f>data!BT62</f>
        <v>191669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2840655.7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8532.59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3280162.53</v>
      </c>
      <c r="D302" s="251">
        <f>data!BO64</f>
        <v>55137.37</v>
      </c>
      <c r="E302" s="251">
        <f>data!BP64</f>
        <v>1107.22</v>
      </c>
      <c r="F302" s="251">
        <f>data!BQ64</f>
        <v>0</v>
      </c>
      <c r="G302" s="251">
        <f>data!BR64</f>
        <v>0</v>
      </c>
      <c r="H302" s="251">
        <f>data!BS64</f>
        <v>13975.09</v>
      </c>
      <c r="I302" s="251">
        <f>data!BT64</f>
        <v>3696.84</v>
      </c>
    </row>
    <row r="303" spans="1:9" ht="20.100000000000001" customHeight="1" x14ac:dyDescent="0.2">
      <c r="A303" s="243">
        <v>10</v>
      </c>
      <c r="B303" s="251" t="s">
        <v>522</v>
      </c>
      <c r="C303" s="251">
        <f>data!BN65</f>
        <v>82.08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00000000000001" customHeight="1" x14ac:dyDescent="0.2">
      <c r="A304" s="243">
        <v>11</v>
      </c>
      <c r="B304" s="251" t="s">
        <v>523</v>
      </c>
      <c r="C304" s="251">
        <f>data!BN66</f>
        <v>6625049.5099999998</v>
      </c>
      <c r="D304" s="251">
        <f>data!BO66</f>
        <v>3053.08</v>
      </c>
      <c r="E304" s="251">
        <f>data!BP66</f>
        <v>358541.22</v>
      </c>
      <c r="F304" s="251">
        <f>data!BQ66</f>
        <v>0</v>
      </c>
      <c r="G304" s="251">
        <f>data!BR66</f>
        <v>7690619.5599999996</v>
      </c>
      <c r="H304" s="251">
        <f>data!BS66</f>
        <v>52927.25</v>
      </c>
      <c r="I304" s="251">
        <f>data!BT66</f>
        <v>4574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0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0</v>
      </c>
      <c r="H305" s="251">
        <f>data!BS67</f>
        <v>0</v>
      </c>
      <c r="I305" s="251">
        <f>data!BT67</f>
        <v>0</v>
      </c>
    </row>
    <row r="306" spans="1:9" ht="20.100000000000001" customHeight="1" x14ac:dyDescent="0.2">
      <c r="A306" s="243">
        <v>13</v>
      </c>
      <c r="B306" s="251" t="s">
        <v>1005</v>
      </c>
      <c r="C306" s="251">
        <f>data!BN68</f>
        <v>470.06</v>
      </c>
      <c r="D306" s="251">
        <f>data!BO68</f>
        <v>114.69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44.05</v>
      </c>
      <c r="I306" s="251">
        <f>data!BT68</f>
        <v>44.05</v>
      </c>
    </row>
    <row r="307" spans="1:9" ht="20.100000000000001" customHeight="1" x14ac:dyDescent="0.2">
      <c r="A307" s="243">
        <v>14</v>
      </c>
      <c r="B307" s="251" t="s">
        <v>1006</v>
      </c>
      <c r="C307" s="251">
        <f>data!BN69</f>
        <v>914045.19</v>
      </c>
      <c r="D307" s="251">
        <f>data!BO69</f>
        <v>108.89</v>
      </c>
      <c r="E307" s="251">
        <f>data!BP69</f>
        <v>0</v>
      </c>
      <c r="F307" s="251">
        <f>data!BQ69</f>
        <v>0</v>
      </c>
      <c r="G307" s="251">
        <f>data!BR69</f>
        <v>0</v>
      </c>
      <c r="H307" s="251">
        <f>data!BS69</f>
        <v>1864.68</v>
      </c>
      <c r="I307" s="251">
        <f>data!BT69</f>
        <v>11860.13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38250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-25775.73</v>
      </c>
      <c r="I308" s="251">
        <f>-data!BT84</f>
        <v>0</v>
      </c>
    </row>
    <row r="309" spans="1:9" ht="20.100000000000001" customHeight="1" x14ac:dyDescent="0.2">
      <c r="A309" s="243">
        <v>16</v>
      </c>
      <c r="B309" s="259" t="s">
        <v>1007</v>
      </c>
      <c r="C309" s="251">
        <f>data!BN85</f>
        <v>22503260.039999999</v>
      </c>
      <c r="D309" s="251">
        <f>data!BO85</f>
        <v>1945447.17</v>
      </c>
      <c r="E309" s="251">
        <f>data!BP85</f>
        <v>1238066.5899999999</v>
      </c>
      <c r="F309" s="251">
        <f>data!BQ85</f>
        <v>0</v>
      </c>
      <c r="G309" s="251">
        <f>data!BR85</f>
        <v>7690619.5599999996</v>
      </c>
      <c r="H309" s="251">
        <f>data!BS85</f>
        <v>269898.83999999997</v>
      </c>
      <c r="I309" s="251">
        <f>data!BT85</f>
        <v>850967.32000000007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1008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1009</v>
      </c>
      <c r="C312" s="266" t="str">
        <f>IF(data!BN73&gt;0,data!BN73,"")</f>
        <v/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1010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1011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1012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1013</v>
      </c>
      <c r="C316" s="267">
        <f>data!BN90</f>
        <v>6254.666666666667</v>
      </c>
      <c r="D316" s="267">
        <f>data!BO90</f>
        <v>1460</v>
      </c>
      <c r="E316" s="267">
        <f>data!BP90</f>
        <v>1208.6666666666667</v>
      </c>
      <c r="F316" s="267">
        <f>data!BQ90</f>
        <v>0</v>
      </c>
      <c r="G316" s="267">
        <f>data!BR90</f>
        <v>7011.6666666666661</v>
      </c>
      <c r="H316" s="267">
        <f>data!BS90</f>
        <v>654</v>
      </c>
      <c r="I316" s="267">
        <f>data!BT90</f>
        <v>1057</v>
      </c>
    </row>
    <row r="317" spans="1:9" ht="20.100000000000001" customHeight="1" x14ac:dyDescent="0.2">
      <c r="A317" s="243">
        <v>23</v>
      </c>
      <c r="B317" s="251" t="s">
        <v>1014</v>
      </c>
      <c r="C317" s="266" t="str">
        <f>IF(data!BN77&gt;0,data!BN77,"")</f>
        <v/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1015</v>
      </c>
      <c r="C318" s="266" t="str">
        <f>IF(data!BN78&gt;0,data!BN78,"")</f>
        <v/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163.80267209699642</v>
      </c>
      <c r="I318" s="267">
        <f>data!BT92</f>
        <v>264.73918104973274</v>
      </c>
    </row>
    <row r="319" spans="1:9" ht="20.100000000000001" customHeight="1" x14ac:dyDescent="0.2">
      <c r="A319" s="243">
        <v>25</v>
      </c>
      <c r="B319" s="251" t="s">
        <v>1016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 t="str">
        <f>IF(data!BN80&gt;0,data!BN80,"")</f>
        <v/>
      </c>
      <c r="D320" s="269" t="str">
        <f>IF(data!BO80&gt;0,data!BO80,"")</f>
        <v/>
      </c>
      <c r="E320" s="269" t="str">
        <f>IF(data!BP80&gt;0,data!BP80,"")</f>
        <v/>
      </c>
      <c r="F320" s="269" t="str">
        <f>IF(data!BQ80&gt;0,data!BQ80,"")</f>
        <v/>
      </c>
      <c r="G320" s="269" t="str">
        <f>IF(data!BR80&gt;0,data!BR80,"")</f>
        <v/>
      </c>
      <c r="H320" s="269" t="str">
        <f>IF(data!BS80&gt;0,data!BS80,"")</f>
        <v/>
      </c>
      <c r="I320" s="269" t="str">
        <f>IF(data!BT80&gt;0,data!BT80,"")</f>
        <v/>
      </c>
    </row>
    <row r="321" spans="1:9" ht="20.100000000000001" customHeight="1" x14ac:dyDescent="0.2">
      <c r="A321" s="244" t="s">
        <v>998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1050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Harborview Medical Center</v>
      </c>
      <c r="G324" s="250"/>
      <c r="H324" s="249" t="str">
        <f>"FYE: "&amp;data!C96</f>
        <v>FYE: 06/30/2023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1000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1049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1004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</v>
      </c>
      <c r="D330" s="258">
        <f>data!BV60</f>
        <v>0</v>
      </c>
      <c r="E330" s="258">
        <f>data!BW60</f>
        <v>0.03</v>
      </c>
      <c r="F330" s="258">
        <f>data!BX60</f>
        <v>20.05</v>
      </c>
      <c r="G330" s="258">
        <f>data!BY60</f>
        <v>35.979999999999997</v>
      </c>
      <c r="H330" s="258">
        <f>data!BZ60</f>
        <v>23.27</v>
      </c>
      <c r="I330" s="258">
        <f>data!CA60</f>
        <v>0.61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0</v>
      </c>
      <c r="D331" s="270">
        <f>data!BV61</f>
        <v>0</v>
      </c>
      <c r="E331" s="270">
        <f>data!BW61</f>
        <v>24119447.91</v>
      </c>
      <c r="F331" s="270">
        <f>data!BX61</f>
        <v>7400536.1100000003</v>
      </c>
      <c r="G331" s="270">
        <f>data!BY61</f>
        <v>12796948.880000001</v>
      </c>
      <c r="H331" s="270">
        <f>data!BZ61</f>
        <v>10958632.99</v>
      </c>
      <c r="I331" s="270">
        <f>data!CA61</f>
        <v>3553816.81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0</v>
      </c>
      <c r="D332" s="270">
        <f>data!BV62</f>
        <v>0</v>
      </c>
      <c r="E332" s="270">
        <f>data!BW62</f>
        <v>7116838</v>
      </c>
      <c r="F332" s="270">
        <f>data!BX62</f>
        <v>2513962</v>
      </c>
      <c r="G332" s="270">
        <f>data!BY62</f>
        <v>4286730</v>
      </c>
      <c r="H332" s="270">
        <f>data!BZ62</f>
        <v>1983559</v>
      </c>
      <c r="I332" s="270">
        <f>data!CA62</f>
        <v>1154839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39854564.340000004</v>
      </c>
      <c r="F333" s="270">
        <f>data!BX63</f>
        <v>0</v>
      </c>
      <c r="G333" s="270">
        <f>data!BY63</f>
        <v>13160</v>
      </c>
      <c r="H333" s="270">
        <f>data!BZ63</f>
        <v>0</v>
      </c>
      <c r="I333" s="270">
        <f>data!CA63</f>
        <v>350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0</v>
      </c>
      <c r="D334" s="270">
        <f>data!BV64</f>
        <v>0</v>
      </c>
      <c r="E334" s="270">
        <f>data!BW64</f>
        <v>20267.61</v>
      </c>
      <c r="F334" s="270">
        <f>data!BX64</f>
        <v>180096.65</v>
      </c>
      <c r="G334" s="270">
        <f>data!BY64</f>
        <v>42723.35</v>
      </c>
      <c r="H334" s="270">
        <f>data!BZ64</f>
        <v>4652.32</v>
      </c>
      <c r="I334" s="270">
        <f>data!CA64</f>
        <v>158583.49</v>
      </c>
    </row>
    <row r="335" spans="1:9" ht="20.100000000000001" customHeight="1" x14ac:dyDescent="0.2">
      <c r="A335" s="243">
        <v>10</v>
      </c>
      <c r="B335" s="251" t="s">
        <v>522</v>
      </c>
      <c r="C335" s="270">
        <f>data!BU65</f>
        <v>0</v>
      </c>
      <c r="D335" s="270">
        <f>data!BV65</f>
        <v>0</v>
      </c>
      <c r="E335" s="270">
        <f>data!BW65</f>
        <v>12048.36</v>
      </c>
      <c r="F335" s="270">
        <f>data!BX65</f>
        <v>1127.68</v>
      </c>
      <c r="G335" s="270">
        <f>data!BY65</f>
        <v>209.15</v>
      </c>
      <c r="H335" s="270">
        <f>data!BZ65</f>
        <v>0</v>
      </c>
      <c r="I335" s="270">
        <f>data!CA65</f>
        <v>4602.66</v>
      </c>
    </row>
    <row r="336" spans="1:9" ht="20.100000000000001" customHeight="1" x14ac:dyDescent="0.2">
      <c r="A336" s="243">
        <v>11</v>
      </c>
      <c r="B336" s="251" t="s">
        <v>523</v>
      </c>
      <c r="C336" s="270">
        <f>data!BU66</f>
        <v>0</v>
      </c>
      <c r="D336" s="270">
        <f>data!BV66</f>
        <v>7003211.4199999999</v>
      </c>
      <c r="E336" s="270">
        <f>data!BW66</f>
        <v>1347828.97</v>
      </c>
      <c r="F336" s="270">
        <f>data!BX66</f>
        <v>136245.10999999999</v>
      </c>
      <c r="G336" s="270">
        <f>data!BY66</f>
        <v>6598.94</v>
      </c>
      <c r="H336" s="270">
        <f>data!BZ66</f>
        <v>0</v>
      </c>
      <c r="I336" s="270">
        <f>data!CA66</f>
        <v>237093.63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0</v>
      </c>
      <c r="D337" s="270">
        <f>data!BV67</f>
        <v>10161</v>
      </c>
      <c r="E337" s="270">
        <f>data!BW67</f>
        <v>0</v>
      </c>
      <c r="F337" s="270">
        <f>data!BX67</f>
        <v>0</v>
      </c>
      <c r="G337" s="270">
        <f>data!BY67</f>
        <v>0</v>
      </c>
      <c r="H337" s="270">
        <f>data!BZ67</f>
        <v>1776</v>
      </c>
      <c r="I337" s="270">
        <f>data!CA67</f>
        <v>9014</v>
      </c>
    </row>
    <row r="338" spans="1:9" ht="20.100000000000001" customHeight="1" x14ac:dyDescent="0.2">
      <c r="A338" s="243">
        <v>13</v>
      </c>
      <c r="B338" s="251" t="s">
        <v>1005</v>
      </c>
      <c r="C338" s="270">
        <f>data!BU68</f>
        <v>0</v>
      </c>
      <c r="D338" s="270">
        <f>data!BV68</f>
        <v>0</v>
      </c>
      <c r="E338" s="270">
        <f>data!BW68</f>
        <v>491.31</v>
      </c>
      <c r="F338" s="270">
        <f>data!BX68</f>
        <v>44.11</v>
      </c>
      <c r="G338" s="270">
        <f>data!BY68</f>
        <v>264.58</v>
      </c>
      <c r="H338" s="270">
        <f>data!BZ68</f>
        <v>0</v>
      </c>
      <c r="I338" s="270">
        <f>data!CA68</f>
        <v>955.01</v>
      </c>
    </row>
    <row r="339" spans="1:9" ht="20.100000000000001" customHeight="1" x14ac:dyDescent="0.2">
      <c r="A339" s="243">
        <v>14</v>
      </c>
      <c r="B339" s="251" t="s">
        <v>1006</v>
      </c>
      <c r="C339" s="270">
        <f>data!BU69</f>
        <v>0</v>
      </c>
      <c r="D339" s="270">
        <f>data!BV69</f>
        <v>0</v>
      </c>
      <c r="E339" s="270">
        <f>data!BW69</f>
        <v>35932</v>
      </c>
      <c r="F339" s="270">
        <f>data!BX69</f>
        <v>805203.39</v>
      </c>
      <c r="G339" s="270">
        <f>data!BY69</f>
        <v>56739.33</v>
      </c>
      <c r="H339" s="270">
        <f>data!BZ69</f>
        <v>-545</v>
      </c>
      <c r="I339" s="270">
        <f>data!CA69</f>
        <v>1096249.76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0</v>
      </c>
      <c r="F340" s="251">
        <f>-data!BX84</f>
        <v>-309650.33</v>
      </c>
      <c r="G340" s="251">
        <f>-data!BY84</f>
        <v>-838.2</v>
      </c>
      <c r="H340" s="251">
        <f>-data!BZ84</f>
        <v>0</v>
      </c>
      <c r="I340" s="251">
        <f>-data!CA84</f>
        <v>-71568.039999999994</v>
      </c>
    </row>
    <row r="341" spans="1:9" ht="20.100000000000001" customHeight="1" x14ac:dyDescent="0.2">
      <c r="A341" s="243">
        <v>16</v>
      </c>
      <c r="B341" s="259" t="s">
        <v>1007</v>
      </c>
      <c r="C341" s="251">
        <f>data!BU85</f>
        <v>0</v>
      </c>
      <c r="D341" s="251">
        <f>data!BV85</f>
        <v>7013372.4199999999</v>
      </c>
      <c r="E341" s="251">
        <f>data!BW85</f>
        <v>72507418.5</v>
      </c>
      <c r="F341" s="251">
        <f>data!BX85</f>
        <v>10727564.719999999</v>
      </c>
      <c r="G341" s="251">
        <f>data!BY85</f>
        <v>17202536.030000001</v>
      </c>
      <c r="H341" s="251">
        <f>data!BZ85</f>
        <v>12948075.310000001</v>
      </c>
      <c r="I341" s="251">
        <f>data!CA85</f>
        <v>6143936.3200000003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1008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1009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1010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1011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1012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1013</v>
      </c>
      <c r="C348" s="267">
        <f>data!BU90</f>
        <v>0</v>
      </c>
      <c r="D348" s="267">
        <f>data!BV90</f>
        <v>27109</v>
      </c>
      <c r="E348" s="267">
        <f>data!BW90</f>
        <v>128460</v>
      </c>
      <c r="F348" s="267">
        <f>data!BX90</f>
        <v>9435.3333333333339</v>
      </c>
      <c r="G348" s="267">
        <f>data!BY90</f>
        <v>3634.5</v>
      </c>
      <c r="H348" s="267">
        <f>data!BZ90</f>
        <v>1806</v>
      </c>
      <c r="I348" s="267">
        <f>data!CA90</f>
        <v>17394.5</v>
      </c>
    </row>
    <row r="349" spans="1:9" ht="20.100000000000001" customHeight="1" x14ac:dyDescent="0.2">
      <c r="A349" s="243">
        <v>23</v>
      </c>
      <c r="B349" s="251" t="s">
        <v>1014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1015</v>
      </c>
      <c r="C350" s="267">
        <f>data!BU92</f>
        <v>0</v>
      </c>
      <c r="D350" s="267">
        <f>data!BV92</f>
        <v>6789.7960823814619</v>
      </c>
      <c r="E350" s="267">
        <f>data!BW92</f>
        <v>32174.451464189846</v>
      </c>
      <c r="F350" s="267">
        <f>data!BX92</f>
        <v>2363.2000185410707</v>
      </c>
      <c r="G350" s="267">
        <f>data!BY92</f>
        <v>910.30705158491367</v>
      </c>
      <c r="H350" s="267">
        <f>data!BZ92</f>
        <v>452.33581927702676</v>
      </c>
      <c r="I350" s="267">
        <f>data!CA92</f>
        <v>4356.6751984574985</v>
      </c>
    </row>
    <row r="351" spans="1:9" ht="20.100000000000001" customHeight="1" x14ac:dyDescent="0.2">
      <c r="A351" s="243">
        <v>25</v>
      </c>
      <c r="B351" s="251" t="s">
        <v>1016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3790</v>
      </c>
    </row>
    <row r="352" spans="1:9" ht="20.100000000000001" customHeight="1" x14ac:dyDescent="0.2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 t="str">
        <f>IF(data!BW80&gt;0,data!BW80,"")</f>
        <v/>
      </c>
      <c r="F352" s="269" t="str">
        <f>IF(data!BX80&gt;0,data!BX80,"")</f>
        <v/>
      </c>
      <c r="G352" s="269" t="str">
        <f>IF(data!BY80&gt;0,data!BY80,"")</f>
        <v/>
      </c>
      <c r="H352" s="269" t="str">
        <f>IF(data!BZ80&gt;0,data!BZ80,"")</f>
        <v/>
      </c>
      <c r="I352" s="269" t="str">
        <f>IF(data!CA80&gt;0,data!CA80,"")</f>
        <v/>
      </c>
    </row>
    <row r="353" spans="1:9" ht="20.100000000000001" customHeight="1" x14ac:dyDescent="0.2">
      <c r="A353" s="244" t="s">
        <v>998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1051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Harborview Medical Center</v>
      </c>
      <c r="G356" s="250"/>
      <c r="H356" s="249" t="str">
        <f>"FYE: "&amp;data!C96</f>
        <v>FYE: 06/30/2023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1000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1052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1004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4.62</v>
      </c>
      <c r="D362" s="258">
        <f>data!CC60</f>
        <v>0</v>
      </c>
      <c r="E362" s="273"/>
      <c r="F362" s="261"/>
      <c r="G362" s="261"/>
      <c r="H362" s="261"/>
      <c r="I362" s="274">
        <f>data!CE60</f>
        <v>1236.6399999999994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918244.57</v>
      </c>
      <c r="D363" s="270">
        <f>data!CC61</f>
        <v>16985135.100000001</v>
      </c>
      <c r="E363" s="275"/>
      <c r="F363" s="275"/>
      <c r="G363" s="275"/>
      <c r="H363" s="275"/>
      <c r="I363" s="270">
        <f>data!CE61</f>
        <v>559661203.26999998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306192</v>
      </c>
      <c r="D364" s="270">
        <f>data!CC62</f>
        <v>3781896</v>
      </c>
      <c r="E364" s="275"/>
      <c r="F364" s="275"/>
      <c r="G364" s="275"/>
      <c r="H364" s="275"/>
      <c r="I364" s="270">
        <f>data!CE62</f>
        <v>159027454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77925.31</v>
      </c>
      <c r="E365" s="275"/>
      <c r="F365" s="275"/>
      <c r="G365" s="275"/>
      <c r="H365" s="275"/>
      <c r="I365" s="270">
        <f>data!CE63</f>
        <v>44421612.24000001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56425.26</v>
      </c>
      <c r="D366" s="270">
        <f>data!CC64</f>
        <v>-1586458.6099999999</v>
      </c>
      <c r="E366" s="275"/>
      <c r="F366" s="275"/>
      <c r="G366" s="275"/>
      <c r="H366" s="275"/>
      <c r="I366" s="270">
        <f>data!CE64</f>
        <v>225718567.87</v>
      </c>
    </row>
    <row r="367" spans="1:9" ht="20.100000000000001" customHeight="1" x14ac:dyDescent="0.2">
      <c r="A367" s="243">
        <v>10</v>
      </c>
      <c r="B367" s="251" t="s">
        <v>522</v>
      </c>
      <c r="C367" s="270">
        <f>data!CB65</f>
        <v>0</v>
      </c>
      <c r="D367" s="270">
        <f>data!CC65</f>
        <v>6991586.9800000004</v>
      </c>
      <c r="E367" s="275"/>
      <c r="F367" s="275"/>
      <c r="G367" s="275"/>
      <c r="H367" s="275"/>
      <c r="I367" s="270">
        <f>data!CE65</f>
        <v>13410241.359999999</v>
      </c>
    </row>
    <row r="368" spans="1:9" ht="20.100000000000001" customHeight="1" x14ac:dyDescent="0.2">
      <c r="A368" s="243">
        <v>11</v>
      </c>
      <c r="B368" s="251" t="s">
        <v>523</v>
      </c>
      <c r="C368" s="270">
        <f>data!CB66</f>
        <v>3011.54</v>
      </c>
      <c r="D368" s="270">
        <f>data!CC66</f>
        <v>28299767.32</v>
      </c>
      <c r="E368" s="275"/>
      <c r="F368" s="275"/>
      <c r="G368" s="275"/>
      <c r="H368" s="275"/>
      <c r="I368" s="270">
        <f>data!CE66</f>
        <v>274724027.83000004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28621636</v>
      </c>
      <c r="E369" s="275"/>
      <c r="F369" s="275"/>
      <c r="G369" s="275"/>
      <c r="H369" s="275"/>
      <c r="I369" s="270">
        <f>data!CE67</f>
        <v>41132454</v>
      </c>
    </row>
    <row r="370" spans="1:9" ht="20.100000000000001" customHeight="1" x14ac:dyDescent="0.2">
      <c r="A370" s="243">
        <v>13</v>
      </c>
      <c r="B370" s="251" t="s">
        <v>1005</v>
      </c>
      <c r="C370" s="270">
        <f>data!CB68</f>
        <v>0</v>
      </c>
      <c r="D370" s="270">
        <f>data!CC68</f>
        <v>-3922437.129999999</v>
      </c>
      <c r="E370" s="275"/>
      <c r="F370" s="275"/>
      <c r="G370" s="275"/>
      <c r="H370" s="275"/>
      <c r="I370" s="270">
        <f>data!CE68</f>
        <v>3221392.7300000004</v>
      </c>
    </row>
    <row r="371" spans="1:9" ht="20.100000000000001" customHeight="1" x14ac:dyDescent="0.2">
      <c r="A371" s="243">
        <v>14</v>
      </c>
      <c r="B371" s="251" t="s">
        <v>1006</v>
      </c>
      <c r="C371" s="270">
        <f>data!CB69</f>
        <v>51832.38</v>
      </c>
      <c r="D371" s="270">
        <f>data!CC69</f>
        <v>27239.57</v>
      </c>
      <c r="E371" s="270">
        <f>data!CD69</f>
        <v>11166833.84</v>
      </c>
      <c r="F371" s="275"/>
      <c r="G371" s="275"/>
      <c r="H371" s="275"/>
      <c r="I371" s="270">
        <f>data!CE69</f>
        <v>123335386.34000002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-181305.45</v>
      </c>
      <c r="D372" s="251">
        <f>-data!CC84</f>
        <v>-20726211.760000002</v>
      </c>
      <c r="E372" s="251">
        <f>-data!CD84</f>
        <v>3460024.8</v>
      </c>
      <c r="F372" s="261"/>
      <c r="G372" s="261"/>
      <c r="H372" s="261"/>
      <c r="I372" s="251">
        <f>-data!CE84</f>
        <v>-106943276.42000002</v>
      </c>
    </row>
    <row r="373" spans="1:9" ht="20.100000000000001" customHeight="1" x14ac:dyDescent="0.2">
      <c r="A373" s="243">
        <v>16</v>
      </c>
      <c r="B373" s="259" t="s">
        <v>1007</v>
      </c>
      <c r="C373" s="270">
        <f>data!CB85</f>
        <v>1154400.2999999998</v>
      </c>
      <c r="D373" s="270">
        <f>data!CC85</f>
        <v>58550078.779999986</v>
      </c>
      <c r="E373" s="270">
        <f>data!CD85</f>
        <v>14626858.640000001</v>
      </c>
      <c r="F373" s="275"/>
      <c r="G373" s="275"/>
      <c r="H373" s="275"/>
      <c r="I373" s="251">
        <f>data!CE85</f>
        <v>1230765786.7999997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1008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1009</v>
      </c>
      <c r="C376" s="266" t="str">
        <f>IF(data!CB73&gt;0,data!CB73,"")</f>
        <v/>
      </c>
      <c r="D376" s="266" t="str">
        <f>IF(data!CC73&gt;0,data!CC73,"")</f>
        <v/>
      </c>
      <c r="E376" s="261"/>
      <c r="F376" s="261"/>
      <c r="G376" s="261"/>
      <c r="H376" s="261"/>
      <c r="I376" s="267">
        <f>data!CE87</f>
        <v>2177549114.2800002</v>
      </c>
    </row>
    <row r="377" spans="1:9" ht="20.100000000000001" customHeight="1" x14ac:dyDescent="0.2">
      <c r="A377" s="243">
        <v>20</v>
      </c>
      <c r="B377" s="259" t="s">
        <v>1010</v>
      </c>
      <c r="C377" s="266" t="str">
        <f>IF(data!CB74&gt;0,data!CB74,"")</f>
        <v/>
      </c>
      <c r="D377" s="266" t="str">
        <f>IF(data!CC74&gt;0,data!CC74,"")</f>
        <v/>
      </c>
      <c r="E377" s="261"/>
      <c r="F377" s="261"/>
      <c r="G377" s="261"/>
      <c r="H377" s="261"/>
      <c r="I377" s="267">
        <f>data!CE88</f>
        <v>1206159269.8500001</v>
      </c>
    </row>
    <row r="378" spans="1:9" ht="20.100000000000001" customHeight="1" x14ac:dyDescent="0.2">
      <c r="A378" s="243">
        <v>21</v>
      </c>
      <c r="B378" s="259" t="s">
        <v>1011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3383708384.1300001</v>
      </c>
    </row>
    <row r="379" spans="1:9" ht="20.100000000000001" customHeight="1" x14ac:dyDescent="0.2">
      <c r="A379" s="243" t="s">
        <v>1012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1013</v>
      </c>
      <c r="C380" s="267">
        <f>data!CB90</f>
        <v>0</v>
      </c>
      <c r="D380" s="267">
        <f>data!CC90</f>
        <v>143136.16666666669</v>
      </c>
      <c r="E380" s="261"/>
      <c r="F380" s="261"/>
      <c r="G380" s="261"/>
      <c r="H380" s="261"/>
      <c r="I380" s="251">
        <f>data!CE90</f>
        <v>1663430.3286496648</v>
      </c>
    </row>
    <row r="381" spans="1:9" ht="20.100000000000001" customHeight="1" x14ac:dyDescent="0.2">
      <c r="A381" s="243">
        <v>23</v>
      </c>
      <c r="B381" s="251" t="s">
        <v>1014</v>
      </c>
      <c r="C381" s="267">
        <f>data!CB91</f>
        <v>0</v>
      </c>
      <c r="D381" s="266" t="str">
        <f>IF(data!CC77&gt;0,data!CC77,"")</f>
        <v/>
      </c>
      <c r="E381" s="261"/>
      <c r="F381" s="261"/>
      <c r="G381" s="261"/>
      <c r="H381" s="261"/>
      <c r="I381" s="251">
        <f>data!CE91</f>
        <v>966103</v>
      </c>
    </row>
    <row r="382" spans="1:9" ht="20.100000000000001" customHeight="1" x14ac:dyDescent="0.2">
      <c r="A382" s="243">
        <v>24</v>
      </c>
      <c r="B382" s="251" t="s">
        <v>1015</v>
      </c>
      <c r="C382" s="267">
        <f>data!CB92</f>
        <v>0</v>
      </c>
      <c r="D382" s="266" t="str">
        <f>IF(data!CC78&gt;0,data!CC78,"")</f>
        <v/>
      </c>
      <c r="E382" s="261"/>
      <c r="F382" s="261"/>
      <c r="G382" s="261"/>
      <c r="H382" s="261"/>
      <c r="I382" s="251">
        <f>data!CE92</f>
        <v>298409.18647162756</v>
      </c>
    </row>
    <row r="383" spans="1:9" ht="20.100000000000001" customHeight="1" x14ac:dyDescent="0.2">
      <c r="A383" s="243">
        <v>25</v>
      </c>
      <c r="B383" s="251" t="s">
        <v>1016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358885.5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 t="str">
        <f>IF(data!CC80&gt;0,data!CC80,"")</f>
        <v/>
      </c>
      <c r="E384" s="273"/>
      <c r="F384" s="261"/>
      <c r="G384" s="261"/>
      <c r="H384" s="261"/>
      <c r="I384" s="258">
        <f>data!CE94</f>
        <v>3570.33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56E8-D9E2-4B44-93F8-33EE2E38E505}">
  <sheetPr syncVertical="1" syncRef="A397" transitionEvaluation="1" transitionEntry="1" codeName="Sheet1">
    <tabColor rgb="FF92D050"/>
    <pageSetUpPr autoPageBreaks="0" fitToPage="1"/>
  </sheetPr>
  <dimension ref="A1:CF716"/>
  <sheetViews>
    <sheetView topLeftCell="A397" zoomScaleNormal="100" workbookViewId="0">
      <selection activeCell="C380" sqref="C38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159027450.81</v>
      </c>
      <c r="C47" s="20">
        <v>12039942.5</v>
      </c>
      <c r="D47" s="20">
        <v>18816795.789999999</v>
      </c>
      <c r="E47" s="20">
        <v>957369.03</v>
      </c>
      <c r="F47" s="20">
        <v>0</v>
      </c>
      <c r="G47" s="20">
        <v>2061110.25</v>
      </c>
      <c r="H47" s="20">
        <v>4374684.67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101305.22</v>
      </c>
      <c r="O47" s="20">
        <v>0</v>
      </c>
      <c r="P47" s="20">
        <v>6621215.54</v>
      </c>
      <c r="Q47" s="20">
        <v>3187016.95</v>
      </c>
      <c r="R47" s="20">
        <v>3305762.02</v>
      </c>
      <c r="S47" s="20">
        <v>1216181.23</v>
      </c>
      <c r="T47" s="20">
        <v>0</v>
      </c>
      <c r="U47" s="20">
        <v>4525495.3099999996</v>
      </c>
      <c r="V47" s="20">
        <v>2342623.61</v>
      </c>
      <c r="W47" s="20">
        <v>590567.39</v>
      </c>
      <c r="X47" s="20">
        <v>954373.72</v>
      </c>
      <c r="Y47" s="20">
        <v>5933201.8399999999</v>
      </c>
      <c r="Z47" s="20">
        <v>372658.71</v>
      </c>
      <c r="AA47" s="20">
        <v>193981.68</v>
      </c>
      <c r="AB47" s="20">
        <v>9175821.1899999995</v>
      </c>
      <c r="AC47" s="20">
        <v>2345119.7799999998</v>
      </c>
      <c r="AD47" s="20">
        <v>0</v>
      </c>
      <c r="AE47" s="20">
        <v>3324671.78</v>
      </c>
      <c r="AF47" s="20">
        <v>2791609.24</v>
      </c>
      <c r="AG47" s="20">
        <v>7374513.0300000003</v>
      </c>
      <c r="AH47" s="20">
        <v>0</v>
      </c>
      <c r="AI47" s="20">
        <v>0</v>
      </c>
      <c r="AJ47" s="20">
        <v>24218639.309999999</v>
      </c>
      <c r="AK47" s="20">
        <v>1160978.83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311287.86</v>
      </c>
      <c r="AV47" s="20">
        <v>1569061.19</v>
      </c>
      <c r="AW47" s="20">
        <v>58250.19</v>
      </c>
      <c r="AX47" s="20">
        <v>0</v>
      </c>
      <c r="AY47" s="20">
        <v>2952632.41</v>
      </c>
      <c r="AZ47" s="20">
        <v>0</v>
      </c>
      <c r="BA47" s="20">
        <v>193829.66</v>
      </c>
      <c r="BB47" s="20">
        <v>3752087.44</v>
      </c>
      <c r="BC47" s="20">
        <v>0</v>
      </c>
      <c r="BD47" s="20">
        <v>0</v>
      </c>
      <c r="BE47" s="20">
        <v>2995004.03</v>
      </c>
      <c r="BF47" s="20">
        <v>4380295.41</v>
      </c>
      <c r="BG47" s="20">
        <v>10180.57</v>
      </c>
      <c r="BH47" s="20">
        <v>345565.21</v>
      </c>
      <c r="BI47" s="20">
        <v>185974.5</v>
      </c>
      <c r="BJ47" s="20">
        <v>0</v>
      </c>
      <c r="BK47" s="20">
        <v>0</v>
      </c>
      <c r="BL47" s="20">
        <v>0</v>
      </c>
      <c r="BM47" s="20">
        <v>0</v>
      </c>
      <c r="BN47" s="20">
        <v>2170267.54</v>
      </c>
      <c r="BO47" s="20">
        <v>504566.71</v>
      </c>
      <c r="BP47" s="20">
        <v>224448.29</v>
      </c>
      <c r="BQ47" s="20">
        <v>0</v>
      </c>
      <c r="BR47" s="20">
        <v>0</v>
      </c>
      <c r="BS47" s="20">
        <v>52677.71</v>
      </c>
      <c r="BT47" s="20">
        <v>191668.68</v>
      </c>
      <c r="BU47" s="20">
        <v>0</v>
      </c>
      <c r="BV47" s="20">
        <v>0</v>
      </c>
      <c r="BW47" s="20">
        <v>7116838.4800000004</v>
      </c>
      <c r="BX47" s="20">
        <v>2513962.0099999998</v>
      </c>
      <c r="BY47" s="20">
        <v>4286729.6500000004</v>
      </c>
      <c r="BZ47" s="20">
        <v>1983558.65</v>
      </c>
      <c r="CA47" s="20">
        <v>1154838.57</v>
      </c>
      <c r="CB47" s="20">
        <v>306191.62</v>
      </c>
      <c r="CC47" s="20">
        <v>3781895.81</v>
      </c>
      <c r="CD47" s="16"/>
      <c r="CE47" s="28">
        <f>SUM(C47:CC47)</f>
        <v>159027450.80999997</v>
      </c>
    </row>
    <row r="48" spans="1:83" x14ac:dyDescent="0.25">
      <c r="A48" s="28" t="s">
        <v>232</v>
      </c>
      <c r="B48" s="27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159027450.81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41132454.009999998</v>
      </c>
      <c r="C51" s="20">
        <v>314515.84000000003</v>
      </c>
      <c r="D51" s="20">
        <v>230102.53</v>
      </c>
      <c r="E51" s="20">
        <v>0</v>
      </c>
      <c r="F51" s="20">
        <v>0</v>
      </c>
      <c r="G51" s="20">
        <v>26732.45</v>
      </c>
      <c r="H51" s="20">
        <v>63554.51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3051421.31</v>
      </c>
      <c r="Q51" s="20">
        <v>41706.65</v>
      </c>
      <c r="R51" s="20">
        <v>155642.91</v>
      </c>
      <c r="S51" s="20">
        <v>201552.07</v>
      </c>
      <c r="T51" s="20">
        <v>0</v>
      </c>
      <c r="U51" s="20">
        <v>420165.18</v>
      </c>
      <c r="V51" s="20">
        <v>367216.78</v>
      </c>
      <c r="W51" s="20">
        <v>335440.95</v>
      </c>
      <c r="X51" s="20">
        <v>244700.75</v>
      </c>
      <c r="Y51" s="20">
        <v>1046932.1</v>
      </c>
      <c r="Z51" s="20">
        <v>168277.47</v>
      </c>
      <c r="AA51" s="20">
        <v>244814.07999999999</v>
      </c>
      <c r="AB51" s="20">
        <v>16302.69</v>
      </c>
      <c r="AC51" s="20">
        <v>364324.68</v>
      </c>
      <c r="AD51" s="20">
        <v>69410.899999999994</v>
      </c>
      <c r="AE51" s="20">
        <v>22678.97</v>
      </c>
      <c r="AF51" s="20">
        <v>0</v>
      </c>
      <c r="AG51" s="20">
        <v>300351.21999999997</v>
      </c>
      <c r="AH51" s="20">
        <v>0</v>
      </c>
      <c r="AI51" s="20">
        <v>0</v>
      </c>
      <c r="AJ51" s="20">
        <v>1517643.46</v>
      </c>
      <c r="AK51" s="20">
        <v>30377.360000000001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1017.11</v>
      </c>
      <c r="AW51" s="20">
        <v>0</v>
      </c>
      <c r="AX51" s="20">
        <v>0</v>
      </c>
      <c r="AY51" s="20">
        <v>130925.46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2158814.14</v>
      </c>
      <c r="BF51" s="20">
        <v>52146.66</v>
      </c>
      <c r="BG51" s="20">
        <v>5842.9</v>
      </c>
      <c r="BH51" s="20">
        <v>907256.14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10160.61</v>
      </c>
      <c r="BW51" s="20">
        <v>0</v>
      </c>
      <c r="BX51" s="20">
        <v>0</v>
      </c>
      <c r="BY51" s="20">
        <v>0</v>
      </c>
      <c r="BZ51" s="20">
        <v>1775.71</v>
      </c>
      <c r="CA51" s="20">
        <v>9014.2000000000007</v>
      </c>
      <c r="CB51" s="20">
        <v>0</v>
      </c>
      <c r="CC51" s="20">
        <v>28621636.219999999</v>
      </c>
      <c r="CD51" s="16"/>
      <c r="CE51" s="28">
        <f>SUM(C51:CD51)</f>
        <v>41132454.009999998</v>
      </c>
    </row>
    <row r="52" spans="1:83" x14ac:dyDescent="0.25">
      <c r="A52" s="35" t="s">
        <v>235</v>
      </c>
      <c r="B52" s="27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41132454.009999998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29389</v>
      </c>
      <c r="D59" s="20">
        <v>100587</v>
      </c>
      <c r="E59" s="20">
        <v>8721</v>
      </c>
      <c r="F59" s="20">
        <v>0</v>
      </c>
      <c r="G59" s="20">
        <v>11419</v>
      </c>
      <c r="H59" s="20">
        <v>23021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6">
        <v>2459115</v>
      </c>
      <c r="Q59" s="26">
        <v>1049013</v>
      </c>
      <c r="R59" s="26">
        <v>2867290</v>
      </c>
      <c r="S59" s="278">
        <v>0</v>
      </c>
      <c r="T59" s="278">
        <v>0</v>
      </c>
      <c r="U59" s="27">
        <v>1905284</v>
      </c>
      <c r="V59" s="26">
        <v>67702</v>
      </c>
      <c r="W59" s="26">
        <v>91838</v>
      </c>
      <c r="X59" s="26">
        <v>351825</v>
      </c>
      <c r="Y59" s="26">
        <v>706039</v>
      </c>
      <c r="Z59" s="26">
        <v>9620</v>
      </c>
      <c r="AA59" s="26">
        <v>16403</v>
      </c>
      <c r="AB59" s="278">
        <v>0</v>
      </c>
      <c r="AC59" s="26">
        <v>65855</v>
      </c>
      <c r="AD59" s="26">
        <v>0</v>
      </c>
      <c r="AE59" s="26">
        <v>149086</v>
      </c>
      <c r="AF59" s="26">
        <v>22019</v>
      </c>
      <c r="AG59" s="26">
        <v>54312</v>
      </c>
      <c r="AH59" s="26">
        <v>0</v>
      </c>
      <c r="AI59" s="26">
        <v>0</v>
      </c>
      <c r="AJ59" s="26">
        <v>359656</v>
      </c>
      <c r="AK59" s="26">
        <v>77940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1525</v>
      </c>
      <c r="AV59" s="278">
        <v>0</v>
      </c>
      <c r="AW59" s="278">
        <v>0</v>
      </c>
      <c r="AX59" s="278">
        <v>0</v>
      </c>
      <c r="AY59" s="26">
        <v>743434</v>
      </c>
      <c r="AZ59" s="26">
        <v>0</v>
      </c>
      <c r="BA59" s="278">
        <v>0</v>
      </c>
      <c r="BB59" s="278">
        <v>0</v>
      </c>
      <c r="BC59" s="278">
        <v>0</v>
      </c>
      <c r="BD59" s="278">
        <v>0</v>
      </c>
      <c r="BE59" s="26">
        <v>1163875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247.68</v>
      </c>
      <c r="D60" s="279">
        <v>343.9</v>
      </c>
      <c r="E60" s="279">
        <v>14.55</v>
      </c>
      <c r="F60" s="279">
        <v>0</v>
      </c>
      <c r="G60" s="279">
        <v>32.5</v>
      </c>
      <c r="H60" s="279">
        <v>66.739999999999995</v>
      </c>
      <c r="I60" s="279">
        <v>0</v>
      </c>
      <c r="J60" s="279">
        <v>0</v>
      </c>
      <c r="K60" s="279">
        <v>0</v>
      </c>
      <c r="L60" s="279">
        <v>0</v>
      </c>
      <c r="M60" s="279">
        <v>0</v>
      </c>
      <c r="N60" s="279">
        <v>0</v>
      </c>
      <c r="O60" s="279">
        <v>0</v>
      </c>
      <c r="P60" s="280">
        <v>93.05</v>
      </c>
      <c r="Q60" s="280">
        <v>55.53</v>
      </c>
      <c r="R60" s="280">
        <v>0</v>
      </c>
      <c r="S60" s="281">
        <v>0.06</v>
      </c>
      <c r="T60" s="281">
        <v>0</v>
      </c>
      <c r="U60" s="282">
        <v>0</v>
      </c>
      <c r="V60" s="280">
        <v>8.18</v>
      </c>
      <c r="W60" s="280">
        <v>0</v>
      </c>
      <c r="X60" s="280">
        <v>0</v>
      </c>
      <c r="Y60" s="280">
        <v>19.170000000000002</v>
      </c>
      <c r="Z60" s="280">
        <v>3.71</v>
      </c>
      <c r="AA60" s="280">
        <v>0</v>
      </c>
      <c r="AB60" s="281">
        <v>0</v>
      </c>
      <c r="AC60" s="280">
        <v>1.8499999999999999</v>
      </c>
      <c r="AD60" s="280">
        <v>0</v>
      </c>
      <c r="AE60" s="280">
        <v>0</v>
      </c>
      <c r="AF60" s="280">
        <v>4.38</v>
      </c>
      <c r="AG60" s="280">
        <v>85.04</v>
      </c>
      <c r="AH60" s="280">
        <v>0</v>
      </c>
      <c r="AI60" s="280">
        <v>0</v>
      </c>
      <c r="AJ60" s="280">
        <v>153.54</v>
      </c>
      <c r="AK60" s="280">
        <v>0</v>
      </c>
      <c r="AL60" s="280">
        <v>0</v>
      </c>
      <c r="AM60" s="280">
        <v>0</v>
      </c>
      <c r="AN60" s="280">
        <v>0</v>
      </c>
      <c r="AO60" s="280">
        <v>0</v>
      </c>
      <c r="AP60" s="280">
        <v>0</v>
      </c>
      <c r="AQ60" s="280">
        <v>0</v>
      </c>
      <c r="AR60" s="280">
        <v>0</v>
      </c>
      <c r="AS60" s="280">
        <v>0</v>
      </c>
      <c r="AT60" s="280">
        <v>0</v>
      </c>
      <c r="AU60" s="280">
        <v>3.8100000000000005</v>
      </c>
      <c r="AV60" s="281">
        <v>9.39</v>
      </c>
      <c r="AW60" s="281">
        <v>0</v>
      </c>
      <c r="AX60" s="281">
        <v>0</v>
      </c>
      <c r="AY60" s="280">
        <v>0</v>
      </c>
      <c r="AZ60" s="280">
        <v>0</v>
      </c>
      <c r="BA60" s="281">
        <v>0</v>
      </c>
      <c r="BB60" s="281">
        <v>1.01</v>
      </c>
      <c r="BC60" s="281">
        <v>0</v>
      </c>
      <c r="BD60" s="281">
        <v>0</v>
      </c>
      <c r="BE60" s="280">
        <v>0</v>
      </c>
      <c r="BF60" s="281">
        <v>0.01</v>
      </c>
      <c r="BG60" s="281">
        <v>0</v>
      </c>
      <c r="BH60" s="281">
        <v>0</v>
      </c>
      <c r="BI60" s="281">
        <v>0.2</v>
      </c>
      <c r="BJ60" s="281">
        <v>0</v>
      </c>
      <c r="BK60" s="281">
        <v>0</v>
      </c>
      <c r="BL60" s="281">
        <v>0</v>
      </c>
      <c r="BM60" s="281">
        <v>0</v>
      </c>
      <c r="BN60" s="281">
        <v>1.01</v>
      </c>
      <c r="BO60" s="281">
        <v>6.7700000000000005</v>
      </c>
      <c r="BP60" s="281">
        <v>0</v>
      </c>
      <c r="BQ60" s="281">
        <v>0</v>
      </c>
      <c r="BR60" s="281">
        <v>0</v>
      </c>
      <c r="BS60" s="281">
        <v>0</v>
      </c>
      <c r="BT60" s="281">
        <v>0</v>
      </c>
      <c r="BU60" s="281">
        <v>0</v>
      </c>
      <c r="BV60" s="281">
        <v>0</v>
      </c>
      <c r="BW60" s="281">
        <v>0.03</v>
      </c>
      <c r="BX60" s="281">
        <v>20.05</v>
      </c>
      <c r="BY60" s="281">
        <v>35.979999999999997</v>
      </c>
      <c r="BZ60" s="281">
        <v>23.27</v>
      </c>
      <c r="CA60" s="281">
        <v>0.61</v>
      </c>
      <c r="CB60" s="281">
        <v>4.62</v>
      </c>
      <c r="CC60" s="281">
        <v>0</v>
      </c>
      <c r="CD60" s="219" t="s">
        <v>248</v>
      </c>
      <c r="CE60" s="237">
        <f t="shared" ref="CE60:CE68" si="6">SUM(C60:CD60)</f>
        <v>1236.6399999999994</v>
      </c>
    </row>
    <row r="61" spans="1:83" x14ac:dyDescent="0.25">
      <c r="A61" s="35" t="s">
        <v>263</v>
      </c>
      <c r="B61" s="16"/>
      <c r="C61" s="20">
        <v>51862790.840000004</v>
      </c>
      <c r="D61" s="20">
        <v>90844286.959999993</v>
      </c>
      <c r="E61" s="20">
        <v>7343075.9800000004</v>
      </c>
      <c r="F61" s="20">
        <v>0</v>
      </c>
      <c r="G61" s="20">
        <v>9880237.4499999993</v>
      </c>
      <c r="H61" s="20">
        <v>14060453.73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288223.11</v>
      </c>
      <c r="O61" s="20">
        <v>0</v>
      </c>
      <c r="P61" s="26">
        <v>23515196.579999998</v>
      </c>
      <c r="Q61" s="26">
        <v>9526340.0199999996</v>
      </c>
      <c r="R61" s="26">
        <v>10728151.119999999</v>
      </c>
      <c r="S61" s="283">
        <v>4813280.22</v>
      </c>
      <c r="T61" s="283">
        <v>0</v>
      </c>
      <c r="U61" s="27">
        <v>12976668.52</v>
      </c>
      <c r="V61" s="26">
        <v>7230394.0300000003</v>
      </c>
      <c r="W61" s="26">
        <v>1728705.46</v>
      </c>
      <c r="X61" s="26">
        <v>4488088.8499999996</v>
      </c>
      <c r="Y61" s="26">
        <v>19016491.16</v>
      </c>
      <c r="Z61" s="26">
        <v>1147618.8999999999</v>
      </c>
      <c r="AA61" s="26">
        <v>499521.72</v>
      </c>
      <c r="AB61" s="284">
        <v>25136468.059999999</v>
      </c>
      <c r="AC61" s="26">
        <v>9771260.1699999999</v>
      </c>
      <c r="AD61" s="26">
        <v>0</v>
      </c>
      <c r="AE61" s="26">
        <v>9530944.6999999993</v>
      </c>
      <c r="AF61" s="26">
        <v>7945642.2599999998</v>
      </c>
      <c r="AG61" s="26">
        <v>30944758.059999999</v>
      </c>
      <c r="AH61" s="26">
        <v>0</v>
      </c>
      <c r="AI61" s="26">
        <v>0</v>
      </c>
      <c r="AJ61" s="26">
        <v>70814025.709999993</v>
      </c>
      <c r="AK61" s="26">
        <v>3451617.76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888094.84</v>
      </c>
      <c r="AV61" s="283">
        <v>4507921.03</v>
      </c>
      <c r="AW61" s="283">
        <v>241703.34</v>
      </c>
      <c r="AX61" s="283">
        <v>0</v>
      </c>
      <c r="AY61" s="26">
        <v>8117458.9199999999</v>
      </c>
      <c r="AZ61" s="26">
        <v>0</v>
      </c>
      <c r="BA61" s="283">
        <v>527542.96</v>
      </c>
      <c r="BB61" s="283">
        <v>10175189.859999999</v>
      </c>
      <c r="BC61" s="283">
        <v>0</v>
      </c>
      <c r="BD61" s="283">
        <v>0</v>
      </c>
      <c r="BE61" s="26">
        <v>7857587.2999999998</v>
      </c>
      <c r="BF61" s="283">
        <v>12056936.369999999</v>
      </c>
      <c r="BG61" s="283">
        <v>34565.870000000003</v>
      </c>
      <c r="BH61" s="283">
        <v>975104.54</v>
      </c>
      <c r="BI61" s="283">
        <v>526605.03</v>
      </c>
      <c r="BJ61" s="283">
        <v>0</v>
      </c>
      <c r="BK61" s="283">
        <v>0</v>
      </c>
      <c r="BL61" s="283">
        <v>0</v>
      </c>
      <c r="BM61" s="283">
        <v>0</v>
      </c>
      <c r="BN61" s="283">
        <v>6634276.9699999997</v>
      </c>
      <c r="BO61" s="283">
        <v>1382466.14</v>
      </c>
      <c r="BP61" s="283">
        <v>653970.15</v>
      </c>
      <c r="BQ61" s="283">
        <v>0</v>
      </c>
      <c r="BR61" s="283">
        <v>0</v>
      </c>
      <c r="BS61" s="283">
        <v>165652.91</v>
      </c>
      <c r="BT61" s="283">
        <v>639123.30000000005</v>
      </c>
      <c r="BU61" s="283">
        <v>0</v>
      </c>
      <c r="BV61" s="283">
        <v>0</v>
      </c>
      <c r="BW61" s="283">
        <v>24119447.91</v>
      </c>
      <c r="BX61" s="283">
        <v>7400536.1100000003</v>
      </c>
      <c r="BY61" s="283">
        <v>12796948.880000001</v>
      </c>
      <c r="BZ61" s="283">
        <v>10958632.99</v>
      </c>
      <c r="CA61" s="283">
        <v>3553816.81</v>
      </c>
      <c r="CB61" s="283">
        <v>918244.57</v>
      </c>
      <c r="CC61" s="283">
        <v>16985135.100000001</v>
      </c>
      <c r="CD61" s="25" t="s">
        <v>248</v>
      </c>
      <c r="CE61" s="28">
        <f t="shared" si="6"/>
        <v>559661203.26999998</v>
      </c>
    </row>
    <row r="62" spans="1:83" x14ac:dyDescent="0.25">
      <c r="A62" s="35" t="s">
        <v>11</v>
      </c>
      <c r="B62" s="16"/>
      <c r="C62" s="28">
        <f t="shared" ref="C62:AH62" si="7">ROUND(C47+C48,0)</f>
        <v>12039943</v>
      </c>
      <c r="D62" s="28">
        <f t="shared" si="7"/>
        <v>18816796</v>
      </c>
      <c r="E62" s="28">
        <f t="shared" si="7"/>
        <v>957369</v>
      </c>
      <c r="F62" s="28">
        <f t="shared" si="7"/>
        <v>0</v>
      </c>
      <c r="G62" s="28">
        <f t="shared" si="7"/>
        <v>2061110</v>
      </c>
      <c r="H62" s="28">
        <f t="shared" si="7"/>
        <v>4374685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101305</v>
      </c>
      <c r="O62" s="28">
        <f t="shared" si="7"/>
        <v>0</v>
      </c>
      <c r="P62" s="28">
        <f t="shared" si="7"/>
        <v>6621216</v>
      </c>
      <c r="Q62" s="28">
        <f t="shared" si="7"/>
        <v>3187017</v>
      </c>
      <c r="R62" s="28">
        <f t="shared" si="7"/>
        <v>3305762</v>
      </c>
      <c r="S62" s="28">
        <f t="shared" si="7"/>
        <v>1216181</v>
      </c>
      <c r="T62" s="28">
        <f t="shared" si="7"/>
        <v>0</v>
      </c>
      <c r="U62" s="28">
        <f t="shared" si="7"/>
        <v>4525495</v>
      </c>
      <c r="V62" s="28">
        <f t="shared" si="7"/>
        <v>2342624</v>
      </c>
      <c r="W62" s="28">
        <f t="shared" si="7"/>
        <v>590567</v>
      </c>
      <c r="X62" s="28">
        <f t="shared" si="7"/>
        <v>954374</v>
      </c>
      <c r="Y62" s="28">
        <f t="shared" si="7"/>
        <v>5933202</v>
      </c>
      <c r="Z62" s="28">
        <f t="shared" si="7"/>
        <v>372659</v>
      </c>
      <c r="AA62" s="28">
        <f t="shared" si="7"/>
        <v>193982</v>
      </c>
      <c r="AB62" s="28">
        <f t="shared" si="7"/>
        <v>9175821</v>
      </c>
      <c r="AC62" s="28">
        <f t="shared" si="7"/>
        <v>2345120</v>
      </c>
      <c r="AD62" s="28">
        <f t="shared" si="7"/>
        <v>0</v>
      </c>
      <c r="AE62" s="28">
        <f t="shared" si="7"/>
        <v>3324672</v>
      </c>
      <c r="AF62" s="28">
        <f t="shared" si="7"/>
        <v>2791609</v>
      </c>
      <c r="AG62" s="28">
        <f t="shared" si="7"/>
        <v>7374513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24218639</v>
      </c>
      <c r="AK62" s="28">
        <f t="shared" si="8"/>
        <v>1160979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311288</v>
      </c>
      <c r="AV62" s="28">
        <f t="shared" si="8"/>
        <v>1569061</v>
      </c>
      <c r="AW62" s="28">
        <f t="shared" si="8"/>
        <v>58250</v>
      </c>
      <c r="AX62" s="28">
        <f t="shared" si="8"/>
        <v>0</v>
      </c>
      <c r="AY62" s="28">
        <f t="shared" si="8"/>
        <v>2952632</v>
      </c>
      <c r="AZ62" s="28">
        <f t="shared" si="8"/>
        <v>0</v>
      </c>
      <c r="BA62" s="28">
        <f t="shared" si="8"/>
        <v>193830</v>
      </c>
      <c r="BB62" s="28">
        <f t="shared" si="8"/>
        <v>3752087</v>
      </c>
      <c r="BC62" s="28">
        <f t="shared" si="8"/>
        <v>0</v>
      </c>
      <c r="BD62" s="28">
        <f t="shared" si="8"/>
        <v>0</v>
      </c>
      <c r="BE62" s="28">
        <f t="shared" si="8"/>
        <v>2995004</v>
      </c>
      <c r="BF62" s="28">
        <f t="shared" si="8"/>
        <v>4380295</v>
      </c>
      <c r="BG62" s="28">
        <f t="shared" si="8"/>
        <v>10181</v>
      </c>
      <c r="BH62" s="28">
        <f t="shared" si="8"/>
        <v>345565</v>
      </c>
      <c r="BI62" s="28">
        <f t="shared" si="8"/>
        <v>185975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2170268</v>
      </c>
      <c r="BO62" s="28">
        <f t="shared" ref="BO62:CC62" si="9">ROUND(BO47+BO48,0)</f>
        <v>504567</v>
      </c>
      <c r="BP62" s="28">
        <f t="shared" si="9"/>
        <v>224448</v>
      </c>
      <c r="BQ62" s="28">
        <f t="shared" si="9"/>
        <v>0</v>
      </c>
      <c r="BR62" s="28">
        <f t="shared" si="9"/>
        <v>0</v>
      </c>
      <c r="BS62" s="28">
        <f t="shared" si="9"/>
        <v>52678</v>
      </c>
      <c r="BT62" s="28">
        <f t="shared" si="9"/>
        <v>191669</v>
      </c>
      <c r="BU62" s="28">
        <f t="shared" si="9"/>
        <v>0</v>
      </c>
      <c r="BV62" s="28">
        <f t="shared" si="9"/>
        <v>0</v>
      </c>
      <c r="BW62" s="28">
        <f t="shared" si="9"/>
        <v>7116838</v>
      </c>
      <c r="BX62" s="28">
        <f t="shared" si="9"/>
        <v>2513962</v>
      </c>
      <c r="BY62" s="28">
        <f t="shared" si="9"/>
        <v>4286730</v>
      </c>
      <c r="BZ62" s="28">
        <f t="shared" si="9"/>
        <v>1983559</v>
      </c>
      <c r="CA62" s="28">
        <f t="shared" si="9"/>
        <v>1154839</v>
      </c>
      <c r="CB62" s="28">
        <f t="shared" si="9"/>
        <v>306192</v>
      </c>
      <c r="CC62" s="28">
        <f t="shared" si="9"/>
        <v>3781896</v>
      </c>
      <c r="CD62" s="25" t="s">
        <v>248</v>
      </c>
      <c r="CE62" s="28">
        <f t="shared" si="6"/>
        <v>159027454</v>
      </c>
    </row>
    <row r="63" spans="1:83" x14ac:dyDescent="0.25">
      <c r="A63" s="35" t="s">
        <v>264</v>
      </c>
      <c r="B63" s="16"/>
      <c r="C63" s="20">
        <v>1375.7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3">
        <v>0</v>
      </c>
      <c r="T63" s="283">
        <v>0</v>
      </c>
      <c r="U63" s="27">
        <v>250</v>
      </c>
      <c r="V63" s="26">
        <v>124395</v>
      </c>
      <c r="W63" s="26">
        <v>0</v>
      </c>
      <c r="X63" s="26">
        <v>0</v>
      </c>
      <c r="Y63" s="26">
        <v>2825.54</v>
      </c>
      <c r="Z63" s="26">
        <v>0</v>
      </c>
      <c r="AA63" s="26">
        <v>0</v>
      </c>
      <c r="AB63" s="284">
        <v>116823.4</v>
      </c>
      <c r="AC63" s="26">
        <v>0</v>
      </c>
      <c r="AD63" s="26">
        <v>0</v>
      </c>
      <c r="AE63" s="26">
        <v>0</v>
      </c>
      <c r="AF63" s="26">
        <v>281520.3</v>
      </c>
      <c r="AG63" s="26">
        <v>42768.75</v>
      </c>
      <c r="AH63" s="26">
        <v>0</v>
      </c>
      <c r="AI63" s="26">
        <v>0</v>
      </c>
      <c r="AJ63" s="26">
        <v>247843.78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3">
        <v>20025</v>
      </c>
      <c r="AW63" s="283">
        <v>0</v>
      </c>
      <c r="AX63" s="283">
        <v>0</v>
      </c>
      <c r="AY63" s="26">
        <v>0</v>
      </c>
      <c r="AZ63" s="26">
        <v>0</v>
      </c>
      <c r="BA63" s="283">
        <v>0</v>
      </c>
      <c r="BB63" s="283">
        <v>288506.42</v>
      </c>
      <c r="BC63" s="283">
        <v>0</v>
      </c>
      <c r="BD63" s="283">
        <v>0</v>
      </c>
      <c r="BE63" s="26">
        <v>0</v>
      </c>
      <c r="BF63" s="283">
        <v>0</v>
      </c>
      <c r="BG63" s="283">
        <v>0</v>
      </c>
      <c r="BH63" s="283">
        <v>0</v>
      </c>
      <c r="BI63" s="283">
        <v>4430.76</v>
      </c>
      <c r="BJ63" s="283">
        <v>495659.65</v>
      </c>
      <c r="BK63" s="283">
        <v>0</v>
      </c>
      <c r="BL63" s="283">
        <v>0</v>
      </c>
      <c r="BM63" s="283">
        <v>0</v>
      </c>
      <c r="BN63" s="283">
        <v>2840655.7</v>
      </c>
      <c r="BO63" s="283">
        <v>0</v>
      </c>
      <c r="BP63" s="283">
        <v>0</v>
      </c>
      <c r="BQ63" s="283">
        <v>0</v>
      </c>
      <c r="BR63" s="283">
        <v>0</v>
      </c>
      <c r="BS63" s="283">
        <v>8532.59</v>
      </c>
      <c r="BT63" s="283">
        <v>0</v>
      </c>
      <c r="BU63" s="283">
        <v>0</v>
      </c>
      <c r="BV63" s="283">
        <v>0</v>
      </c>
      <c r="BW63" s="283">
        <v>39854564.340000004</v>
      </c>
      <c r="BX63" s="283">
        <v>0</v>
      </c>
      <c r="BY63" s="283">
        <v>13160</v>
      </c>
      <c r="BZ63" s="283">
        <v>0</v>
      </c>
      <c r="CA63" s="283">
        <v>350</v>
      </c>
      <c r="CB63" s="283">
        <v>0</v>
      </c>
      <c r="CC63" s="283">
        <v>77925.31</v>
      </c>
      <c r="CD63" s="25" t="s">
        <v>248</v>
      </c>
      <c r="CE63" s="28">
        <f t="shared" si="6"/>
        <v>44421612.24000001</v>
      </c>
    </row>
    <row r="64" spans="1:83" x14ac:dyDescent="0.25">
      <c r="A64" s="35" t="s">
        <v>265</v>
      </c>
      <c r="B64" s="16"/>
      <c r="C64" s="20">
        <v>6479636.2699999996</v>
      </c>
      <c r="D64" s="20">
        <v>6234842.21</v>
      </c>
      <c r="E64" s="20">
        <v>120481</v>
      </c>
      <c r="F64" s="20">
        <v>0</v>
      </c>
      <c r="G64" s="20">
        <v>444612.13</v>
      </c>
      <c r="H64" s="20">
        <v>227956.75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86492.54</v>
      </c>
      <c r="O64" s="20">
        <v>0</v>
      </c>
      <c r="P64" s="26">
        <v>53096089.299999997</v>
      </c>
      <c r="Q64" s="26">
        <v>872347.17</v>
      </c>
      <c r="R64" s="26">
        <v>2538860.13</v>
      </c>
      <c r="S64" s="283">
        <v>2093177.12</v>
      </c>
      <c r="T64" s="283">
        <v>0</v>
      </c>
      <c r="U64" s="27">
        <v>8474049.7699999996</v>
      </c>
      <c r="V64" s="26">
        <v>1761430.38</v>
      </c>
      <c r="W64" s="26">
        <v>187334.86</v>
      </c>
      <c r="X64" s="26">
        <v>709180.7</v>
      </c>
      <c r="Y64" s="26">
        <v>7071374.1399999997</v>
      </c>
      <c r="Z64" s="26">
        <v>277712.99</v>
      </c>
      <c r="AA64" s="26">
        <v>205242.38</v>
      </c>
      <c r="AB64" s="284">
        <v>104346080.27</v>
      </c>
      <c r="AC64" s="26">
        <v>1074418.83</v>
      </c>
      <c r="AD64" s="26">
        <v>3747.15</v>
      </c>
      <c r="AE64" s="26">
        <v>160205.74</v>
      </c>
      <c r="AF64" s="26">
        <v>56873.55</v>
      </c>
      <c r="AG64" s="26">
        <v>4224855.95</v>
      </c>
      <c r="AH64" s="26">
        <v>0</v>
      </c>
      <c r="AI64" s="26">
        <v>0</v>
      </c>
      <c r="AJ64" s="26">
        <v>9165557.1400000006</v>
      </c>
      <c r="AK64" s="26">
        <v>28580.58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2984.19</v>
      </c>
      <c r="AV64" s="283">
        <v>268836.17</v>
      </c>
      <c r="AW64" s="283">
        <v>618052.09</v>
      </c>
      <c r="AX64" s="283">
        <v>0</v>
      </c>
      <c r="AY64" s="26">
        <v>6832822.96</v>
      </c>
      <c r="AZ64" s="26">
        <v>0</v>
      </c>
      <c r="BA64" s="283">
        <v>641130.85</v>
      </c>
      <c r="BB64" s="283">
        <v>166315.82999999999</v>
      </c>
      <c r="BC64" s="283">
        <v>0</v>
      </c>
      <c r="BD64" s="283">
        <v>0</v>
      </c>
      <c r="BE64" s="26">
        <v>2579081.96</v>
      </c>
      <c r="BF64" s="283">
        <v>1572542.55</v>
      </c>
      <c r="BG64" s="283">
        <v>812.67</v>
      </c>
      <c r="BH64" s="283">
        <v>586717.43000000005</v>
      </c>
      <c r="BI64" s="283">
        <v>277232.06</v>
      </c>
      <c r="BJ64" s="283">
        <v>17.28</v>
      </c>
      <c r="BK64" s="283">
        <v>0</v>
      </c>
      <c r="BL64" s="283">
        <v>0</v>
      </c>
      <c r="BM64" s="283">
        <v>513.66</v>
      </c>
      <c r="BN64" s="283">
        <v>3280162.53</v>
      </c>
      <c r="BO64" s="283">
        <v>55137.37</v>
      </c>
      <c r="BP64" s="283">
        <v>1107.22</v>
      </c>
      <c r="BQ64" s="283">
        <v>0</v>
      </c>
      <c r="BR64" s="283">
        <v>0</v>
      </c>
      <c r="BS64" s="283">
        <v>13975.09</v>
      </c>
      <c r="BT64" s="283">
        <v>3696.84</v>
      </c>
      <c r="BU64" s="283">
        <v>0</v>
      </c>
      <c r="BV64" s="283">
        <v>0</v>
      </c>
      <c r="BW64" s="283">
        <v>20267.61</v>
      </c>
      <c r="BX64" s="283">
        <v>180096.65</v>
      </c>
      <c r="BY64" s="283">
        <v>42723.35</v>
      </c>
      <c r="BZ64" s="283">
        <v>4652.32</v>
      </c>
      <c r="CA64" s="283">
        <v>158583.49</v>
      </c>
      <c r="CB64" s="283">
        <v>56425.26</v>
      </c>
      <c r="CC64" s="283">
        <v>1521795.46</v>
      </c>
      <c r="CD64" s="25" t="s">
        <v>248</v>
      </c>
      <c r="CE64" s="28">
        <f t="shared" si="6"/>
        <v>228826821.94000003</v>
      </c>
    </row>
    <row r="65" spans="1:83" x14ac:dyDescent="0.25">
      <c r="A65" s="35" t="s">
        <v>266</v>
      </c>
      <c r="B65" s="16"/>
      <c r="C65" s="20">
        <v>572.52</v>
      </c>
      <c r="D65" s="20">
        <v>68.400000000000006</v>
      </c>
      <c r="E65" s="20">
        <v>0</v>
      </c>
      <c r="F65" s="20">
        <v>0</v>
      </c>
      <c r="G65" s="20">
        <v>41.04</v>
      </c>
      <c r="H65" s="20">
        <v>41.04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30.4</v>
      </c>
      <c r="S65" s="283">
        <v>9670.2000000000007</v>
      </c>
      <c r="T65" s="283">
        <v>0</v>
      </c>
      <c r="U65" s="27">
        <v>1630.86</v>
      </c>
      <c r="V65" s="26">
        <v>2601.7199999999998</v>
      </c>
      <c r="W65" s="26">
        <v>0</v>
      </c>
      <c r="X65" s="26">
        <v>315.48</v>
      </c>
      <c r="Y65" s="26">
        <v>41.04</v>
      </c>
      <c r="Z65" s="26">
        <v>761.59</v>
      </c>
      <c r="AA65" s="26">
        <v>0</v>
      </c>
      <c r="AB65" s="284">
        <v>12614.12</v>
      </c>
      <c r="AC65" s="26">
        <v>0</v>
      </c>
      <c r="AD65" s="26">
        <v>0</v>
      </c>
      <c r="AE65" s="26">
        <v>0</v>
      </c>
      <c r="AF65" s="26">
        <v>567.80999999999995</v>
      </c>
      <c r="AG65" s="26">
        <v>0</v>
      </c>
      <c r="AH65" s="26">
        <v>0</v>
      </c>
      <c r="AI65" s="26">
        <v>0</v>
      </c>
      <c r="AJ65" s="26">
        <v>38392.800000000003</v>
      </c>
      <c r="AK65" s="26">
        <v>-82.79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3">
        <v>510.12</v>
      </c>
      <c r="AW65" s="283">
        <v>0</v>
      </c>
      <c r="AX65" s="283">
        <v>0</v>
      </c>
      <c r="AY65" s="26">
        <v>0</v>
      </c>
      <c r="AZ65" s="26">
        <v>0</v>
      </c>
      <c r="BA65" s="283">
        <v>0</v>
      </c>
      <c r="BB65" s="283">
        <v>0</v>
      </c>
      <c r="BC65" s="283">
        <v>0</v>
      </c>
      <c r="BD65" s="283">
        <v>0</v>
      </c>
      <c r="BE65" s="26">
        <v>5421709.8899999997</v>
      </c>
      <c r="BF65" s="283">
        <v>698773.27</v>
      </c>
      <c r="BG65" s="283">
        <v>20043.419999999998</v>
      </c>
      <c r="BH65" s="283">
        <v>192194.88</v>
      </c>
      <c r="BI65" s="283">
        <v>86.64</v>
      </c>
      <c r="BJ65" s="283">
        <v>0</v>
      </c>
      <c r="BK65" s="283">
        <v>0</v>
      </c>
      <c r="BL65" s="283">
        <v>0</v>
      </c>
      <c r="BM65" s="283">
        <v>0</v>
      </c>
      <c r="BN65" s="283">
        <v>82.08</v>
      </c>
      <c r="BO65" s="283">
        <v>0</v>
      </c>
      <c r="BP65" s="283">
        <v>0</v>
      </c>
      <c r="BQ65" s="283">
        <v>0</v>
      </c>
      <c r="BR65" s="283">
        <v>0</v>
      </c>
      <c r="BS65" s="283">
        <v>0</v>
      </c>
      <c r="BT65" s="283">
        <v>0</v>
      </c>
      <c r="BU65" s="283">
        <v>0</v>
      </c>
      <c r="BV65" s="283">
        <v>0</v>
      </c>
      <c r="BW65" s="283">
        <v>12048.36</v>
      </c>
      <c r="BX65" s="283">
        <v>1127.68</v>
      </c>
      <c r="BY65" s="283">
        <v>209.15</v>
      </c>
      <c r="BZ65" s="283">
        <v>0</v>
      </c>
      <c r="CA65" s="283">
        <v>4602.66</v>
      </c>
      <c r="CB65" s="283">
        <v>0</v>
      </c>
      <c r="CC65" s="283">
        <v>6980536.8200000003</v>
      </c>
      <c r="CD65" s="25" t="s">
        <v>248</v>
      </c>
      <c r="CE65" s="28">
        <f t="shared" si="6"/>
        <v>13399191.199999999</v>
      </c>
    </row>
    <row r="66" spans="1:83" x14ac:dyDescent="0.25">
      <c r="A66" s="35" t="s">
        <v>267</v>
      </c>
      <c r="B66" s="16"/>
      <c r="C66" s="20">
        <v>657535.79</v>
      </c>
      <c r="D66" s="20">
        <v>838308.5</v>
      </c>
      <c r="E66" s="20">
        <v>345.72</v>
      </c>
      <c r="F66" s="20">
        <v>0</v>
      </c>
      <c r="G66" s="20">
        <v>108651.36</v>
      </c>
      <c r="H66" s="20">
        <v>102061.95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3578.8</v>
      </c>
      <c r="O66" s="20">
        <v>0</v>
      </c>
      <c r="P66" s="26">
        <v>1188286.1000000001</v>
      </c>
      <c r="Q66" s="26">
        <v>124924.88</v>
      </c>
      <c r="R66" s="26">
        <v>25938.29</v>
      </c>
      <c r="S66" s="283">
        <v>3890833.01</v>
      </c>
      <c r="T66" s="283">
        <v>0</v>
      </c>
      <c r="U66" s="27">
        <v>11973482.67</v>
      </c>
      <c r="V66" s="26">
        <v>134462.18</v>
      </c>
      <c r="W66" s="26">
        <v>58025.47</v>
      </c>
      <c r="X66" s="26">
        <v>70149.47</v>
      </c>
      <c r="Y66" s="26">
        <v>180553.68</v>
      </c>
      <c r="Z66" s="26">
        <v>5484.55</v>
      </c>
      <c r="AA66" s="26">
        <v>5</v>
      </c>
      <c r="AB66" s="284">
        <v>7038464.3300000001</v>
      </c>
      <c r="AC66" s="26">
        <v>30020.63</v>
      </c>
      <c r="AD66" s="26">
        <v>2182655</v>
      </c>
      <c r="AE66" s="26">
        <v>18215.07</v>
      </c>
      <c r="AF66" s="26">
        <v>94458.87</v>
      </c>
      <c r="AG66" s="26">
        <v>474965.8</v>
      </c>
      <c r="AH66" s="26">
        <v>125297.67</v>
      </c>
      <c r="AI66" s="26">
        <v>0</v>
      </c>
      <c r="AJ66" s="26">
        <v>2496393.2200000002</v>
      </c>
      <c r="AK66" s="26">
        <v>432.78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47592.29</v>
      </c>
      <c r="AV66" s="283">
        <v>7876588.2300000004</v>
      </c>
      <c r="AW66" s="283">
        <v>33259920.920000002</v>
      </c>
      <c r="AX66" s="283">
        <v>0</v>
      </c>
      <c r="AY66" s="26">
        <v>516944.91</v>
      </c>
      <c r="AZ66" s="26">
        <v>0</v>
      </c>
      <c r="BA66" s="283">
        <v>-116722.96</v>
      </c>
      <c r="BB66" s="283">
        <v>9387348.25</v>
      </c>
      <c r="BC66" s="283">
        <v>0</v>
      </c>
      <c r="BD66" s="283">
        <v>3743388.14</v>
      </c>
      <c r="BE66" s="26">
        <v>8962413.8200000003</v>
      </c>
      <c r="BF66" s="283">
        <v>371784.22</v>
      </c>
      <c r="BG66" s="283">
        <v>746005.89</v>
      </c>
      <c r="BH66" s="283">
        <v>83654421.849999994</v>
      </c>
      <c r="BI66" s="283">
        <v>26106</v>
      </c>
      <c r="BJ66" s="283">
        <v>11578019.310000001</v>
      </c>
      <c r="BK66" s="283">
        <v>24976469.850000001</v>
      </c>
      <c r="BL66" s="283">
        <v>6101694.7699999996</v>
      </c>
      <c r="BM66" s="283">
        <v>0</v>
      </c>
      <c r="BN66" s="283">
        <v>6625049.5099999998</v>
      </c>
      <c r="BO66" s="283">
        <v>3053.08</v>
      </c>
      <c r="BP66" s="283">
        <v>358541.22</v>
      </c>
      <c r="BQ66" s="283">
        <v>0</v>
      </c>
      <c r="BR66" s="283">
        <v>7690619.5599999996</v>
      </c>
      <c r="BS66" s="283">
        <v>52927.25</v>
      </c>
      <c r="BT66" s="283">
        <v>4574</v>
      </c>
      <c r="BU66" s="283">
        <v>0</v>
      </c>
      <c r="BV66" s="283">
        <v>7003211.4199999999</v>
      </c>
      <c r="BW66" s="283">
        <v>1347828.97</v>
      </c>
      <c r="BX66" s="283">
        <v>136245.10999999999</v>
      </c>
      <c r="BY66" s="283">
        <v>6598.94</v>
      </c>
      <c r="BZ66" s="283">
        <v>0</v>
      </c>
      <c r="CA66" s="283">
        <v>237093.63</v>
      </c>
      <c r="CB66" s="283">
        <v>3011.54</v>
      </c>
      <c r="CC66" s="283">
        <v>30586534.27</v>
      </c>
      <c r="CD66" s="25" t="s">
        <v>248</v>
      </c>
      <c r="CE66" s="28">
        <f t="shared" si="6"/>
        <v>277010794.78000003</v>
      </c>
    </row>
    <row r="67" spans="1:83" x14ac:dyDescent="0.25">
      <c r="A67" s="35" t="s">
        <v>16</v>
      </c>
      <c r="B67" s="16"/>
      <c r="C67" s="28">
        <f t="shared" ref="C67:AH67" si="10">ROUND(C51+C52,0)</f>
        <v>314516</v>
      </c>
      <c r="D67" s="28">
        <f t="shared" si="10"/>
        <v>230103</v>
      </c>
      <c r="E67" s="28">
        <f t="shared" si="10"/>
        <v>0</v>
      </c>
      <c r="F67" s="28">
        <f t="shared" si="10"/>
        <v>0</v>
      </c>
      <c r="G67" s="28">
        <f t="shared" si="10"/>
        <v>26732</v>
      </c>
      <c r="H67" s="28">
        <f t="shared" si="10"/>
        <v>63555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3051421</v>
      </c>
      <c r="Q67" s="28">
        <f t="shared" si="10"/>
        <v>41707</v>
      </c>
      <c r="R67" s="28">
        <f t="shared" si="10"/>
        <v>155643</v>
      </c>
      <c r="S67" s="28">
        <f t="shared" si="10"/>
        <v>201552</v>
      </c>
      <c r="T67" s="28">
        <f t="shared" si="10"/>
        <v>0</v>
      </c>
      <c r="U67" s="28">
        <f t="shared" si="10"/>
        <v>420165</v>
      </c>
      <c r="V67" s="28">
        <f t="shared" si="10"/>
        <v>367217</v>
      </c>
      <c r="W67" s="28">
        <f t="shared" si="10"/>
        <v>335441</v>
      </c>
      <c r="X67" s="28">
        <f t="shared" si="10"/>
        <v>244701</v>
      </c>
      <c r="Y67" s="28">
        <f t="shared" si="10"/>
        <v>1046932</v>
      </c>
      <c r="Z67" s="28">
        <f t="shared" si="10"/>
        <v>168277</v>
      </c>
      <c r="AA67" s="28">
        <f t="shared" si="10"/>
        <v>244814</v>
      </c>
      <c r="AB67" s="28">
        <f t="shared" si="10"/>
        <v>16303</v>
      </c>
      <c r="AC67" s="28">
        <f t="shared" si="10"/>
        <v>364325</v>
      </c>
      <c r="AD67" s="28">
        <f t="shared" si="10"/>
        <v>69411</v>
      </c>
      <c r="AE67" s="28">
        <f t="shared" si="10"/>
        <v>22679</v>
      </c>
      <c r="AF67" s="28">
        <f t="shared" si="10"/>
        <v>0</v>
      </c>
      <c r="AG67" s="28">
        <f t="shared" si="10"/>
        <v>300351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1517643</v>
      </c>
      <c r="AK67" s="28">
        <f t="shared" si="11"/>
        <v>30377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1017</v>
      </c>
      <c r="AW67" s="28">
        <f t="shared" si="11"/>
        <v>0</v>
      </c>
      <c r="AX67" s="28">
        <f t="shared" si="11"/>
        <v>0</v>
      </c>
      <c r="AY67" s="28">
        <f t="shared" si="11"/>
        <v>130925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2158814</v>
      </c>
      <c r="BF67" s="28">
        <f t="shared" si="11"/>
        <v>52147</v>
      </c>
      <c r="BG67" s="28">
        <f t="shared" si="11"/>
        <v>5843</v>
      </c>
      <c r="BH67" s="28">
        <f t="shared" si="11"/>
        <v>907256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10161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1776</v>
      </c>
      <c r="CA67" s="28">
        <f t="shared" si="12"/>
        <v>9014</v>
      </c>
      <c r="CB67" s="28">
        <f t="shared" si="12"/>
        <v>0</v>
      </c>
      <c r="CC67" s="28">
        <f t="shared" si="12"/>
        <v>28621636</v>
      </c>
      <c r="CD67" s="25" t="s">
        <v>248</v>
      </c>
      <c r="CE67" s="28">
        <f t="shared" si="6"/>
        <v>41132454</v>
      </c>
    </row>
    <row r="68" spans="1:83" x14ac:dyDescent="0.25">
      <c r="A68" s="35" t="s">
        <v>268</v>
      </c>
      <c r="B68" s="28"/>
      <c r="C68" s="20">
        <v>722.26</v>
      </c>
      <c r="D68" s="20">
        <v>88.09</v>
      </c>
      <c r="E68" s="20">
        <v>0</v>
      </c>
      <c r="F68" s="20">
        <v>0</v>
      </c>
      <c r="G68" s="20">
        <v>52.88</v>
      </c>
      <c r="H68" s="20">
        <v>88.1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39177.78</v>
      </c>
      <c r="Q68" s="26">
        <v>0</v>
      </c>
      <c r="R68" s="26">
        <v>92764.59</v>
      </c>
      <c r="S68" s="283">
        <v>2450678.17</v>
      </c>
      <c r="T68" s="283">
        <v>0</v>
      </c>
      <c r="U68" s="27">
        <v>10647.75</v>
      </c>
      <c r="V68" s="26">
        <v>236308.62</v>
      </c>
      <c r="W68" s="26">
        <v>0</v>
      </c>
      <c r="X68" s="26">
        <v>0</v>
      </c>
      <c r="Y68" s="26">
        <v>122227.51</v>
      </c>
      <c r="Z68" s="26">
        <v>44.05</v>
      </c>
      <c r="AA68" s="26">
        <v>44.05</v>
      </c>
      <c r="AB68" s="284">
        <v>1293992.31</v>
      </c>
      <c r="AC68" s="26">
        <v>7345.06</v>
      </c>
      <c r="AD68" s="26">
        <v>0</v>
      </c>
      <c r="AE68" s="26">
        <v>88.09</v>
      </c>
      <c r="AF68" s="26">
        <v>1375.43</v>
      </c>
      <c r="AG68" s="26">
        <v>88.21</v>
      </c>
      <c r="AH68" s="26">
        <v>0</v>
      </c>
      <c r="AI68" s="26">
        <v>0</v>
      </c>
      <c r="AJ68" s="26">
        <v>809136.16</v>
      </c>
      <c r="AK68" s="26">
        <v>44.05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3">
        <v>30108.48</v>
      </c>
      <c r="AW68" s="283">
        <v>0</v>
      </c>
      <c r="AX68" s="283">
        <v>0</v>
      </c>
      <c r="AY68" s="26">
        <v>88.16</v>
      </c>
      <c r="AZ68" s="26">
        <v>0</v>
      </c>
      <c r="BA68" s="283">
        <v>44.05</v>
      </c>
      <c r="BB68" s="283">
        <v>88.09</v>
      </c>
      <c r="BC68" s="283">
        <v>0</v>
      </c>
      <c r="BD68" s="283">
        <v>0</v>
      </c>
      <c r="BE68" s="26">
        <v>101760.16</v>
      </c>
      <c r="BF68" s="283">
        <v>49921.15</v>
      </c>
      <c r="BG68" s="283">
        <v>132.13999999999999</v>
      </c>
      <c r="BH68" s="283">
        <v>1893429.2</v>
      </c>
      <c r="BI68" s="283">
        <v>917.41</v>
      </c>
      <c r="BJ68" s="283">
        <v>0</v>
      </c>
      <c r="BK68" s="283">
        <v>0</v>
      </c>
      <c r="BL68" s="283">
        <v>0</v>
      </c>
      <c r="BM68" s="283">
        <v>0</v>
      </c>
      <c r="BN68" s="283">
        <v>470.06</v>
      </c>
      <c r="BO68" s="283">
        <v>114.69</v>
      </c>
      <c r="BP68" s="283">
        <v>0</v>
      </c>
      <c r="BQ68" s="283">
        <v>0</v>
      </c>
      <c r="BR68" s="283">
        <v>0</v>
      </c>
      <c r="BS68" s="283">
        <v>44.05</v>
      </c>
      <c r="BT68" s="283">
        <v>44.05</v>
      </c>
      <c r="BU68" s="283">
        <v>0</v>
      </c>
      <c r="BV68" s="283">
        <v>0</v>
      </c>
      <c r="BW68" s="283">
        <v>491.31</v>
      </c>
      <c r="BX68" s="283">
        <v>44.11</v>
      </c>
      <c r="BY68" s="283">
        <v>264.58</v>
      </c>
      <c r="BZ68" s="283">
        <v>0</v>
      </c>
      <c r="CA68" s="283">
        <v>955.01</v>
      </c>
      <c r="CB68" s="283">
        <v>0</v>
      </c>
      <c r="CC68" s="283">
        <v>11732737.720000001</v>
      </c>
      <c r="CD68" s="25" t="s">
        <v>248</v>
      </c>
      <c r="CE68" s="28">
        <f t="shared" si="6"/>
        <v>18876567.579999998</v>
      </c>
    </row>
    <row r="69" spans="1:83" x14ac:dyDescent="0.25">
      <c r="A69" s="35" t="s">
        <v>269</v>
      </c>
      <c r="B69" s="16"/>
      <c r="C69" s="28">
        <f t="shared" ref="C69:AH69" si="13">SUM(C70:C83)</f>
        <v>72711.73</v>
      </c>
      <c r="D69" s="28">
        <f t="shared" si="13"/>
        <v>287852.09999999998</v>
      </c>
      <c r="E69" s="28">
        <f t="shared" si="13"/>
        <v>12128.45</v>
      </c>
      <c r="F69" s="28">
        <f t="shared" si="13"/>
        <v>0</v>
      </c>
      <c r="G69" s="28">
        <f t="shared" si="13"/>
        <v>40566.620000000003</v>
      </c>
      <c r="H69" s="28">
        <f t="shared" si="13"/>
        <v>145403.44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8168.97</v>
      </c>
      <c r="Q69" s="28">
        <f t="shared" si="13"/>
        <v>26003.3</v>
      </c>
      <c r="R69" s="28">
        <f t="shared" si="13"/>
        <v>4909.8900000000003</v>
      </c>
      <c r="S69" s="28">
        <f t="shared" si="13"/>
        <v>1194516.9099999999</v>
      </c>
      <c r="T69" s="28">
        <f t="shared" si="13"/>
        <v>0</v>
      </c>
      <c r="U69" s="28">
        <f t="shared" si="13"/>
        <v>119795.99</v>
      </c>
      <c r="V69" s="28">
        <f t="shared" si="13"/>
        <v>19780.27</v>
      </c>
      <c r="W69" s="28">
        <f t="shared" si="13"/>
        <v>0</v>
      </c>
      <c r="X69" s="28">
        <f t="shared" si="13"/>
        <v>16109.23</v>
      </c>
      <c r="Y69" s="28">
        <f t="shared" si="13"/>
        <v>14657.35</v>
      </c>
      <c r="Z69" s="28">
        <f t="shared" si="13"/>
        <v>10107.43</v>
      </c>
      <c r="AA69" s="28">
        <f t="shared" si="13"/>
        <v>494.54</v>
      </c>
      <c r="AB69" s="28">
        <f t="shared" si="13"/>
        <v>367809.99</v>
      </c>
      <c r="AC69" s="28">
        <f t="shared" si="13"/>
        <v>11590.25</v>
      </c>
      <c r="AD69" s="28">
        <f t="shared" si="13"/>
        <v>0</v>
      </c>
      <c r="AE69" s="28">
        <f t="shared" si="13"/>
        <v>1195.08</v>
      </c>
      <c r="AF69" s="28">
        <f t="shared" si="13"/>
        <v>95461.69</v>
      </c>
      <c r="AG69" s="28">
        <f t="shared" si="13"/>
        <v>179198.34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230998.33</v>
      </c>
      <c r="AK69" s="28">
        <f t="shared" si="14"/>
        <v>4301.03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2606.83</v>
      </c>
      <c r="AV69" s="28">
        <f t="shared" si="14"/>
        <v>-197651.43</v>
      </c>
      <c r="AW69" s="28">
        <f t="shared" si="14"/>
        <v>19042</v>
      </c>
      <c r="AX69" s="28">
        <f t="shared" si="14"/>
        <v>0</v>
      </c>
      <c r="AY69" s="28">
        <f t="shared" si="14"/>
        <v>-754797.58</v>
      </c>
      <c r="AZ69" s="28">
        <f t="shared" si="14"/>
        <v>0</v>
      </c>
      <c r="BA69" s="28">
        <f t="shared" si="14"/>
        <v>0</v>
      </c>
      <c r="BB69" s="28">
        <f t="shared" si="14"/>
        <v>145360.28</v>
      </c>
      <c r="BC69" s="28">
        <f t="shared" si="14"/>
        <v>0</v>
      </c>
      <c r="BD69" s="28">
        <f t="shared" si="14"/>
        <v>0</v>
      </c>
      <c r="BE69" s="28">
        <f t="shared" si="14"/>
        <v>83642.64</v>
      </c>
      <c r="BF69" s="28">
        <f t="shared" si="14"/>
        <v>5270.27</v>
      </c>
      <c r="BG69" s="28">
        <f t="shared" si="14"/>
        <v>0</v>
      </c>
      <c r="BH69" s="28">
        <f t="shared" si="14"/>
        <v>47952.67</v>
      </c>
      <c r="BI69" s="28">
        <f t="shared" si="14"/>
        <v>11255.36</v>
      </c>
      <c r="BJ69" s="28">
        <f t="shared" si="14"/>
        <v>0</v>
      </c>
      <c r="BK69" s="28">
        <f t="shared" si="14"/>
        <v>-1696.21</v>
      </c>
      <c r="BL69" s="28">
        <f t="shared" si="14"/>
        <v>0</v>
      </c>
      <c r="BM69" s="28">
        <f t="shared" si="14"/>
        <v>0</v>
      </c>
      <c r="BN69" s="28">
        <f t="shared" si="14"/>
        <v>914045.19</v>
      </c>
      <c r="BO69" s="28">
        <f t="shared" ref="BO69:CD69" si="15">SUM(BO70:BO83)</f>
        <v>108.89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1864.68</v>
      </c>
      <c r="BT69" s="28">
        <f t="shared" si="15"/>
        <v>11860.13</v>
      </c>
      <c r="BU69" s="28">
        <f t="shared" si="15"/>
        <v>0</v>
      </c>
      <c r="BV69" s="28">
        <f t="shared" si="15"/>
        <v>0</v>
      </c>
      <c r="BW69" s="28">
        <f t="shared" si="15"/>
        <v>35932</v>
      </c>
      <c r="BX69" s="28">
        <f t="shared" si="15"/>
        <v>805203.39</v>
      </c>
      <c r="BY69" s="28">
        <f t="shared" si="15"/>
        <v>56739.33</v>
      </c>
      <c r="BZ69" s="28">
        <f t="shared" si="15"/>
        <v>-545</v>
      </c>
      <c r="CA69" s="28">
        <f t="shared" si="15"/>
        <v>1096249.76</v>
      </c>
      <c r="CB69" s="28">
        <f t="shared" si="15"/>
        <v>51832.38</v>
      </c>
      <c r="CC69" s="28">
        <f t="shared" si="15"/>
        <v>27239.57</v>
      </c>
      <c r="CD69" s="28">
        <f t="shared" si="15"/>
        <v>0</v>
      </c>
      <c r="CE69" s="28">
        <f>SUM(CE70:CE84)</f>
        <v>115628577.30000001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72711.73</v>
      </c>
      <c r="D83" s="20">
        <v>287852.09999999998</v>
      </c>
      <c r="E83" s="26">
        <v>12128.45</v>
      </c>
      <c r="F83" s="26">
        <v>0</v>
      </c>
      <c r="G83" s="20">
        <v>40566.620000000003</v>
      </c>
      <c r="H83" s="20">
        <v>145403.44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8168.97</v>
      </c>
      <c r="Q83" s="26">
        <v>26003.3</v>
      </c>
      <c r="R83" s="27">
        <v>4909.8900000000003</v>
      </c>
      <c r="S83" s="26">
        <v>1194516.9099999999</v>
      </c>
      <c r="T83" s="20">
        <v>0</v>
      </c>
      <c r="U83" s="26">
        <v>119795.99</v>
      </c>
      <c r="V83" s="26">
        <v>19780.27</v>
      </c>
      <c r="W83" s="20">
        <v>0</v>
      </c>
      <c r="X83" s="26">
        <v>16109.23</v>
      </c>
      <c r="Y83" s="26">
        <v>14657.35</v>
      </c>
      <c r="Z83" s="26">
        <v>10107.43</v>
      </c>
      <c r="AA83" s="26">
        <v>494.54</v>
      </c>
      <c r="AB83" s="26">
        <v>367809.99</v>
      </c>
      <c r="AC83" s="26">
        <v>11590.25</v>
      </c>
      <c r="AD83" s="26">
        <v>0</v>
      </c>
      <c r="AE83" s="26">
        <v>1195.08</v>
      </c>
      <c r="AF83" s="26">
        <v>95461.69</v>
      </c>
      <c r="AG83" s="26">
        <v>179198.34</v>
      </c>
      <c r="AH83" s="26">
        <v>0</v>
      </c>
      <c r="AI83" s="26">
        <v>0</v>
      </c>
      <c r="AJ83" s="26">
        <v>230998.33</v>
      </c>
      <c r="AK83" s="26">
        <v>4301.03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2606.83</v>
      </c>
      <c r="AV83" s="26">
        <v>-197651.43</v>
      </c>
      <c r="AW83" s="26">
        <v>19042</v>
      </c>
      <c r="AX83" s="26">
        <v>0</v>
      </c>
      <c r="AY83" s="26">
        <v>-754797.58</v>
      </c>
      <c r="AZ83" s="26">
        <v>0</v>
      </c>
      <c r="BA83" s="26">
        <v>0</v>
      </c>
      <c r="BB83" s="26">
        <v>145360.28</v>
      </c>
      <c r="BC83" s="26">
        <v>0</v>
      </c>
      <c r="BD83" s="26">
        <v>0</v>
      </c>
      <c r="BE83" s="26">
        <v>83642.64</v>
      </c>
      <c r="BF83" s="26">
        <v>5270.27</v>
      </c>
      <c r="BG83" s="26">
        <v>0</v>
      </c>
      <c r="BH83" s="27">
        <v>47952.67</v>
      </c>
      <c r="BI83" s="26">
        <v>11255.36</v>
      </c>
      <c r="BJ83" s="26">
        <v>0</v>
      </c>
      <c r="BK83" s="26">
        <v>-1696.21</v>
      </c>
      <c r="BL83" s="26">
        <v>0</v>
      </c>
      <c r="BM83" s="26">
        <v>0</v>
      </c>
      <c r="BN83" s="26">
        <v>914045.19</v>
      </c>
      <c r="BO83" s="26">
        <v>108.89</v>
      </c>
      <c r="BP83" s="26">
        <v>0</v>
      </c>
      <c r="BQ83" s="26">
        <v>0</v>
      </c>
      <c r="BR83" s="26">
        <v>0</v>
      </c>
      <c r="BS83" s="26">
        <v>1864.68</v>
      </c>
      <c r="BT83" s="26">
        <v>11860.13</v>
      </c>
      <c r="BU83" s="26">
        <v>0</v>
      </c>
      <c r="BV83" s="26">
        <v>0</v>
      </c>
      <c r="BW83" s="26">
        <v>35932</v>
      </c>
      <c r="BX83" s="26">
        <v>805203.39</v>
      </c>
      <c r="BY83" s="26">
        <v>56739.33</v>
      </c>
      <c r="BZ83" s="26">
        <v>-545</v>
      </c>
      <c r="CA83" s="26">
        <v>1096249.76</v>
      </c>
      <c r="CB83" s="26">
        <v>51832.38</v>
      </c>
      <c r="CC83" s="26">
        <v>27239.57</v>
      </c>
      <c r="CD83" s="31">
        <v>0</v>
      </c>
      <c r="CE83" s="28">
        <f t="shared" si="16"/>
        <v>5225276.08</v>
      </c>
    </row>
    <row r="84" spans="1:84" x14ac:dyDescent="0.25">
      <c r="A84" s="35" t="s">
        <v>284</v>
      </c>
      <c r="B84" s="16"/>
      <c r="C84" s="20">
        <v>2106.15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290114.65000000002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115222.25</v>
      </c>
      <c r="V84" s="20">
        <v>313.7</v>
      </c>
      <c r="W84" s="20">
        <v>0</v>
      </c>
      <c r="X84" s="20">
        <v>0</v>
      </c>
      <c r="Y84" s="20">
        <v>31160.6</v>
      </c>
      <c r="Z84" s="20">
        <v>0</v>
      </c>
      <c r="AA84" s="20">
        <v>0</v>
      </c>
      <c r="AB84" s="20">
        <v>39220691.840000004</v>
      </c>
      <c r="AC84" s="20">
        <v>5748.35</v>
      </c>
      <c r="AD84" s="20">
        <v>0</v>
      </c>
      <c r="AE84" s="20">
        <v>0</v>
      </c>
      <c r="AF84" s="20">
        <v>7140205.2800000003</v>
      </c>
      <c r="AG84" s="20">
        <v>298653.99</v>
      </c>
      <c r="AH84" s="20">
        <v>0</v>
      </c>
      <c r="AI84" s="20">
        <v>0</v>
      </c>
      <c r="AJ84" s="20">
        <v>19594261.870000001</v>
      </c>
      <c r="AK84" s="20">
        <v>402385.64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1067875.56</v>
      </c>
      <c r="AV84" s="20">
        <v>6407448.1600000001</v>
      </c>
      <c r="AW84" s="20">
        <v>0</v>
      </c>
      <c r="AX84" s="20">
        <v>0</v>
      </c>
      <c r="AY84" s="20">
        <v>4387596.7</v>
      </c>
      <c r="AZ84" s="20">
        <v>0</v>
      </c>
      <c r="BA84" s="20">
        <v>0</v>
      </c>
      <c r="BB84" s="20">
        <v>2453884.9700000002</v>
      </c>
      <c r="BC84" s="20">
        <v>0</v>
      </c>
      <c r="BD84" s="20">
        <v>0</v>
      </c>
      <c r="BE84" s="20">
        <v>173267.88</v>
      </c>
      <c r="BF84" s="20">
        <v>305.10000000000002</v>
      </c>
      <c r="BG84" s="20">
        <v>0</v>
      </c>
      <c r="BH84" s="20">
        <v>6451238.7400000002</v>
      </c>
      <c r="BI84" s="20">
        <v>878004.27</v>
      </c>
      <c r="BJ84" s="20">
        <v>0</v>
      </c>
      <c r="BK84" s="20">
        <v>205716.01</v>
      </c>
      <c r="BL84" s="20">
        <v>0</v>
      </c>
      <c r="BM84" s="20">
        <v>0</v>
      </c>
      <c r="BN84" s="20">
        <v>-38250</v>
      </c>
      <c r="BO84" s="20">
        <v>0</v>
      </c>
      <c r="BP84" s="20">
        <v>0</v>
      </c>
      <c r="BQ84" s="20">
        <v>0</v>
      </c>
      <c r="BR84" s="20">
        <v>0</v>
      </c>
      <c r="BS84" s="20">
        <v>25775.73</v>
      </c>
      <c r="BT84" s="20">
        <v>0</v>
      </c>
      <c r="BU84" s="20">
        <v>0</v>
      </c>
      <c r="BV84" s="20">
        <v>0</v>
      </c>
      <c r="BW84" s="20">
        <v>0</v>
      </c>
      <c r="BX84" s="20">
        <v>309650.33</v>
      </c>
      <c r="BY84" s="20">
        <v>838.2</v>
      </c>
      <c r="BZ84" s="20">
        <v>0</v>
      </c>
      <c r="CA84" s="20">
        <v>71568.039999999994</v>
      </c>
      <c r="CB84" s="20">
        <v>181305.45</v>
      </c>
      <c r="CC84" s="20">
        <v>20726211.760000002</v>
      </c>
      <c r="CD84" s="31">
        <v>0</v>
      </c>
      <c r="CE84" s="28">
        <f t="shared" si="16"/>
        <v>110403301.22000001</v>
      </c>
    </row>
    <row r="85" spans="1:84" x14ac:dyDescent="0.25">
      <c r="A85" s="35" t="s">
        <v>285</v>
      </c>
      <c r="B85" s="28"/>
      <c r="C85" s="28">
        <f t="shared" ref="C85:AH85" si="17">SUM(C61:C69)-C84</f>
        <v>71427697.960000008</v>
      </c>
      <c r="D85" s="28">
        <f t="shared" si="17"/>
        <v>117252345.25999999</v>
      </c>
      <c r="E85" s="28">
        <f t="shared" si="17"/>
        <v>8433400.1500000004</v>
      </c>
      <c r="F85" s="28">
        <f t="shared" si="17"/>
        <v>0</v>
      </c>
      <c r="G85" s="28">
        <f t="shared" si="17"/>
        <v>12562003.479999999</v>
      </c>
      <c r="H85" s="28">
        <f t="shared" si="17"/>
        <v>18974245.010000002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189484.79999999993</v>
      </c>
      <c r="O85" s="28">
        <f t="shared" si="17"/>
        <v>0</v>
      </c>
      <c r="P85" s="28">
        <f t="shared" si="17"/>
        <v>87519555.729999989</v>
      </c>
      <c r="Q85" s="28">
        <f t="shared" si="17"/>
        <v>13778339.370000001</v>
      </c>
      <c r="R85" s="28">
        <f t="shared" si="17"/>
        <v>16852059.420000002</v>
      </c>
      <c r="S85" s="28">
        <f t="shared" si="17"/>
        <v>15869888.630000001</v>
      </c>
      <c r="T85" s="28">
        <f t="shared" si="17"/>
        <v>0</v>
      </c>
      <c r="U85" s="28">
        <f t="shared" si="17"/>
        <v>38386963.310000002</v>
      </c>
      <c r="V85" s="28">
        <f t="shared" si="17"/>
        <v>12218899.5</v>
      </c>
      <c r="W85" s="28">
        <f t="shared" si="17"/>
        <v>2900073.79</v>
      </c>
      <c r="X85" s="28">
        <f t="shared" si="17"/>
        <v>6482918.7300000004</v>
      </c>
      <c r="Y85" s="28">
        <f t="shared" si="17"/>
        <v>33357143.82</v>
      </c>
      <c r="Z85" s="28">
        <f t="shared" si="17"/>
        <v>1982665.51</v>
      </c>
      <c r="AA85" s="28">
        <f t="shared" si="17"/>
        <v>1144103.6900000002</v>
      </c>
      <c r="AB85" s="28">
        <f t="shared" si="17"/>
        <v>108283684.64000002</v>
      </c>
      <c r="AC85" s="28">
        <f t="shared" si="17"/>
        <v>13598331.590000002</v>
      </c>
      <c r="AD85" s="28">
        <f t="shared" si="17"/>
        <v>2255813.15</v>
      </c>
      <c r="AE85" s="28">
        <f t="shared" si="17"/>
        <v>13057999.68</v>
      </c>
      <c r="AF85" s="28">
        <f t="shared" si="17"/>
        <v>4127303.63</v>
      </c>
      <c r="AG85" s="28">
        <f t="shared" si="17"/>
        <v>43242845.120000005</v>
      </c>
      <c r="AH85" s="28">
        <f t="shared" si="17"/>
        <v>125297.67</v>
      </c>
      <c r="AI85" s="28">
        <f t="shared" ref="AI85:BN85" si="18">SUM(AI61:AI69)-AI84</f>
        <v>0</v>
      </c>
      <c r="AJ85" s="28">
        <f t="shared" si="18"/>
        <v>89944367.269999981</v>
      </c>
      <c r="AK85" s="28">
        <f t="shared" si="18"/>
        <v>4273863.7700000005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184690.58999999985</v>
      </c>
      <c r="AV85" s="28">
        <f t="shared" si="18"/>
        <v>7668967.4400000013</v>
      </c>
      <c r="AW85" s="28">
        <f t="shared" si="18"/>
        <v>34196968.350000001</v>
      </c>
      <c r="AX85" s="28">
        <f t="shared" si="18"/>
        <v>0</v>
      </c>
      <c r="AY85" s="28">
        <f t="shared" si="18"/>
        <v>13408477.670000002</v>
      </c>
      <c r="AZ85" s="28">
        <f t="shared" si="18"/>
        <v>0</v>
      </c>
      <c r="BA85" s="28">
        <f t="shared" si="18"/>
        <v>1245824.9000000001</v>
      </c>
      <c r="BB85" s="28">
        <f t="shared" si="18"/>
        <v>21461010.760000002</v>
      </c>
      <c r="BC85" s="28">
        <f t="shared" si="18"/>
        <v>0</v>
      </c>
      <c r="BD85" s="28">
        <f t="shared" si="18"/>
        <v>3743388.14</v>
      </c>
      <c r="BE85" s="28">
        <f t="shared" si="18"/>
        <v>29986745.890000004</v>
      </c>
      <c r="BF85" s="28">
        <f t="shared" si="18"/>
        <v>19187364.729999993</v>
      </c>
      <c r="BG85" s="28">
        <f t="shared" si="18"/>
        <v>817583.99</v>
      </c>
      <c r="BH85" s="28">
        <f t="shared" si="18"/>
        <v>82151402.829999998</v>
      </c>
      <c r="BI85" s="28">
        <f t="shared" si="18"/>
        <v>154603.99000000011</v>
      </c>
      <c r="BJ85" s="28">
        <f t="shared" si="18"/>
        <v>12073696.24</v>
      </c>
      <c r="BK85" s="28">
        <f t="shared" si="18"/>
        <v>24769057.629999999</v>
      </c>
      <c r="BL85" s="28">
        <f t="shared" si="18"/>
        <v>6101694.7699999996</v>
      </c>
      <c r="BM85" s="28">
        <f t="shared" si="18"/>
        <v>513.66</v>
      </c>
      <c r="BN85" s="28">
        <f t="shared" si="18"/>
        <v>22503260.039999999</v>
      </c>
      <c r="BO85" s="28">
        <f t="shared" ref="BO85:CD85" si="19">SUM(BO61:BO69)-BO84</f>
        <v>1945447.17</v>
      </c>
      <c r="BP85" s="28">
        <f t="shared" si="19"/>
        <v>1238066.5899999999</v>
      </c>
      <c r="BQ85" s="28">
        <f t="shared" si="19"/>
        <v>0</v>
      </c>
      <c r="BR85" s="28">
        <f t="shared" si="19"/>
        <v>7690619.5599999996</v>
      </c>
      <c r="BS85" s="28">
        <f t="shared" si="19"/>
        <v>269898.83999999997</v>
      </c>
      <c r="BT85" s="28">
        <f t="shared" si="19"/>
        <v>850967.32000000007</v>
      </c>
      <c r="BU85" s="28">
        <f t="shared" si="19"/>
        <v>0</v>
      </c>
      <c r="BV85" s="28">
        <f t="shared" si="19"/>
        <v>7013372.4199999999</v>
      </c>
      <c r="BW85" s="28">
        <f t="shared" si="19"/>
        <v>72507418.5</v>
      </c>
      <c r="BX85" s="28">
        <f t="shared" si="19"/>
        <v>10727564.719999999</v>
      </c>
      <c r="BY85" s="28">
        <f t="shared" si="19"/>
        <v>17202536.030000001</v>
      </c>
      <c r="BZ85" s="28">
        <f t="shared" si="19"/>
        <v>12948075.310000001</v>
      </c>
      <c r="CA85" s="28">
        <f t="shared" si="19"/>
        <v>6143936.3200000003</v>
      </c>
      <c r="CB85" s="28">
        <f t="shared" si="19"/>
        <v>1154400.2999999998</v>
      </c>
      <c r="CC85" s="28">
        <f t="shared" si="19"/>
        <v>79589224.489999995</v>
      </c>
      <c r="CD85" s="28">
        <f t="shared" si="19"/>
        <v>0</v>
      </c>
      <c r="CE85" s="28">
        <f t="shared" si="16"/>
        <v>1237178073.8699996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324909658.67000002</v>
      </c>
      <c r="D87" s="20">
        <v>320157244.38999999</v>
      </c>
      <c r="E87" s="20">
        <v>31930771.670000002</v>
      </c>
      <c r="F87" s="20">
        <v>0</v>
      </c>
      <c r="G87" s="20">
        <v>40471800.960000001</v>
      </c>
      <c r="H87" s="20">
        <v>72462790.659999996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537075936.13</v>
      </c>
      <c r="Q87" s="20">
        <v>14230919.32</v>
      </c>
      <c r="R87" s="20">
        <v>62672674.270000003</v>
      </c>
      <c r="S87" s="20">
        <v>0</v>
      </c>
      <c r="T87" s="20">
        <v>0</v>
      </c>
      <c r="U87" s="20">
        <v>128832432.15000001</v>
      </c>
      <c r="V87" s="20">
        <v>57036203.399999999</v>
      </c>
      <c r="W87" s="20">
        <v>14276735.59</v>
      </c>
      <c r="X87" s="20">
        <v>119102526.17</v>
      </c>
      <c r="Y87" s="20">
        <v>102594721.98</v>
      </c>
      <c r="Z87" s="20">
        <v>79432.679999999993</v>
      </c>
      <c r="AA87" s="20">
        <v>1137587.3600000001</v>
      </c>
      <c r="AB87" s="20">
        <v>163394570.88999999</v>
      </c>
      <c r="AC87" s="20">
        <v>20778528.460000001</v>
      </c>
      <c r="AD87" s="20">
        <v>12248080.66</v>
      </c>
      <c r="AE87" s="20">
        <v>25911614.239999998</v>
      </c>
      <c r="AF87" s="20">
        <v>61195.14</v>
      </c>
      <c r="AG87" s="20">
        <v>98438433.219999999</v>
      </c>
      <c r="AH87" s="20">
        <v>0</v>
      </c>
      <c r="AI87" s="20">
        <v>0</v>
      </c>
      <c r="AJ87" s="20">
        <v>10974627.35</v>
      </c>
      <c r="AK87" s="20">
        <v>15275120.609999999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759</v>
      </c>
      <c r="AV87" s="20">
        <v>3494749.31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2177549114.2800002</v>
      </c>
    </row>
    <row r="88" spans="1:84" x14ac:dyDescent="0.25">
      <c r="A88" s="22" t="s">
        <v>288</v>
      </c>
      <c r="B88" s="16"/>
      <c r="C88" s="20">
        <v>1584674.3</v>
      </c>
      <c r="D88" s="20">
        <v>16859114.48</v>
      </c>
      <c r="E88" s="20">
        <v>2726999.25</v>
      </c>
      <c r="F88" s="20">
        <v>0</v>
      </c>
      <c r="G88" s="20">
        <v>402316.64</v>
      </c>
      <c r="H88" s="20">
        <v>163319.70000000001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188780384.03999999</v>
      </c>
      <c r="Q88" s="20">
        <v>12828409.619999999</v>
      </c>
      <c r="R88" s="20">
        <v>58945603.420000002</v>
      </c>
      <c r="S88" s="20">
        <v>0</v>
      </c>
      <c r="T88" s="20">
        <v>0</v>
      </c>
      <c r="U88" s="20">
        <v>105077513.31999999</v>
      </c>
      <c r="V88" s="20">
        <v>35412134.060000002</v>
      </c>
      <c r="W88" s="20">
        <v>24843897.940000001</v>
      </c>
      <c r="X88" s="20">
        <v>88486408.969999999</v>
      </c>
      <c r="Y88" s="20">
        <v>73682398.590000004</v>
      </c>
      <c r="Z88" s="20">
        <v>26990325.16</v>
      </c>
      <c r="AA88" s="20">
        <v>2507882.15</v>
      </c>
      <c r="AB88" s="20">
        <v>201525071.86000001</v>
      </c>
      <c r="AC88" s="20">
        <v>4296276.57</v>
      </c>
      <c r="AD88" s="20">
        <v>385208.96</v>
      </c>
      <c r="AE88" s="20">
        <v>9263930.9800000004</v>
      </c>
      <c r="AF88" s="20">
        <v>8988870.5700000003</v>
      </c>
      <c r="AG88" s="20">
        <v>166831453.38</v>
      </c>
      <c r="AH88" s="20">
        <v>0</v>
      </c>
      <c r="AI88" s="20">
        <v>0</v>
      </c>
      <c r="AJ88" s="20">
        <v>173260583.94999999</v>
      </c>
      <c r="AK88" s="20">
        <v>69581.05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458664.23</v>
      </c>
      <c r="AV88" s="20">
        <v>1788246.66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1206159269.8500001</v>
      </c>
    </row>
    <row r="89" spans="1:84" x14ac:dyDescent="0.25">
      <c r="A89" s="22" t="s">
        <v>289</v>
      </c>
      <c r="B89" s="16"/>
      <c r="C89" s="28">
        <f t="shared" ref="C89:AV89" si="21">C87+C88</f>
        <v>326494332.97000003</v>
      </c>
      <c r="D89" s="28">
        <f t="shared" si="21"/>
        <v>337016358.87</v>
      </c>
      <c r="E89" s="28">
        <f t="shared" si="21"/>
        <v>34657770.920000002</v>
      </c>
      <c r="F89" s="28">
        <f t="shared" si="21"/>
        <v>0</v>
      </c>
      <c r="G89" s="28">
        <f t="shared" si="21"/>
        <v>40874117.600000001</v>
      </c>
      <c r="H89" s="28">
        <f t="shared" si="21"/>
        <v>72626110.359999999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725856320.16999996</v>
      </c>
      <c r="Q89" s="28">
        <f t="shared" si="21"/>
        <v>27059328.939999998</v>
      </c>
      <c r="R89" s="28">
        <f t="shared" si="21"/>
        <v>121618277.69</v>
      </c>
      <c r="S89" s="28">
        <f t="shared" si="21"/>
        <v>0</v>
      </c>
      <c r="T89" s="28">
        <f t="shared" si="21"/>
        <v>0</v>
      </c>
      <c r="U89" s="28">
        <f t="shared" si="21"/>
        <v>233909945.47</v>
      </c>
      <c r="V89" s="28">
        <f t="shared" si="21"/>
        <v>92448337.460000008</v>
      </c>
      <c r="W89" s="28">
        <f t="shared" si="21"/>
        <v>39120633.530000001</v>
      </c>
      <c r="X89" s="28">
        <f t="shared" si="21"/>
        <v>207588935.13999999</v>
      </c>
      <c r="Y89" s="28">
        <f t="shared" si="21"/>
        <v>176277120.56999999</v>
      </c>
      <c r="Z89" s="28">
        <f t="shared" si="21"/>
        <v>27069757.84</v>
      </c>
      <c r="AA89" s="28">
        <f t="shared" si="21"/>
        <v>3645469.51</v>
      </c>
      <c r="AB89" s="28">
        <f t="shared" si="21"/>
        <v>364919642.75</v>
      </c>
      <c r="AC89" s="28">
        <f t="shared" si="21"/>
        <v>25074805.030000001</v>
      </c>
      <c r="AD89" s="28">
        <f t="shared" si="21"/>
        <v>12633289.620000001</v>
      </c>
      <c r="AE89" s="28">
        <f t="shared" si="21"/>
        <v>35175545.219999999</v>
      </c>
      <c r="AF89" s="28">
        <f t="shared" si="21"/>
        <v>9050065.7100000009</v>
      </c>
      <c r="AG89" s="28">
        <f t="shared" si="21"/>
        <v>265269886.59999999</v>
      </c>
      <c r="AH89" s="28">
        <f t="shared" si="21"/>
        <v>0</v>
      </c>
      <c r="AI89" s="28">
        <f t="shared" si="21"/>
        <v>0</v>
      </c>
      <c r="AJ89" s="28">
        <f t="shared" si="21"/>
        <v>184235211.29999998</v>
      </c>
      <c r="AK89" s="28">
        <f t="shared" si="21"/>
        <v>15344701.66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459423.23</v>
      </c>
      <c r="AV89" s="28">
        <f t="shared" si="21"/>
        <v>5282995.97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3383708384.1300001</v>
      </c>
    </row>
    <row r="90" spans="1:84" x14ac:dyDescent="0.25">
      <c r="A90" s="35" t="s">
        <v>290</v>
      </c>
      <c r="B90" s="28"/>
      <c r="C90" s="20">
        <v>55295.859224047577</v>
      </c>
      <c r="D90" s="20">
        <v>106911.89484957345</v>
      </c>
      <c r="E90" s="20">
        <v>2686.8333333333335</v>
      </c>
      <c r="F90" s="20">
        <v>0</v>
      </c>
      <c r="G90" s="20">
        <v>12696</v>
      </c>
      <c r="H90" s="20">
        <v>32043.957269696693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51073.353503598992</v>
      </c>
      <c r="Q90" s="20">
        <v>14668.5</v>
      </c>
      <c r="R90" s="20">
        <v>7105</v>
      </c>
      <c r="S90" s="20">
        <v>40470</v>
      </c>
      <c r="T90" s="20">
        <v>0</v>
      </c>
      <c r="U90" s="20">
        <v>54685</v>
      </c>
      <c r="V90" s="20">
        <v>19816.333333333332</v>
      </c>
      <c r="W90" s="20">
        <v>2089</v>
      </c>
      <c r="X90" s="20">
        <v>2296</v>
      </c>
      <c r="Y90" s="20">
        <v>35980.5</v>
      </c>
      <c r="Z90" s="20">
        <v>2863</v>
      </c>
      <c r="AA90" s="20">
        <v>1694</v>
      </c>
      <c r="AB90" s="20">
        <v>22315.147144625178</v>
      </c>
      <c r="AC90" s="20">
        <v>3706</v>
      </c>
      <c r="AD90" s="20">
        <v>1602</v>
      </c>
      <c r="AE90" s="20">
        <v>13116.745103147954</v>
      </c>
      <c r="AF90" s="20">
        <v>16762.965295960406</v>
      </c>
      <c r="AG90" s="20">
        <v>26332</v>
      </c>
      <c r="AH90" s="20">
        <v>985</v>
      </c>
      <c r="AI90" s="20">
        <v>0</v>
      </c>
      <c r="AJ90" s="20">
        <v>295447.13832190912</v>
      </c>
      <c r="AK90" s="20">
        <v>6636.8012704384982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3845</v>
      </c>
      <c r="AW90" s="20">
        <v>0</v>
      </c>
      <c r="AX90" s="20">
        <v>0</v>
      </c>
      <c r="AY90" s="20">
        <v>29757</v>
      </c>
      <c r="AZ90" s="20">
        <v>0</v>
      </c>
      <c r="BA90" s="20">
        <v>6263</v>
      </c>
      <c r="BB90" s="20">
        <v>8881</v>
      </c>
      <c r="BC90" s="20">
        <v>0</v>
      </c>
      <c r="BD90" s="20">
        <v>5247</v>
      </c>
      <c r="BE90" s="20">
        <v>230968</v>
      </c>
      <c r="BF90" s="20">
        <v>31772</v>
      </c>
      <c r="BG90" s="20">
        <v>8899</v>
      </c>
      <c r="BH90" s="20">
        <v>114056</v>
      </c>
      <c r="BI90" s="20">
        <v>29132.5</v>
      </c>
      <c r="BJ90" s="20">
        <v>6285</v>
      </c>
      <c r="BK90" s="20">
        <v>7475.8</v>
      </c>
      <c r="BL90" s="20">
        <v>2948.5</v>
      </c>
      <c r="BM90" s="20">
        <v>0</v>
      </c>
      <c r="BN90" s="20">
        <v>6254.666666666667</v>
      </c>
      <c r="BO90" s="20">
        <v>1460</v>
      </c>
      <c r="BP90" s="20">
        <v>1208.6666666666667</v>
      </c>
      <c r="BQ90" s="20">
        <v>0</v>
      </c>
      <c r="BR90" s="20">
        <v>7011.6666666666661</v>
      </c>
      <c r="BS90" s="20">
        <v>654</v>
      </c>
      <c r="BT90" s="20">
        <v>1057</v>
      </c>
      <c r="BU90" s="20">
        <v>0</v>
      </c>
      <c r="BV90" s="20">
        <v>27109</v>
      </c>
      <c r="BW90" s="20">
        <v>128460</v>
      </c>
      <c r="BX90" s="20">
        <v>9435.3333333333339</v>
      </c>
      <c r="BY90" s="20">
        <v>3634.5</v>
      </c>
      <c r="BZ90" s="20">
        <v>1806</v>
      </c>
      <c r="CA90" s="20">
        <v>17394.5</v>
      </c>
      <c r="CB90" s="20">
        <v>0</v>
      </c>
      <c r="CC90" s="20">
        <v>143136.16666666669</v>
      </c>
      <c r="CD90" s="234" t="s">
        <v>248</v>
      </c>
      <c r="CE90" s="28">
        <f t="shared" si="20"/>
        <v>1663430.3286496648</v>
      </c>
      <c r="CF90" s="28">
        <f>BE59-CE90</f>
        <v>-499555.32864966476</v>
      </c>
    </row>
    <row r="91" spans="1:84" x14ac:dyDescent="0.25">
      <c r="A91" s="22" t="s">
        <v>291</v>
      </c>
      <c r="B91" s="16"/>
      <c r="C91" s="20">
        <v>163991</v>
      </c>
      <c r="D91" s="20">
        <v>561274</v>
      </c>
      <c r="E91" s="20">
        <v>48663</v>
      </c>
      <c r="F91" s="20">
        <v>0</v>
      </c>
      <c r="G91" s="20">
        <v>63718</v>
      </c>
      <c r="H91" s="20">
        <v>128457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5" t="s">
        <v>248</v>
      </c>
      <c r="AY91" s="285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966103</v>
      </c>
      <c r="CF91" s="28">
        <f>AY59-CE91</f>
        <v>-222669</v>
      </c>
    </row>
    <row r="92" spans="1:84" x14ac:dyDescent="0.25">
      <c r="A92" s="22" t="s">
        <v>292</v>
      </c>
      <c r="B92" s="16"/>
      <c r="C92" s="20">
        <v>13849.555805502048</v>
      </c>
      <c r="D92" s="20">
        <v>26777.452683965203</v>
      </c>
      <c r="E92" s="20">
        <v>672.95180348513748</v>
      </c>
      <c r="F92" s="20">
        <v>0</v>
      </c>
      <c r="G92" s="20">
        <v>3179.8757262132517</v>
      </c>
      <c r="H92" s="20">
        <v>8025.8193047986115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12791.975193951084</v>
      </c>
      <c r="Q92" s="20">
        <v>3673.9136019186421</v>
      </c>
      <c r="R92" s="20">
        <v>1779.5382037448921</v>
      </c>
      <c r="S92" s="20">
        <v>10136.229571506798</v>
      </c>
      <c r="T92" s="20">
        <v>0</v>
      </c>
      <c r="U92" s="20">
        <v>13696.55829300344</v>
      </c>
      <c r="V92" s="20">
        <v>4963.254359579174</v>
      </c>
      <c r="W92" s="20">
        <v>523.21679206517661</v>
      </c>
      <c r="X92" s="20">
        <v>575.06259194908841</v>
      </c>
      <c r="Y92" s="20">
        <v>9011.776824749204</v>
      </c>
      <c r="Z92" s="20">
        <v>717.07500032675955</v>
      </c>
      <c r="AA92" s="20">
        <v>424.28398552341275</v>
      </c>
      <c r="AB92" s="20">
        <v>5589.1142668612601</v>
      </c>
      <c r="AC92" s="20">
        <v>928.21514188297965</v>
      </c>
      <c r="AD92" s="20">
        <v>401.24140779722978</v>
      </c>
      <c r="AE92" s="20">
        <v>3285.256723411052</v>
      </c>
      <c r="AF92" s="20">
        <v>4198.4992473203865</v>
      </c>
      <c r="AG92" s="20">
        <v>6595.1864857157643</v>
      </c>
      <c r="AH92" s="20">
        <v>246.70585935098086</v>
      </c>
      <c r="AI92" s="20">
        <v>0</v>
      </c>
      <c r="AJ92" s="20">
        <v>73998.517921314415</v>
      </c>
      <c r="AK92" s="20">
        <v>1662.271838340316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963.02947127362586</v>
      </c>
      <c r="AW92" s="20">
        <v>0</v>
      </c>
      <c r="AX92" s="285" t="s">
        <v>248</v>
      </c>
      <c r="AY92" s="285" t="s">
        <v>248</v>
      </c>
      <c r="AZ92" s="25" t="s">
        <v>248</v>
      </c>
      <c r="BA92" s="20">
        <v>1568.6485249900436</v>
      </c>
      <c r="BB92" s="20">
        <v>2224.3601389807723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28566.785273233985</v>
      </c>
      <c r="BI92" s="20">
        <v>7296.6075609568015</v>
      </c>
      <c r="BJ92" s="25" t="s">
        <v>248</v>
      </c>
      <c r="BK92" s="20">
        <v>1872.4098104934644</v>
      </c>
      <c r="BL92" s="20">
        <v>738.48956984402741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163.80267209699642</v>
      </c>
      <c r="BT92" s="20">
        <v>264.73918104973274</v>
      </c>
      <c r="BU92" s="20">
        <v>0</v>
      </c>
      <c r="BV92" s="20">
        <v>6789.7960823814619</v>
      </c>
      <c r="BW92" s="20">
        <v>32174.451464189846</v>
      </c>
      <c r="BX92" s="20">
        <v>2363.2000185410707</v>
      </c>
      <c r="BY92" s="20">
        <v>910.30705158491367</v>
      </c>
      <c r="BZ92" s="20">
        <v>452.33581927702676</v>
      </c>
      <c r="CA92" s="20">
        <v>4356.6751984574985</v>
      </c>
      <c r="CB92" s="20">
        <v>0</v>
      </c>
      <c r="CC92" s="25" t="s">
        <v>248</v>
      </c>
      <c r="CD92" s="25" t="s">
        <v>248</v>
      </c>
      <c r="CE92" s="28">
        <f t="shared" si="20"/>
        <v>298409.18647162756</v>
      </c>
      <c r="CF92" s="16"/>
    </row>
    <row r="93" spans="1:84" x14ac:dyDescent="0.25">
      <c r="A93" s="22" t="s">
        <v>293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61964.34</v>
      </c>
      <c r="BX93" s="20">
        <v>0</v>
      </c>
      <c r="BY93" s="20">
        <v>0</v>
      </c>
      <c r="BZ93" s="20">
        <v>0</v>
      </c>
      <c r="CA93" s="20">
        <v>5858.49</v>
      </c>
      <c r="CB93" s="20">
        <v>0</v>
      </c>
      <c r="CC93" s="25" t="s">
        <v>248</v>
      </c>
      <c r="CD93" s="25" t="s">
        <v>248</v>
      </c>
      <c r="CE93" s="28">
        <f t="shared" si="20"/>
        <v>67822.83</v>
      </c>
      <c r="CF93" s="28">
        <f>BA59</f>
        <v>0</v>
      </c>
    </row>
    <row r="94" spans="1:84" x14ac:dyDescent="0.25">
      <c r="A94" s="22" t="s">
        <v>294</v>
      </c>
      <c r="B94" s="16"/>
      <c r="C94" s="279">
        <v>365.49</v>
      </c>
      <c r="D94" s="279">
        <v>714.76000000000022</v>
      </c>
      <c r="E94" s="279">
        <v>47.289999999999992</v>
      </c>
      <c r="F94" s="279">
        <v>0</v>
      </c>
      <c r="G94" s="279">
        <v>68.959999999999994</v>
      </c>
      <c r="H94" s="279">
        <v>131.26</v>
      </c>
      <c r="I94" s="279">
        <v>0</v>
      </c>
      <c r="J94" s="279">
        <v>0</v>
      </c>
      <c r="K94" s="279">
        <v>0</v>
      </c>
      <c r="L94" s="279">
        <v>0</v>
      </c>
      <c r="M94" s="279">
        <v>0</v>
      </c>
      <c r="N94" s="279">
        <v>3.7199999999999998</v>
      </c>
      <c r="O94" s="279">
        <v>0</v>
      </c>
      <c r="P94" s="280">
        <v>211.55999999999997</v>
      </c>
      <c r="Q94" s="280">
        <v>71.849999999999994</v>
      </c>
      <c r="R94" s="280">
        <v>59.780000000000015</v>
      </c>
      <c r="S94" s="281">
        <v>60.230000000000004</v>
      </c>
      <c r="T94" s="281">
        <v>0</v>
      </c>
      <c r="U94" s="282">
        <v>147.26</v>
      </c>
      <c r="V94" s="280">
        <v>61.4</v>
      </c>
      <c r="W94" s="280">
        <v>11.61</v>
      </c>
      <c r="X94" s="280">
        <v>28.000000000000004</v>
      </c>
      <c r="Y94" s="280">
        <v>169.01999999999998</v>
      </c>
      <c r="Z94" s="280">
        <v>8.68</v>
      </c>
      <c r="AA94" s="280">
        <v>3.01</v>
      </c>
      <c r="AB94" s="281">
        <v>209.13999999999996</v>
      </c>
      <c r="AC94" s="280">
        <v>73.06</v>
      </c>
      <c r="AD94" s="280">
        <v>0</v>
      </c>
      <c r="AE94" s="280">
        <v>87</v>
      </c>
      <c r="AF94" s="280">
        <v>80.3</v>
      </c>
      <c r="AG94" s="280">
        <v>194.19000000000003</v>
      </c>
      <c r="AH94" s="280">
        <v>0</v>
      </c>
      <c r="AI94" s="280">
        <v>0</v>
      </c>
      <c r="AJ94" s="280">
        <v>675.46999999999991</v>
      </c>
      <c r="AK94" s="280">
        <v>32.03</v>
      </c>
      <c r="AL94" s="280">
        <v>0</v>
      </c>
      <c r="AM94" s="280">
        <v>0</v>
      </c>
      <c r="AN94" s="280">
        <v>0</v>
      </c>
      <c r="AO94" s="280">
        <v>0</v>
      </c>
      <c r="AP94" s="280">
        <v>0</v>
      </c>
      <c r="AQ94" s="280">
        <v>0</v>
      </c>
      <c r="AR94" s="280">
        <v>0</v>
      </c>
      <c r="AS94" s="280">
        <v>0</v>
      </c>
      <c r="AT94" s="280">
        <v>0</v>
      </c>
      <c r="AU94" s="280">
        <v>8.52</v>
      </c>
      <c r="AV94" s="281">
        <v>46.740000000000009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3570.33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98104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3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3"/>
      <c r="D108" s="38"/>
      <c r="E108" s="39"/>
      <c r="F108" s="12"/>
    </row>
    <row r="109" spans="1:6" x14ac:dyDescent="0.25">
      <c r="A109" s="40" t="s">
        <v>321</v>
      </c>
      <c r="B109" s="36" t="s">
        <v>299</v>
      </c>
      <c r="C109" s="37" t="s">
        <v>1359</v>
      </c>
      <c r="D109" s="38"/>
      <c r="E109" s="39"/>
      <c r="F109" s="12"/>
    </row>
    <row r="110" spans="1:6" x14ac:dyDescent="0.25">
      <c r="A110" s="40" t="s">
        <v>322</v>
      </c>
      <c r="B110" s="36" t="s">
        <v>299</v>
      </c>
      <c r="C110" s="37" t="s">
        <v>1360</v>
      </c>
      <c r="D110" s="38"/>
      <c r="E110" s="39"/>
      <c r="F110" s="12"/>
    </row>
    <row r="111" spans="1:6" x14ac:dyDescent="0.25">
      <c r="A111" s="34" t="s">
        <v>323</v>
      </c>
      <c r="B111" s="34"/>
      <c r="C111" s="34"/>
      <c r="D111" s="34"/>
      <c r="E111" s="34"/>
    </row>
    <row r="112" spans="1:6" x14ac:dyDescent="0.25">
      <c r="A112" s="41" t="s">
        <v>324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1</v>
      </c>
      <c r="D114" s="16"/>
      <c r="E114" s="16"/>
    </row>
    <row r="115" spans="1:5" x14ac:dyDescent="0.25">
      <c r="A115" s="16" t="s">
        <v>325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326</v>
      </c>
      <c r="B116" s="41"/>
      <c r="C116" s="41"/>
      <c r="D116" s="41"/>
      <c r="E116" s="41"/>
    </row>
    <row r="117" spans="1:5" x14ac:dyDescent="0.25">
      <c r="A117" s="16" t="s">
        <v>327</v>
      </c>
      <c r="B117" s="42" t="s">
        <v>299</v>
      </c>
      <c r="C117" s="43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25">
      <c r="A119" s="41" t="s">
        <v>328</v>
      </c>
      <c r="B119" s="41"/>
      <c r="C119" s="41"/>
      <c r="D119" s="41"/>
      <c r="E119" s="41"/>
    </row>
    <row r="120" spans="1:5" x14ac:dyDescent="0.25">
      <c r="A120" s="16" t="s">
        <v>329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330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331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332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333</v>
      </c>
      <c r="B126" s="16"/>
      <c r="C126" s="17" t="s">
        <v>334</v>
      </c>
      <c r="D126" s="18" t="s">
        <v>242</v>
      </c>
      <c r="E126" s="16"/>
    </row>
    <row r="127" spans="1:5" x14ac:dyDescent="0.25">
      <c r="A127" s="16" t="s">
        <v>335</v>
      </c>
      <c r="B127" s="42" t="s">
        <v>299</v>
      </c>
      <c r="C127" s="43">
        <v>16024</v>
      </c>
      <c r="D127" s="46">
        <v>173137</v>
      </c>
      <c r="E127" s="16"/>
    </row>
    <row r="128" spans="1:5" x14ac:dyDescent="0.25">
      <c r="A128" s="16" t="s">
        <v>336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337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338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339</v>
      </c>
      <c r="B131" s="16"/>
      <c r="C131" s="17" t="s">
        <v>194</v>
      </c>
      <c r="D131" s="16"/>
      <c r="E131" s="16"/>
    </row>
    <row r="132" spans="1:5" x14ac:dyDescent="0.25">
      <c r="A132" s="16" t="s">
        <v>340</v>
      </c>
      <c r="B132" s="42" t="s">
        <v>299</v>
      </c>
      <c r="C132" s="43">
        <v>89</v>
      </c>
      <c r="D132" s="16"/>
      <c r="E132" s="16"/>
    </row>
    <row r="133" spans="1:5" x14ac:dyDescent="0.25">
      <c r="A133" s="16" t="s">
        <v>341</v>
      </c>
      <c r="B133" s="42" t="s">
        <v>299</v>
      </c>
      <c r="C133" s="43">
        <v>278</v>
      </c>
      <c r="D133" s="16"/>
      <c r="E133" s="16"/>
    </row>
    <row r="134" spans="1:5" x14ac:dyDescent="0.25">
      <c r="A134" s="16" t="s">
        <v>342</v>
      </c>
      <c r="B134" s="42" t="s">
        <v>299</v>
      </c>
      <c r="C134" s="43">
        <v>0</v>
      </c>
      <c r="D134" s="16"/>
      <c r="E134" s="16"/>
    </row>
    <row r="135" spans="1:5" x14ac:dyDescent="0.25">
      <c r="A135" s="16" t="s">
        <v>343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344</v>
      </c>
      <c r="B136" s="42" t="s">
        <v>299</v>
      </c>
      <c r="C136" s="43">
        <v>0</v>
      </c>
      <c r="D136" s="16"/>
      <c r="E136" s="16"/>
    </row>
    <row r="137" spans="1:5" x14ac:dyDescent="0.25">
      <c r="A137" s="16" t="s">
        <v>345</v>
      </c>
      <c r="B137" s="42" t="s">
        <v>299</v>
      </c>
      <c r="C137" s="43">
        <v>30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66</v>
      </c>
      <c r="D138" s="16"/>
      <c r="E138" s="16"/>
    </row>
    <row r="139" spans="1:5" x14ac:dyDescent="0.25">
      <c r="A139" s="16" t="s">
        <v>346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347</v>
      </c>
      <c r="B140" s="42"/>
      <c r="C140" s="43">
        <v>0</v>
      </c>
      <c r="D140" s="16"/>
      <c r="E140" s="16"/>
    </row>
    <row r="141" spans="1:5" x14ac:dyDescent="0.25">
      <c r="A141" s="16" t="s">
        <v>337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348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349</v>
      </c>
      <c r="B143" s="16"/>
      <c r="C143" s="23"/>
      <c r="D143" s="16"/>
      <c r="E143" s="28">
        <f>SUM(C132:C142)</f>
        <v>463</v>
      </c>
    </row>
    <row r="144" spans="1:5" x14ac:dyDescent="0.25">
      <c r="A144" s="16" t="s">
        <v>350</v>
      </c>
      <c r="B144" s="42" t="s">
        <v>299</v>
      </c>
      <c r="C144" s="43">
        <v>413</v>
      </c>
      <c r="D144" s="16"/>
      <c r="E144" s="16"/>
    </row>
    <row r="145" spans="1:6" x14ac:dyDescent="0.25">
      <c r="A145" s="16" t="s">
        <v>351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352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353</v>
      </c>
      <c r="B152" s="45"/>
      <c r="C152" s="45"/>
      <c r="D152" s="45"/>
      <c r="E152" s="45"/>
    </row>
    <row r="153" spans="1:6" x14ac:dyDescent="0.25">
      <c r="A153" s="47" t="s">
        <v>354</v>
      </c>
      <c r="B153" s="48" t="s">
        <v>355</v>
      </c>
      <c r="C153" s="49" t="s">
        <v>356</v>
      </c>
      <c r="D153" s="48" t="s">
        <v>159</v>
      </c>
      <c r="E153" s="48" t="s">
        <v>230</v>
      </c>
    </row>
    <row r="154" spans="1:6" x14ac:dyDescent="0.25">
      <c r="A154" s="16" t="s">
        <v>334</v>
      </c>
      <c r="B154" s="46">
        <v>5471</v>
      </c>
      <c r="C154" s="46">
        <v>5657</v>
      </c>
      <c r="D154" s="46">
        <v>4746</v>
      </c>
      <c r="E154" s="28">
        <f>SUM(B154:D154)</f>
        <v>15874</v>
      </c>
    </row>
    <row r="155" spans="1:6" x14ac:dyDescent="0.25">
      <c r="A155" s="16" t="s">
        <v>242</v>
      </c>
      <c r="B155" s="46">
        <v>64353</v>
      </c>
      <c r="C155" s="46">
        <v>68503</v>
      </c>
      <c r="D155" s="46">
        <v>43414</v>
      </c>
      <c r="E155" s="28">
        <f>SUM(B155:D155)</f>
        <v>176270</v>
      </c>
    </row>
    <row r="156" spans="1:6" x14ac:dyDescent="0.25">
      <c r="A156" s="16" t="s">
        <v>357</v>
      </c>
      <c r="B156" s="46">
        <v>122782</v>
      </c>
      <c r="C156" s="46">
        <v>114979</v>
      </c>
      <c r="D156" s="46">
        <v>170083</v>
      </c>
      <c r="E156" s="28">
        <f>SUM(B156:D156)</f>
        <v>407844</v>
      </c>
    </row>
    <row r="157" spans="1:6" x14ac:dyDescent="0.25">
      <c r="A157" s="16" t="s">
        <v>287</v>
      </c>
      <c r="B157" s="46">
        <v>740630443</v>
      </c>
      <c r="C157" s="46">
        <v>765375162</v>
      </c>
      <c r="D157" s="46">
        <v>671543509</v>
      </c>
      <c r="E157" s="28">
        <f>SUM(B157:D157)</f>
        <v>2177549114</v>
      </c>
      <c r="F157" s="14"/>
    </row>
    <row r="158" spans="1:6" x14ac:dyDescent="0.25">
      <c r="A158" s="16" t="s">
        <v>288</v>
      </c>
      <c r="B158" s="46">
        <v>338618058</v>
      </c>
      <c r="C158" s="46">
        <v>336131703</v>
      </c>
      <c r="D158" s="46">
        <v>531409509</v>
      </c>
      <c r="E158" s="28">
        <f>SUM(B158:D158)</f>
        <v>1206159270</v>
      </c>
      <c r="F158" s="14"/>
    </row>
    <row r="159" spans="1:6" x14ac:dyDescent="0.25">
      <c r="A159" s="47" t="s">
        <v>358</v>
      </c>
      <c r="B159" s="48" t="s">
        <v>355</v>
      </c>
      <c r="C159" s="49" t="s">
        <v>356</v>
      </c>
      <c r="D159" s="48" t="s">
        <v>159</v>
      </c>
      <c r="E159" s="48" t="s">
        <v>230</v>
      </c>
    </row>
    <row r="160" spans="1:6" x14ac:dyDescent="0.25">
      <c r="A160" s="16" t="s">
        <v>334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357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359</v>
      </c>
      <c r="B165" s="48" t="s">
        <v>355</v>
      </c>
      <c r="C165" s="49" t="s">
        <v>356</v>
      </c>
      <c r="D165" s="48" t="s">
        <v>159</v>
      </c>
      <c r="E165" s="48" t="s">
        <v>230</v>
      </c>
    </row>
    <row r="166" spans="1:5" x14ac:dyDescent="0.25">
      <c r="A166" s="16" t="s">
        <v>334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357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360</v>
      </c>
      <c r="B172" s="48" t="s">
        <v>361</v>
      </c>
      <c r="C172" s="49" t="s">
        <v>362</v>
      </c>
      <c r="D172" s="16"/>
      <c r="E172" s="16"/>
    </row>
    <row r="173" spans="1:5" x14ac:dyDescent="0.25">
      <c r="A173" s="21" t="s">
        <v>363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364</v>
      </c>
      <c r="B179" s="34"/>
      <c r="C179" s="34"/>
      <c r="D179" s="34"/>
      <c r="E179" s="34"/>
    </row>
    <row r="180" spans="1:5" x14ac:dyDescent="0.25">
      <c r="A180" s="41" t="s">
        <v>365</v>
      </c>
      <c r="B180" s="41"/>
      <c r="C180" s="41"/>
      <c r="D180" s="41"/>
      <c r="E180" s="41"/>
    </row>
    <row r="181" spans="1:5" x14ac:dyDescent="0.25">
      <c r="A181" s="16" t="s">
        <v>366</v>
      </c>
      <c r="B181" s="42" t="s">
        <v>299</v>
      </c>
      <c r="C181" s="43">
        <v>32945389.57</v>
      </c>
      <c r="D181" s="16"/>
      <c r="E181" s="16"/>
    </row>
    <row r="182" spans="1:5" x14ac:dyDescent="0.25">
      <c r="A182" s="16" t="s">
        <v>367</v>
      </c>
      <c r="B182" s="42" t="s">
        <v>299</v>
      </c>
      <c r="C182" s="43">
        <v>771569.63</v>
      </c>
      <c r="D182" s="16"/>
      <c r="E182" s="16"/>
    </row>
    <row r="183" spans="1:5" x14ac:dyDescent="0.25">
      <c r="A183" s="21" t="s">
        <v>368</v>
      </c>
      <c r="B183" s="42" t="s">
        <v>299</v>
      </c>
      <c r="C183" s="43">
        <v>2590031.44</v>
      </c>
      <c r="D183" s="16"/>
      <c r="E183" s="16"/>
    </row>
    <row r="184" spans="1:5" x14ac:dyDescent="0.25">
      <c r="A184" s="16" t="s">
        <v>369</v>
      </c>
      <c r="B184" s="42" t="s">
        <v>299</v>
      </c>
      <c r="C184" s="43">
        <v>75451405.409999996</v>
      </c>
      <c r="D184" s="16"/>
      <c r="E184" s="16"/>
    </row>
    <row r="185" spans="1:5" x14ac:dyDescent="0.25">
      <c r="A185" s="16" t="s">
        <v>370</v>
      </c>
      <c r="B185" s="42" t="s">
        <v>299</v>
      </c>
      <c r="C185" s="43">
        <v>0</v>
      </c>
      <c r="D185" s="16"/>
      <c r="E185" s="16"/>
    </row>
    <row r="186" spans="1:5" x14ac:dyDescent="0.25">
      <c r="A186" s="16" t="s">
        <v>371</v>
      </c>
      <c r="B186" s="42" t="s">
        <v>299</v>
      </c>
      <c r="C186" s="43">
        <v>44147336.950000003</v>
      </c>
      <c r="D186" s="16"/>
      <c r="E186" s="16"/>
    </row>
    <row r="187" spans="1:5" x14ac:dyDescent="0.25">
      <c r="A187" s="16" t="s">
        <v>372</v>
      </c>
      <c r="B187" s="42" t="s">
        <v>299</v>
      </c>
      <c r="C187" s="43">
        <v>3121717.81</v>
      </c>
      <c r="D187" s="16"/>
      <c r="E187" s="16"/>
    </row>
    <row r="188" spans="1:5" x14ac:dyDescent="0.25">
      <c r="A188" s="16" t="s">
        <v>372</v>
      </c>
      <c r="B188" s="42" t="s">
        <v>299</v>
      </c>
      <c r="C188" s="43"/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159027450.81</v>
      </c>
      <c r="E189" s="16"/>
    </row>
    <row r="190" spans="1:5" x14ac:dyDescent="0.25">
      <c r="A190" s="41" t="s">
        <v>373</v>
      </c>
      <c r="B190" s="41"/>
      <c r="C190" s="41"/>
      <c r="D190" s="41"/>
      <c r="E190" s="41"/>
    </row>
    <row r="191" spans="1:5" x14ac:dyDescent="0.25">
      <c r="A191" s="16" t="s">
        <v>374</v>
      </c>
      <c r="B191" s="42" t="s">
        <v>299</v>
      </c>
      <c r="C191" s="43">
        <v>-177055</v>
      </c>
      <c r="D191" s="16"/>
      <c r="E191" s="16"/>
    </row>
    <row r="192" spans="1:5" x14ac:dyDescent="0.25">
      <c r="A192" s="16" t="s">
        <v>375</v>
      </c>
      <c r="B192" s="42" t="s">
        <v>299</v>
      </c>
      <c r="C192" s="43">
        <v>3398447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3221392</v>
      </c>
      <c r="E193" s="16"/>
    </row>
    <row r="194" spans="1:5" x14ac:dyDescent="0.25">
      <c r="A194" s="41" t="s">
        <v>376</v>
      </c>
      <c r="B194" s="41"/>
      <c r="C194" s="41"/>
      <c r="D194" s="41"/>
      <c r="E194" s="41"/>
    </row>
    <row r="195" spans="1:5" x14ac:dyDescent="0.25">
      <c r="A195" s="16" t="s">
        <v>377</v>
      </c>
      <c r="B195" s="42" t="s">
        <v>299</v>
      </c>
      <c r="C195" s="43">
        <v>9205975</v>
      </c>
      <c r="D195" s="16"/>
      <c r="E195" s="16"/>
    </row>
    <row r="196" spans="1:5" x14ac:dyDescent="0.25">
      <c r="A196" s="16" t="s">
        <v>378</v>
      </c>
      <c r="B196" s="42" t="s">
        <v>299</v>
      </c>
      <c r="C196" s="43">
        <v>2070657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11276632</v>
      </c>
      <c r="E197" s="16"/>
    </row>
    <row r="198" spans="1:5" x14ac:dyDescent="0.25">
      <c r="A198" s="41" t="s">
        <v>379</v>
      </c>
      <c r="B198" s="41"/>
      <c r="C198" s="41"/>
      <c r="D198" s="41"/>
      <c r="E198" s="41"/>
    </row>
    <row r="199" spans="1:5" x14ac:dyDescent="0.25">
      <c r="A199" s="16" t="s">
        <v>380</v>
      </c>
      <c r="B199" s="42" t="s">
        <v>299</v>
      </c>
      <c r="C199" s="43">
        <v>2548359</v>
      </c>
      <c r="D199" s="16"/>
      <c r="E199" s="16"/>
    </row>
    <row r="200" spans="1:5" x14ac:dyDescent="0.25">
      <c r="A200" s="16" t="s">
        <v>381</v>
      </c>
      <c r="B200" s="42" t="s">
        <v>299</v>
      </c>
      <c r="C200" s="43">
        <v>-107916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2440443</v>
      </c>
      <c r="E202" s="16"/>
    </row>
    <row r="203" spans="1:5" x14ac:dyDescent="0.25">
      <c r="A203" s="41" t="s">
        <v>382</v>
      </c>
      <c r="B203" s="41"/>
      <c r="C203" s="41"/>
      <c r="D203" s="41"/>
      <c r="E203" s="41"/>
    </row>
    <row r="204" spans="1:5" x14ac:dyDescent="0.25">
      <c r="A204" s="16" t="s">
        <v>383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384</v>
      </c>
      <c r="B205" s="42" t="s">
        <v>299</v>
      </c>
      <c r="C205" s="43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385</v>
      </c>
      <c r="B208" s="34"/>
      <c r="C208" s="34"/>
      <c r="D208" s="34"/>
      <c r="E208" s="34"/>
    </row>
    <row r="209" spans="1:5" x14ac:dyDescent="0.25">
      <c r="A209" s="45" t="s">
        <v>386</v>
      </c>
      <c r="B209" s="34"/>
      <c r="C209" s="34"/>
      <c r="D209" s="34"/>
      <c r="E209" s="34"/>
    </row>
    <row r="210" spans="1:5" x14ac:dyDescent="0.25">
      <c r="A210" s="22"/>
      <c r="B210" s="18" t="s">
        <v>387</v>
      </c>
      <c r="C210" s="17" t="s">
        <v>388</v>
      </c>
      <c r="D210" s="18" t="s">
        <v>389</v>
      </c>
      <c r="E210" s="18" t="s">
        <v>390</v>
      </c>
    </row>
    <row r="211" spans="1:5" x14ac:dyDescent="0.25">
      <c r="A211" s="16" t="s">
        <v>391</v>
      </c>
      <c r="B211" s="46">
        <v>2432000</v>
      </c>
      <c r="C211" s="43">
        <v>0</v>
      </c>
      <c r="D211" s="46">
        <v>0</v>
      </c>
      <c r="E211" s="28">
        <f t="shared" ref="E211:E219" si="22">SUM(B211:C211)-D211</f>
        <v>2432000</v>
      </c>
    </row>
    <row r="212" spans="1:5" x14ac:dyDescent="0.25">
      <c r="A212" s="16" t="s">
        <v>392</v>
      </c>
      <c r="B212" s="46">
        <v>7378000</v>
      </c>
      <c r="C212" s="43">
        <v>329000</v>
      </c>
      <c r="D212" s="46">
        <v>0</v>
      </c>
      <c r="E212" s="28">
        <f t="shared" si="22"/>
        <v>7707000</v>
      </c>
    </row>
    <row r="213" spans="1:5" x14ac:dyDescent="0.25">
      <c r="A213" s="16" t="s">
        <v>393</v>
      </c>
      <c r="B213" s="46">
        <v>459243110.25999999</v>
      </c>
      <c r="C213" s="43">
        <v>7463274.2799999975</v>
      </c>
      <c r="D213" s="46">
        <v>0</v>
      </c>
      <c r="E213" s="28">
        <f t="shared" si="22"/>
        <v>466706384.53999996</v>
      </c>
    </row>
    <row r="214" spans="1:5" x14ac:dyDescent="0.25">
      <c r="A214" s="16" t="s">
        <v>394</v>
      </c>
      <c r="B214" s="46">
        <v>124164791.79000001</v>
      </c>
      <c r="C214" s="43">
        <v>2309000</v>
      </c>
      <c r="D214" s="46">
        <v>0</v>
      </c>
      <c r="E214" s="28">
        <f t="shared" si="22"/>
        <v>126473791.79000001</v>
      </c>
    </row>
    <row r="215" spans="1:5" x14ac:dyDescent="0.25">
      <c r="A215" s="16" t="s">
        <v>395</v>
      </c>
      <c r="B215" s="46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25">
      <c r="A216" s="16" t="s">
        <v>396</v>
      </c>
      <c r="B216" s="46">
        <v>198937000</v>
      </c>
      <c r="C216" s="43">
        <v>9155000</v>
      </c>
      <c r="D216" s="46">
        <v>41549000</v>
      </c>
      <c r="E216" s="28">
        <f t="shared" si="22"/>
        <v>166543000</v>
      </c>
    </row>
    <row r="217" spans="1:5" x14ac:dyDescent="0.25">
      <c r="A217" s="16" t="s">
        <v>397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398</v>
      </c>
      <c r="B218" s="46">
        <v>14158000</v>
      </c>
      <c r="C218" s="43">
        <v>0</v>
      </c>
      <c r="D218" s="46">
        <v>0</v>
      </c>
      <c r="E218" s="28">
        <f t="shared" si="22"/>
        <v>14158000</v>
      </c>
    </row>
    <row r="219" spans="1:5" x14ac:dyDescent="0.25">
      <c r="A219" s="16" t="s">
        <v>399</v>
      </c>
      <c r="B219" s="46">
        <v>12521412.519999998</v>
      </c>
      <c r="C219" s="43">
        <v>24343000</v>
      </c>
      <c r="D219" s="46">
        <v>10101274.279999997</v>
      </c>
      <c r="E219" s="28">
        <f t="shared" si="22"/>
        <v>26763138.239999998</v>
      </c>
    </row>
    <row r="220" spans="1:5" x14ac:dyDescent="0.25">
      <c r="A220" s="16" t="s">
        <v>230</v>
      </c>
      <c r="B220" s="28">
        <f>SUM(B211:B219)</f>
        <v>818834314.56999993</v>
      </c>
      <c r="C220" s="235">
        <f>SUM(C211:C219)</f>
        <v>43599274.280000001</v>
      </c>
      <c r="D220" s="28">
        <f>SUM(D211:D219)</f>
        <v>51650274.280000001</v>
      </c>
      <c r="E220" s="28">
        <f>SUM(E211:E219)</f>
        <v>810783314.56999993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400</v>
      </c>
      <c r="B222" s="45"/>
      <c r="C222" s="45"/>
      <c r="D222" s="45"/>
      <c r="E222" s="45"/>
    </row>
    <row r="223" spans="1:5" x14ac:dyDescent="0.25">
      <c r="A223" s="22"/>
      <c r="B223" s="18" t="s">
        <v>387</v>
      </c>
      <c r="C223" s="17" t="s">
        <v>388</v>
      </c>
      <c r="D223" s="18" t="s">
        <v>389</v>
      </c>
      <c r="E223" s="18" t="s">
        <v>390</v>
      </c>
    </row>
    <row r="224" spans="1:5" x14ac:dyDescent="0.25">
      <c r="A224" s="16" t="s">
        <v>391</v>
      </c>
      <c r="B224" s="51"/>
      <c r="C224" s="50"/>
      <c r="D224" s="51"/>
      <c r="E224" s="16"/>
    </row>
    <row r="225" spans="1:6" x14ac:dyDescent="0.25">
      <c r="A225" s="16" t="s">
        <v>392</v>
      </c>
      <c r="B225" s="46">
        <v>4972000</v>
      </c>
      <c r="C225" s="43">
        <v>335000</v>
      </c>
      <c r="D225" s="46">
        <v>0</v>
      </c>
      <c r="E225" s="28">
        <f t="shared" ref="E225:E232" si="23">SUM(B225:C225)-D225</f>
        <v>5307000</v>
      </c>
    </row>
    <row r="226" spans="1:6" x14ac:dyDescent="0.25">
      <c r="A226" s="16" t="s">
        <v>393</v>
      </c>
      <c r="B226" s="46">
        <v>258074000</v>
      </c>
      <c r="C226" s="43">
        <v>14729000</v>
      </c>
      <c r="D226" s="46">
        <v>0</v>
      </c>
      <c r="E226" s="28">
        <f t="shared" si="23"/>
        <v>272803000</v>
      </c>
    </row>
    <row r="227" spans="1:6" x14ac:dyDescent="0.25">
      <c r="A227" s="16" t="s">
        <v>394</v>
      </c>
      <c r="B227" s="46">
        <v>116890000</v>
      </c>
      <c r="C227" s="43">
        <v>1190000</v>
      </c>
      <c r="D227" s="46">
        <v>0</v>
      </c>
      <c r="E227" s="28">
        <f t="shared" si="23"/>
        <v>118080000</v>
      </c>
    </row>
    <row r="228" spans="1:6" x14ac:dyDescent="0.25">
      <c r="A228" s="16" t="s">
        <v>395</v>
      </c>
      <c r="B228" s="46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25">
      <c r="A229" s="16" t="s">
        <v>396</v>
      </c>
      <c r="B229" s="46">
        <v>163444000</v>
      </c>
      <c r="C229" s="43">
        <v>11304000</v>
      </c>
      <c r="D229" s="46">
        <v>41549000</v>
      </c>
      <c r="E229" s="28">
        <f t="shared" si="23"/>
        <v>133199000</v>
      </c>
    </row>
    <row r="230" spans="1:6" x14ac:dyDescent="0.25">
      <c r="A230" s="16" t="s">
        <v>397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398</v>
      </c>
      <c r="B231" s="46">
        <v>8714000</v>
      </c>
      <c r="C231" s="43">
        <v>837000</v>
      </c>
      <c r="D231" s="46">
        <v>0</v>
      </c>
      <c r="E231" s="28">
        <f t="shared" si="23"/>
        <v>9551000</v>
      </c>
    </row>
    <row r="232" spans="1:6" x14ac:dyDescent="0.25">
      <c r="A232" s="16" t="s">
        <v>399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552094000</v>
      </c>
      <c r="C233" s="235">
        <f>SUM(C224:C232)</f>
        <v>28395000</v>
      </c>
      <c r="D233" s="28">
        <f>SUM(D224:D232)</f>
        <v>41549000</v>
      </c>
      <c r="E233" s="28">
        <f>SUM(E224:E232)</f>
        <v>538940000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271843314.56999993</v>
      </c>
    </row>
    <row r="235" spans="1:6" x14ac:dyDescent="0.25">
      <c r="A235" s="34" t="s">
        <v>401</v>
      </c>
      <c r="B235" s="34"/>
      <c r="C235" s="34"/>
      <c r="D235" s="34"/>
      <c r="E235" s="34"/>
    </row>
    <row r="236" spans="1:6" x14ac:dyDescent="0.25">
      <c r="A236" s="34"/>
      <c r="B236" s="341" t="s">
        <v>402</v>
      </c>
      <c r="C236" s="341"/>
      <c r="D236" s="34"/>
      <c r="E236" s="34"/>
    </row>
    <row r="237" spans="1:6" x14ac:dyDescent="0.25">
      <c r="A237" s="52" t="s">
        <v>402</v>
      </c>
      <c r="B237" s="34"/>
      <c r="C237" s="43">
        <v>39655218.950000003</v>
      </c>
      <c r="D237" s="36">
        <f>C237</f>
        <v>39655218.950000003</v>
      </c>
      <c r="E237" s="34"/>
    </row>
    <row r="238" spans="1:6" x14ac:dyDescent="0.25">
      <c r="A238" s="41" t="s">
        <v>403</v>
      </c>
      <c r="B238" s="41"/>
      <c r="C238" s="41"/>
      <c r="D238" s="41"/>
      <c r="E238" s="41"/>
    </row>
    <row r="239" spans="1:6" x14ac:dyDescent="0.25">
      <c r="A239" s="16" t="s">
        <v>404</v>
      </c>
      <c r="B239" s="42" t="s">
        <v>299</v>
      </c>
      <c r="C239" s="43">
        <v>821525554</v>
      </c>
      <c r="D239" s="16"/>
      <c r="E239" s="16"/>
    </row>
    <row r="240" spans="1:6" x14ac:dyDescent="0.25">
      <c r="A240" s="16" t="s">
        <v>405</v>
      </c>
      <c r="B240" s="42" t="s">
        <v>299</v>
      </c>
      <c r="C240" s="43">
        <v>766807306</v>
      </c>
      <c r="D240" s="16"/>
      <c r="E240" s="16"/>
    </row>
    <row r="241" spans="1:5" x14ac:dyDescent="0.25">
      <c r="A241" s="16" t="s">
        <v>406</v>
      </c>
      <c r="B241" s="42" t="s">
        <v>299</v>
      </c>
      <c r="C241" s="43">
        <v>459231327</v>
      </c>
      <c r="D241" s="16"/>
      <c r="E241" s="16"/>
    </row>
    <row r="242" spans="1:5" x14ac:dyDescent="0.25">
      <c r="A242" s="16" t="s">
        <v>407</v>
      </c>
      <c r="B242" s="42" t="s">
        <v>299</v>
      </c>
      <c r="C242" s="43">
        <v>20303278</v>
      </c>
      <c r="D242" s="16"/>
      <c r="E242" s="16"/>
    </row>
    <row r="243" spans="1:5" x14ac:dyDescent="0.25">
      <c r="A243" s="16" t="s">
        <v>408</v>
      </c>
      <c r="B243" s="42" t="s">
        <v>299</v>
      </c>
      <c r="C243" s="43">
        <v>0</v>
      </c>
      <c r="D243" s="16"/>
      <c r="E243" s="16"/>
    </row>
    <row r="244" spans="1:5" x14ac:dyDescent="0.25">
      <c r="A244" s="16" t="s">
        <v>409</v>
      </c>
      <c r="B244" s="42" t="s">
        <v>299</v>
      </c>
      <c r="C244" s="43">
        <v>-35508991.960000023</v>
      </c>
      <c r="D244" s="16"/>
      <c r="E244" s="16"/>
    </row>
    <row r="245" spans="1:5" x14ac:dyDescent="0.25">
      <c r="A245" s="16" t="s">
        <v>410</v>
      </c>
      <c r="B245" s="16"/>
      <c r="C245" s="23"/>
      <c r="D245" s="28">
        <f>SUM(C239:C244)</f>
        <v>2032358473.04</v>
      </c>
      <c r="E245" s="16"/>
    </row>
    <row r="246" spans="1:5" x14ac:dyDescent="0.25">
      <c r="A246" s="41" t="s">
        <v>411</v>
      </c>
      <c r="B246" s="41"/>
      <c r="C246" s="41"/>
      <c r="D246" s="41"/>
      <c r="E246" s="41"/>
    </row>
    <row r="247" spans="1:5" x14ac:dyDescent="0.25">
      <c r="A247" s="22" t="s">
        <v>412</v>
      </c>
      <c r="B247" s="42" t="s">
        <v>299</v>
      </c>
      <c r="C247" s="43">
        <v>9828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413</v>
      </c>
      <c r="B249" s="42" t="s">
        <v>299</v>
      </c>
      <c r="C249" s="43">
        <v>36096861.359999999</v>
      </c>
      <c r="D249" s="16"/>
      <c r="E249" s="16"/>
    </row>
    <row r="250" spans="1:5" x14ac:dyDescent="0.25">
      <c r="A250" s="22" t="s">
        <v>414</v>
      </c>
      <c r="B250" s="42" t="s">
        <v>299</v>
      </c>
      <c r="C250" s="43">
        <v>73981020.650000021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415</v>
      </c>
      <c r="B252" s="16"/>
      <c r="C252" s="23"/>
      <c r="D252" s="28">
        <f>SUM(C249:C251)</f>
        <v>110077882.01000002</v>
      </c>
      <c r="E252" s="16"/>
    </row>
    <row r="253" spans="1:5" x14ac:dyDescent="0.25">
      <c r="A253" s="41" t="s">
        <v>416</v>
      </c>
      <c r="B253" s="41"/>
      <c r="C253" s="41"/>
      <c r="D253" s="41"/>
      <c r="E253" s="41"/>
    </row>
    <row r="254" spans="1:5" x14ac:dyDescent="0.25">
      <c r="A254" s="16" t="s">
        <v>417</v>
      </c>
      <c r="B254" s="42" t="s">
        <v>299</v>
      </c>
      <c r="C254" s="43">
        <v>0</v>
      </c>
      <c r="D254" s="16"/>
      <c r="E254" s="16"/>
    </row>
    <row r="255" spans="1:5" x14ac:dyDescent="0.25">
      <c r="A255" s="16" t="s">
        <v>416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418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419</v>
      </c>
      <c r="B258" s="16"/>
      <c r="C258" s="23"/>
      <c r="D258" s="28">
        <f>D237+D245+D252+D256</f>
        <v>2182091574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420</v>
      </c>
      <c r="B264" s="34"/>
      <c r="C264" s="34"/>
      <c r="D264" s="34"/>
      <c r="E264" s="34"/>
    </row>
    <row r="265" spans="1:5" x14ac:dyDescent="0.25">
      <c r="A265" s="41" t="s">
        <v>421</v>
      </c>
      <c r="B265" s="41"/>
      <c r="C265" s="41"/>
      <c r="D265" s="41"/>
      <c r="E265" s="41"/>
    </row>
    <row r="266" spans="1:5" x14ac:dyDescent="0.25">
      <c r="A266" s="16" t="s">
        <v>422</v>
      </c>
      <c r="B266" s="42" t="s">
        <v>299</v>
      </c>
      <c r="C266" s="43">
        <v>257031833</v>
      </c>
      <c r="D266" s="16"/>
      <c r="E266" s="16"/>
    </row>
    <row r="267" spans="1:5" x14ac:dyDescent="0.25">
      <c r="A267" s="16" t="s">
        <v>423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424</v>
      </c>
      <c r="B268" s="42" t="s">
        <v>299</v>
      </c>
      <c r="C268" s="43">
        <v>206892135</v>
      </c>
      <c r="D268" s="16"/>
      <c r="E268" s="16"/>
    </row>
    <row r="269" spans="1:5" x14ac:dyDescent="0.25">
      <c r="A269" s="16" t="s">
        <v>425</v>
      </c>
      <c r="B269" s="42" t="s">
        <v>299</v>
      </c>
      <c r="C269" s="43">
        <v>0</v>
      </c>
      <c r="D269" s="16"/>
      <c r="E269" s="16"/>
    </row>
    <row r="270" spans="1:5" x14ac:dyDescent="0.25">
      <c r="A270" s="16" t="s">
        <v>426</v>
      </c>
      <c r="B270" s="42" t="s">
        <v>299</v>
      </c>
      <c r="C270" s="43">
        <v>43266117</v>
      </c>
      <c r="D270" s="16"/>
      <c r="E270" s="16"/>
    </row>
    <row r="271" spans="1:5" x14ac:dyDescent="0.25">
      <c r="A271" s="16" t="s">
        <v>427</v>
      </c>
      <c r="B271" s="42" t="s">
        <v>299</v>
      </c>
      <c r="C271" s="43">
        <v>45554587</v>
      </c>
      <c r="D271" s="16"/>
      <c r="E271" s="16"/>
    </row>
    <row r="272" spans="1:5" x14ac:dyDescent="0.25">
      <c r="A272" s="16" t="s">
        <v>428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429</v>
      </c>
      <c r="B273" s="42" t="s">
        <v>299</v>
      </c>
      <c r="C273" s="43">
        <v>13417706</v>
      </c>
      <c r="D273" s="16"/>
      <c r="E273" s="16"/>
    </row>
    <row r="274" spans="1:5" x14ac:dyDescent="0.25">
      <c r="A274" s="16" t="s">
        <v>430</v>
      </c>
      <c r="B274" s="42" t="s">
        <v>299</v>
      </c>
      <c r="C274" s="43">
        <v>0</v>
      </c>
      <c r="D274" s="16"/>
      <c r="E274" s="16"/>
    </row>
    <row r="275" spans="1:5" x14ac:dyDescent="0.25">
      <c r="A275" s="16" t="s">
        <v>431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432</v>
      </c>
      <c r="B276" s="16"/>
      <c r="C276" s="23"/>
      <c r="D276" s="28">
        <f>SUM(C266:C268)-C269+SUM(C270:C275)</f>
        <v>566162378</v>
      </c>
      <c r="E276" s="16"/>
    </row>
    <row r="277" spans="1:5" x14ac:dyDescent="0.25">
      <c r="A277" s="41" t="s">
        <v>433</v>
      </c>
      <c r="B277" s="41"/>
      <c r="C277" s="41"/>
      <c r="D277" s="41"/>
      <c r="E277" s="41"/>
    </row>
    <row r="278" spans="1:5" x14ac:dyDescent="0.25">
      <c r="A278" s="16" t="s">
        <v>422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423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434</v>
      </c>
      <c r="B280" s="42" t="s">
        <v>299</v>
      </c>
      <c r="C280" s="43">
        <v>265961058</v>
      </c>
      <c r="D280" s="16"/>
      <c r="E280" s="16"/>
    </row>
    <row r="281" spans="1:5" x14ac:dyDescent="0.25">
      <c r="A281" s="16" t="s">
        <v>435</v>
      </c>
      <c r="B281" s="16"/>
      <c r="C281" s="23"/>
      <c r="D281" s="28">
        <f>SUM(C278:C280)</f>
        <v>265961058</v>
      </c>
      <c r="E281" s="16"/>
    </row>
    <row r="282" spans="1:5" x14ac:dyDescent="0.25">
      <c r="A282" s="41" t="s">
        <v>436</v>
      </c>
      <c r="B282" s="41"/>
      <c r="C282" s="41"/>
      <c r="D282" s="41"/>
      <c r="E282" s="41"/>
    </row>
    <row r="283" spans="1:5" x14ac:dyDescent="0.25">
      <c r="A283" s="16" t="s">
        <v>391</v>
      </c>
      <c r="B283" s="42" t="s">
        <v>299</v>
      </c>
      <c r="C283" s="43">
        <v>2432000</v>
      </c>
      <c r="D283" s="16"/>
      <c r="E283" s="16"/>
    </row>
    <row r="284" spans="1:5" x14ac:dyDescent="0.25">
      <c r="A284" s="16" t="s">
        <v>392</v>
      </c>
      <c r="B284" s="42" t="s">
        <v>299</v>
      </c>
      <c r="C284" s="43">
        <v>7707000</v>
      </c>
      <c r="D284" s="16"/>
      <c r="E284" s="16"/>
    </row>
    <row r="285" spans="1:5" x14ac:dyDescent="0.25">
      <c r="A285" s="16" t="s">
        <v>393</v>
      </c>
      <c r="B285" s="42" t="s">
        <v>299</v>
      </c>
      <c r="C285" s="43">
        <v>466706384.53999996</v>
      </c>
      <c r="D285" s="16"/>
      <c r="E285" s="16"/>
    </row>
    <row r="286" spans="1:5" x14ac:dyDescent="0.25">
      <c r="A286" s="16" t="s">
        <v>437</v>
      </c>
      <c r="B286" s="42" t="s">
        <v>299</v>
      </c>
      <c r="C286" s="43">
        <v>126473791.79000001</v>
      </c>
      <c r="D286" s="16"/>
      <c r="E286" s="16"/>
    </row>
    <row r="287" spans="1:5" x14ac:dyDescent="0.25">
      <c r="A287" s="16" t="s">
        <v>438</v>
      </c>
      <c r="B287" s="42" t="s">
        <v>299</v>
      </c>
      <c r="C287" s="43">
        <v>0</v>
      </c>
      <c r="D287" s="16"/>
      <c r="E287" s="16"/>
    </row>
    <row r="288" spans="1:5" x14ac:dyDescent="0.25">
      <c r="A288" s="16" t="s">
        <v>439</v>
      </c>
      <c r="B288" s="42" t="s">
        <v>299</v>
      </c>
      <c r="C288" s="43">
        <v>166543000</v>
      </c>
      <c r="D288" s="16"/>
      <c r="E288" s="16"/>
    </row>
    <row r="289" spans="1:5" x14ac:dyDescent="0.25">
      <c r="A289" s="16" t="s">
        <v>398</v>
      </c>
      <c r="B289" s="42" t="s">
        <v>299</v>
      </c>
      <c r="C289" s="43">
        <v>14158000</v>
      </c>
      <c r="D289" s="16"/>
      <c r="E289" s="16"/>
    </row>
    <row r="290" spans="1:5" x14ac:dyDescent="0.25">
      <c r="A290" s="16" t="s">
        <v>399</v>
      </c>
      <c r="B290" s="42" t="s">
        <v>299</v>
      </c>
      <c r="C290" s="43">
        <v>26763138.239999998</v>
      </c>
      <c r="D290" s="16"/>
      <c r="E290" s="16"/>
    </row>
    <row r="291" spans="1:5" x14ac:dyDescent="0.25">
      <c r="A291" s="16" t="s">
        <v>440</v>
      </c>
      <c r="B291" s="16"/>
      <c r="C291" s="23"/>
      <c r="D291" s="28">
        <f>SUM(C283:C290)</f>
        <v>810783314.56999993</v>
      </c>
      <c r="E291" s="16"/>
    </row>
    <row r="292" spans="1:5" x14ac:dyDescent="0.25">
      <c r="A292" s="16" t="s">
        <v>441</v>
      </c>
      <c r="B292" s="42" t="s">
        <v>299</v>
      </c>
      <c r="C292" s="43">
        <v>538940000</v>
      </c>
      <c r="D292" s="16"/>
      <c r="E292" s="16"/>
    </row>
    <row r="293" spans="1:5" x14ac:dyDescent="0.25">
      <c r="A293" s="16" t="s">
        <v>442</v>
      </c>
      <c r="B293" s="16"/>
      <c r="C293" s="23"/>
      <c r="D293" s="28">
        <f>D291-C292</f>
        <v>271843314.56999993</v>
      </c>
      <c r="E293" s="16"/>
    </row>
    <row r="294" spans="1:5" x14ac:dyDescent="0.25">
      <c r="A294" s="41" t="s">
        <v>443</v>
      </c>
      <c r="B294" s="41"/>
      <c r="C294" s="41"/>
      <c r="D294" s="41"/>
      <c r="E294" s="41"/>
    </row>
    <row r="295" spans="1:5" x14ac:dyDescent="0.25">
      <c r="A295" s="16" t="s">
        <v>444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445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446</v>
      </c>
      <c r="B297" s="42" t="s">
        <v>299</v>
      </c>
      <c r="C297" s="43">
        <v>0</v>
      </c>
      <c r="D297" s="16"/>
      <c r="E297" s="16"/>
    </row>
    <row r="298" spans="1:5" x14ac:dyDescent="0.25">
      <c r="A298" s="16" t="s">
        <v>434</v>
      </c>
      <c r="B298" s="42" t="s">
        <v>299</v>
      </c>
      <c r="C298" s="43">
        <v>65768751</v>
      </c>
      <c r="D298" s="16"/>
      <c r="E298" s="16"/>
    </row>
    <row r="299" spans="1:5" x14ac:dyDescent="0.25">
      <c r="A299" s="16" t="s">
        <v>447</v>
      </c>
      <c r="B299" s="16"/>
      <c r="C299" s="23"/>
      <c r="D299" s="28">
        <f>C295-C296+C297+C298</f>
        <v>65768751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448</v>
      </c>
      <c r="B301" s="41"/>
      <c r="C301" s="41"/>
      <c r="D301" s="41"/>
      <c r="E301" s="41"/>
    </row>
    <row r="302" spans="1:5" x14ac:dyDescent="0.25">
      <c r="A302" s="16" t="s">
        <v>449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450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451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452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453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454</v>
      </c>
      <c r="B308" s="16"/>
      <c r="C308" s="23"/>
      <c r="D308" s="28">
        <f>D276+D281+D293+D299+D306</f>
        <v>1169735501.5699999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1169735501.5699999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455</v>
      </c>
      <c r="B312" s="34"/>
      <c r="C312" s="34"/>
      <c r="D312" s="34"/>
      <c r="E312" s="34"/>
    </row>
    <row r="313" spans="1:6" x14ac:dyDescent="0.25">
      <c r="A313" s="41" t="s">
        <v>456</v>
      </c>
      <c r="B313" s="41"/>
      <c r="C313" s="41"/>
      <c r="D313" s="41"/>
      <c r="E313" s="41"/>
    </row>
    <row r="314" spans="1:6" x14ac:dyDescent="0.25">
      <c r="A314" s="16" t="s">
        <v>457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458</v>
      </c>
      <c r="B315" s="42" t="s">
        <v>299</v>
      </c>
      <c r="C315" s="43">
        <v>46942880</v>
      </c>
      <c r="D315" s="16"/>
      <c r="E315" s="16"/>
    </row>
    <row r="316" spans="1:6" x14ac:dyDescent="0.25">
      <c r="A316" s="16" t="s">
        <v>459</v>
      </c>
      <c r="B316" s="42" t="s">
        <v>299</v>
      </c>
      <c r="C316" s="43">
        <v>73243579</v>
      </c>
      <c r="D316" s="16"/>
      <c r="E316" s="16"/>
    </row>
    <row r="317" spans="1:6" x14ac:dyDescent="0.25">
      <c r="A317" s="16" t="s">
        <v>460</v>
      </c>
      <c r="B317" s="42" t="s">
        <v>299</v>
      </c>
      <c r="C317" s="43">
        <v>0</v>
      </c>
      <c r="D317" s="16"/>
      <c r="E317" s="16"/>
    </row>
    <row r="318" spans="1:6" x14ac:dyDescent="0.25">
      <c r="A318" s="16" t="s">
        <v>461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462</v>
      </c>
      <c r="B319" s="42" t="s">
        <v>299</v>
      </c>
      <c r="C319" s="43">
        <v>80403602</v>
      </c>
      <c r="D319" s="16"/>
      <c r="E319" s="16"/>
    </row>
    <row r="320" spans="1:6" x14ac:dyDescent="0.25">
      <c r="A320" s="16" t="s">
        <v>463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464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465</v>
      </c>
      <c r="B322" s="42" t="s">
        <v>299</v>
      </c>
      <c r="C322" s="43">
        <v>14986072</v>
      </c>
      <c r="D322" s="16"/>
      <c r="E322" s="16"/>
    </row>
    <row r="323" spans="1:5" x14ac:dyDescent="0.25">
      <c r="A323" s="16" t="s">
        <v>466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467</v>
      </c>
      <c r="B324" s="16"/>
      <c r="C324" s="23"/>
      <c r="D324" s="28">
        <f>SUM(C314:C323)</f>
        <v>215576133</v>
      </c>
      <c r="E324" s="16"/>
    </row>
    <row r="325" spans="1:5" x14ac:dyDescent="0.25">
      <c r="A325" s="41" t="s">
        <v>468</v>
      </c>
      <c r="B325" s="41"/>
      <c r="C325" s="41"/>
      <c r="D325" s="41"/>
      <c r="E325" s="41"/>
    </row>
    <row r="326" spans="1:5" x14ac:dyDescent="0.25">
      <c r="A326" s="16" t="s">
        <v>469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470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471</v>
      </c>
      <c r="B328" s="42" t="s">
        <v>299</v>
      </c>
      <c r="C328" s="43">
        <v>35512962</v>
      </c>
      <c r="D328" s="16"/>
      <c r="E328" s="16"/>
    </row>
    <row r="329" spans="1:5" x14ac:dyDescent="0.25">
      <c r="A329" s="16" t="s">
        <v>472</v>
      </c>
      <c r="B329" s="16"/>
      <c r="C329" s="23"/>
      <c r="D329" s="28">
        <f>SUM(C326:C328)</f>
        <v>35512962</v>
      </c>
      <c r="E329" s="16"/>
    </row>
    <row r="330" spans="1:5" x14ac:dyDescent="0.25">
      <c r="A330" s="41" t="s">
        <v>473</v>
      </c>
      <c r="B330" s="41"/>
      <c r="C330" s="41"/>
      <c r="D330" s="41"/>
      <c r="E330" s="41"/>
    </row>
    <row r="331" spans="1:5" x14ac:dyDescent="0.25">
      <c r="A331" s="16" t="s">
        <v>474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475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476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477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478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479</v>
      </c>
      <c r="B336" s="42" t="s">
        <v>299</v>
      </c>
      <c r="C336" s="43">
        <v>20426328</v>
      </c>
      <c r="D336" s="16"/>
      <c r="E336" s="16"/>
    </row>
    <row r="337" spans="1:5" x14ac:dyDescent="0.25">
      <c r="A337" s="22" t="s">
        <v>480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481</v>
      </c>
      <c r="B338" s="42" t="s">
        <v>299</v>
      </c>
      <c r="C338" s="43">
        <v>151343832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177753529</v>
      </c>
      <c r="E339" s="16"/>
    </row>
    <row r="340" spans="1:5" x14ac:dyDescent="0.25">
      <c r="A340" s="16" t="s">
        <v>482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483</v>
      </c>
      <c r="B341" s="16"/>
      <c r="C341" s="23"/>
      <c r="D341" s="28">
        <f>D339-D340</f>
        <v>177753529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484</v>
      </c>
      <c r="B343" s="42" t="s">
        <v>299</v>
      </c>
      <c r="C343" s="291">
        <v>746876077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485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486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487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488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489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490</v>
      </c>
      <c r="B350" s="16"/>
      <c r="C350" s="23"/>
      <c r="D350" s="28">
        <f>D324+D329+D341+C343+C347+C348</f>
        <v>1175718701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491</v>
      </c>
      <c r="B352" s="16"/>
      <c r="C352" s="23"/>
      <c r="D352" s="28">
        <f>D308</f>
        <v>1169735501.5699999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492</v>
      </c>
      <c r="B356" s="34"/>
      <c r="C356" s="34"/>
      <c r="D356" s="34"/>
      <c r="E356" s="34"/>
    </row>
    <row r="357" spans="1:5" x14ac:dyDescent="0.25">
      <c r="A357" s="41" t="s">
        <v>493</v>
      </c>
      <c r="B357" s="41"/>
      <c r="C357" s="41"/>
      <c r="D357" s="41"/>
      <c r="E357" s="41"/>
    </row>
    <row r="358" spans="1:5" x14ac:dyDescent="0.25">
      <c r="A358" s="16" t="s">
        <v>494</v>
      </c>
      <c r="B358" s="42" t="s">
        <v>299</v>
      </c>
      <c r="C358" s="213">
        <v>2177549114</v>
      </c>
      <c r="D358" s="16"/>
      <c r="E358" s="16"/>
    </row>
    <row r="359" spans="1:5" x14ac:dyDescent="0.25">
      <c r="A359" s="16" t="s">
        <v>495</v>
      </c>
      <c r="B359" s="42" t="s">
        <v>299</v>
      </c>
      <c r="C359" s="213">
        <v>1206159270</v>
      </c>
      <c r="D359" s="16"/>
      <c r="E359" s="16"/>
    </row>
    <row r="360" spans="1:5" x14ac:dyDescent="0.25">
      <c r="A360" s="16" t="s">
        <v>496</v>
      </c>
      <c r="B360" s="16"/>
      <c r="C360" s="23"/>
      <c r="D360" s="28">
        <f>SUM(C358:C359)</f>
        <v>3383708384</v>
      </c>
      <c r="E360" s="16"/>
    </row>
    <row r="361" spans="1:5" x14ac:dyDescent="0.25">
      <c r="A361" s="41" t="s">
        <v>497</v>
      </c>
      <c r="B361" s="41"/>
      <c r="C361" s="41"/>
      <c r="D361" s="41"/>
      <c r="E361" s="41"/>
    </row>
    <row r="362" spans="1:5" x14ac:dyDescent="0.25">
      <c r="A362" s="16" t="s">
        <v>402</v>
      </c>
      <c r="B362" s="41"/>
      <c r="C362" s="43">
        <v>39655218.950000003</v>
      </c>
      <c r="D362" s="16"/>
      <c r="E362" s="41"/>
    </row>
    <row r="363" spans="1:5" x14ac:dyDescent="0.25">
      <c r="A363" s="16" t="s">
        <v>498</v>
      </c>
      <c r="B363" s="42" t="s">
        <v>299</v>
      </c>
      <c r="C363" s="43">
        <v>2032358473.04</v>
      </c>
      <c r="D363" s="16"/>
      <c r="E363" s="16"/>
    </row>
    <row r="364" spans="1:5" x14ac:dyDescent="0.25">
      <c r="A364" s="16" t="s">
        <v>499</v>
      </c>
      <c r="B364" s="42" t="s">
        <v>299</v>
      </c>
      <c r="C364" s="43">
        <v>110077882.01000001</v>
      </c>
      <c r="D364" s="16"/>
      <c r="E364" s="16"/>
    </row>
    <row r="365" spans="1:5" x14ac:dyDescent="0.25">
      <c r="A365" s="16" t="s">
        <v>500</v>
      </c>
      <c r="B365" s="42" t="s">
        <v>299</v>
      </c>
      <c r="C365" s="43">
        <v>0</v>
      </c>
      <c r="D365" s="16"/>
      <c r="E365" s="16"/>
    </row>
    <row r="366" spans="1:5" x14ac:dyDescent="0.25">
      <c r="A366" s="16" t="s">
        <v>419</v>
      </c>
      <c r="B366" s="16"/>
      <c r="C366" s="23"/>
      <c r="D366" s="28">
        <f>SUM(C362:C365)</f>
        <v>2182091574</v>
      </c>
      <c r="E366" s="16"/>
    </row>
    <row r="367" spans="1:5" x14ac:dyDescent="0.25">
      <c r="A367" s="16" t="s">
        <v>501</v>
      </c>
      <c r="B367" s="16"/>
      <c r="C367" s="23"/>
      <c r="D367" s="28">
        <f>D360-D366</f>
        <v>1201616810</v>
      </c>
      <c r="E367" s="16"/>
    </row>
    <row r="368" spans="1:5" x14ac:dyDescent="0.25">
      <c r="A368" s="54" t="s">
        <v>502</v>
      </c>
      <c r="B368" s="41"/>
      <c r="C368" s="41"/>
      <c r="D368" s="41"/>
      <c r="E368" s="41"/>
    </row>
    <row r="369" spans="1:6" x14ac:dyDescent="0.25">
      <c r="A369" s="28" t="s">
        <v>503</v>
      </c>
      <c r="B369" s="16"/>
      <c r="C369" s="16"/>
      <c r="D369" s="16"/>
      <c r="E369" s="16"/>
    </row>
    <row r="370" spans="1:6" x14ac:dyDescent="0.25">
      <c r="A370" s="55" t="s">
        <v>504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505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506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507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508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509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510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511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512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513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514</v>
      </c>
      <c r="B380" s="36" t="s">
        <v>299</v>
      </c>
      <c r="C380" s="214">
        <v>106943276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515</v>
      </c>
      <c r="B381" s="42"/>
      <c r="C381" s="42"/>
      <c r="D381" s="28">
        <f>SUM(C370:C380)</f>
        <v>106943276</v>
      </c>
      <c r="E381" s="28"/>
      <c r="F381" s="56"/>
    </row>
    <row r="382" spans="1:6" x14ac:dyDescent="0.25">
      <c r="A382" s="52" t="s">
        <v>516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517</v>
      </c>
      <c r="B383" s="16"/>
      <c r="C383" s="23"/>
      <c r="D383" s="28">
        <f>D381+C382</f>
        <v>106943276</v>
      </c>
      <c r="E383" s="16"/>
    </row>
    <row r="384" spans="1:6" x14ac:dyDescent="0.25">
      <c r="A384" s="16" t="s">
        <v>518</v>
      </c>
      <c r="B384" s="16"/>
      <c r="C384" s="23"/>
      <c r="D384" s="28">
        <f>D367+D383</f>
        <v>1308560086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519</v>
      </c>
      <c r="B388" s="41"/>
      <c r="C388" s="41"/>
      <c r="D388" s="41"/>
      <c r="E388" s="41"/>
    </row>
    <row r="389" spans="1:5" x14ac:dyDescent="0.25">
      <c r="A389" s="16" t="s">
        <v>520</v>
      </c>
      <c r="B389" s="42" t="s">
        <v>299</v>
      </c>
      <c r="C389" s="43">
        <v>559661204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159027451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44421612</v>
      </c>
      <c r="D391" s="16"/>
      <c r="E391" s="16"/>
    </row>
    <row r="392" spans="1:5" x14ac:dyDescent="0.25">
      <c r="A392" s="16" t="s">
        <v>521</v>
      </c>
      <c r="B392" s="42" t="s">
        <v>299</v>
      </c>
      <c r="C392" s="43">
        <v>225718568</v>
      </c>
      <c r="D392" s="16"/>
      <c r="E392" s="16"/>
    </row>
    <row r="393" spans="1:5" x14ac:dyDescent="0.25">
      <c r="A393" s="16" t="s">
        <v>522</v>
      </c>
      <c r="B393" s="42" t="s">
        <v>299</v>
      </c>
      <c r="C393" s="43">
        <v>13410241</v>
      </c>
      <c r="D393" s="16"/>
      <c r="E393" s="16"/>
    </row>
    <row r="394" spans="1:5" x14ac:dyDescent="0.25">
      <c r="A394" s="16" t="s">
        <v>523</v>
      </c>
      <c r="B394" s="42" t="s">
        <v>299</v>
      </c>
      <c r="C394" s="43">
        <v>274724028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41132454</v>
      </c>
      <c r="D395" s="16"/>
      <c r="E395" s="16"/>
    </row>
    <row r="396" spans="1:5" x14ac:dyDescent="0.25">
      <c r="A396" s="16" t="s">
        <v>524</v>
      </c>
      <c r="B396" s="42" t="s">
        <v>299</v>
      </c>
      <c r="C396" s="43">
        <v>3221393</v>
      </c>
      <c r="D396" s="16"/>
      <c r="E396" s="16"/>
    </row>
    <row r="397" spans="1:5" x14ac:dyDescent="0.25">
      <c r="A397" s="16" t="s">
        <v>525</v>
      </c>
      <c r="B397" s="42" t="s">
        <v>299</v>
      </c>
      <c r="C397" s="43">
        <v>11276632</v>
      </c>
      <c r="D397" s="16"/>
      <c r="E397" s="16"/>
    </row>
    <row r="398" spans="1:5" x14ac:dyDescent="0.25">
      <c r="A398" s="16" t="s">
        <v>526</v>
      </c>
      <c r="B398" s="42" t="s">
        <v>299</v>
      </c>
      <c r="C398" s="43">
        <v>2440443</v>
      </c>
      <c r="D398" s="16"/>
      <c r="E398" s="16"/>
    </row>
    <row r="399" spans="1:5" x14ac:dyDescent="0.25">
      <c r="A399" s="16" t="s">
        <v>527</v>
      </c>
      <c r="B399" s="42" t="s">
        <v>299</v>
      </c>
      <c r="C399" s="43">
        <v>0</v>
      </c>
      <c r="D399" s="16"/>
      <c r="E399" s="16"/>
    </row>
    <row r="400" spans="1:5" x14ac:dyDescent="0.25">
      <c r="A400" s="28" t="s">
        <v>528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529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1310951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530</v>
      </c>
      <c r="B415" s="42"/>
      <c r="C415" s="42"/>
      <c r="D415" s="28">
        <f>SUM(C401:C414)</f>
        <v>1310951</v>
      </c>
      <c r="E415" s="28"/>
      <c r="F415" s="56"/>
      <c r="G415" s="56"/>
      <c r="H415" s="56"/>
      <c r="I415" s="56"/>
    </row>
    <row r="416" spans="1:9" x14ac:dyDescent="0.25">
      <c r="A416" s="28" t="s">
        <v>531</v>
      </c>
      <c r="B416" s="16"/>
      <c r="C416" s="23"/>
      <c r="D416" s="28">
        <f>SUM(C389:C399,D415)</f>
        <v>1336344977</v>
      </c>
      <c r="E416" s="28"/>
    </row>
    <row r="417" spans="1:13" x14ac:dyDescent="0.25">
      <c r="A417" s="28" t="s">
        <v>532</v>
      </c>
      <c r="B417" s="16"/>
      <c r="C417" s="23"/>
      <c r="D417" s="28">
        <f>D384-D416</f>
        <v>-27784891</v>
      </c>
      <c r="E417" s="28"/>
    </row>
    <row r="418" spans="1:13" x14ac:dyDescent="0.25">
      <c r="A418" s="28" t="s">
        <v>533</v>
      </c>
      <c r="B418" s="16"/>
      <c r="C418" s="214">
        <v>49449013</v>
      </c>
      <c r="D418" s="28">
        <v>0</v>
      </c>
      <c r="E418" s="28"/>
    </row>
    <row r="419" spans="1:13" x14ac:dyDescent="0.25">
      <c r="A419" s="55" t="s">
        <v>534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535</v>
      </c>
      <c r="B420" s="16"/>
      <c r="C420" s="16"/>
      <c r="D420" s="28">
        <f>SUM(C418:C419)</f>
        <v>49449013</v>
      </c>
      <c r="E420" s="28"/>
      <c r="F420" s="11">
        <f>D420-C399</f>
        <v>49449013</v>
      </c>
    </row>
    <row r="421" spans="1:13" x14ac:dyDescent="0.25">
      <c r="A421" s="28" t="s">
        <v>536</v>
      </c>
      <c r="B421" s="16"/>
      <c r="C421" s="23"/>
      <c r="D421" s="28">
        <f>D417+D420</f>
        <v>21664122</v>
      </c>
      <c r="E421" s="28"/>
      <c r="F421" s="59"/>
    </row>
    <row r="422" spans="1:13" x14ac:dyDescent="0.25">
      <c r="A422" s="28" t="s">
        <v>537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538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539</v>
      </c>
      <c r="B424" s="16"/>
      <c r="C424" s="23"/>
      <c r="D424" s="28">
        <f>D421+C422-C423</f>
        <v>21664122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540</v>
      </c>
      <c r="D612" s="227">
        <f>CE90-(BE90+CD90)</f>
        <v>1432462.3286496648</v>
      </c>
      <c r="E612" s="229">
        <f>SUM(C624:D647)+SUM(C668:D713)</f>
        <v>1116331379.0965881</v>
      </c>
      <c r="F612" s="229">
        <f>CE64-(AX64+BD64+BE64+BG64+BJ64+BN64+BP64+BQ64+CB64+CC64+CD64)</f>
        <v>221387419.56000003</v>
      </c>
      <c r="G612" s="227">
        <f>CE91-(AX91+AY91+BD91+BE91+BG91+BJ91+BN91+BP91+BQ91+CB91+CC91+CD91)</f>
        <v>966103</v>
      </c>
      <c r="H612" s="232">
        <f>CE60-(AX60+AY60+AZ60+BD60+BE60+BG60+BJ60+BN60+BO60+BP60+BQ60+BR60+CB60+CC60+CD60)</f>
        <v>1224.2399999999993</v>
      </c>
      <c r="I612" s="227">
        <f>CE92-(AX92+AY92+AZ92+BD92+BE92+BF92+BG92+BJ92+BN92+BO92+BP92+BQ92+BR92+CB92+CC92+CD92)</f>
        <v>298409.18647162756</v>
      </c>
      <c r="J612" s="227">
        <f>CE93-(AX93+AY93+AZ93+BA93+BD93+BE93+BF93+BG93+BJ93+BN93+BO93+BP93+BQ93+BR93+CB93+CC93+CD93)</f>
        <v>67822.83</v>
      </c>
      <c r="K612" s="227">
        <f>CE89-(AW89+AX89+AY89+AZ89+BA89+BB89+BC89+BD89+BE89+BF89+BG89+BH89+BI89+BJ89+BK89+BL89+BM89+BN89+BO89+BP89+BQ89+BR89+BS89+BT89+BU89+BV89+BW89+BX89+CB89+CC89+CD89)</f>
        <v>3383708384.1300001</v>
      </c>
      <c r="L612" s="233">
        <f>CE94-(AW94+AX94+AY94+AZ94+BA94+BB94+BC94+BD94+BE94+BF94+BG94+BH94+BI94+BJ94+BK94+BL94+BM94+BN94+BO94+BP94+BQ94+BR94+BS94+BT94+BU94+BV94+BW94+BX94+BY94+BZ94+CA94+CB94+CC94+CD94)</f>
        <v>3570.33</v>
      </c>
    </row>
    <row r="613" spans="1:14" s="211" customFormat="1" ht="12.6" customHeight="1" x14ac:dyDescent="0.2">
      <c r="A613" s="222"/>
      <c r="C613" s="220" t="s">
        <v>541</v>
      </c>
      <c r="D613" s="228" t="s">
        <v>542</v>
      </c>
      <c r="E613" s="230" t="s">
        <v>543</v>
      </c>
      <c r="F613" s="231" t="s">
        <v>544</v>
      </c>
      <c r="G613" s="228" t="s">
        <v>545</v>
      </c>
      <c r="H613" s="231" t="s">
        <v>546</v>
      </c>
      <c r="I613" s="228" t="s">
        <v>547</v>
      </c>
      <c r="J613" s="228" t="s">
        <v>548</v>
      </c>
      <c r="K613" s="220" t="s">
        <v>549</v>
      </c>
      <c r="L613" s="221" t="s">
        <v>550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29986745.890000004</v>
      </c>
      <c r="D614" s="227"/>
      <c r="E614" s="229"/>
      <c r="F614" s="229"/>
      <c r="G614" s="227"/>
      <c r="H614" s="229"/>
      <c r="I614" s="227"/>
      <c r="J614" s="227"/>
      <c r="N614" s="223" t="s">
        <v>551</v>
      </c>
    </row>
    <row r="615" spans="1:14" s="211" customFormat="1" ht="12.6" customHeight="1" x14ac:dyDescent="0.2">
      <c r="A615" s="222"/>
      <c r="B615" s="221" t="s">
        <v>552</v>
      </c>
      <c r="C615" s="227">
        <f>CD69-CD84</f>
        <v>0</v>
      </c>
      <c r="D615" s="227">
        <f>SUM(C614:C615)</f>
        <v>29986745.890000004</v>
      </c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" customHeight="1" x14ac:dyDescent="0.2">
      <c r="A616" s="222">
        <v>8310</v>
      </c>
      <c r="B616" s="226" t="s">
        <v>554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12073696.24</v>
      </c>
      <c r="D617" s="227">
        <f>(D615/D612)*BJ90</f>
        <v>131568.3450442368</v>
      </c>
      <c r="E617" s="229"/>
      <c r="F617" s="229"/>
      <c r="G617" s="227"/>
      <c r="H617" s="229"/>
      <c r="I617" s="227"/>
      <c r="J617" s="227"/>
      <c r="N617" s="223" t="s">
        <v>556</v>
      </c>
    </row>
    <row r="618" spans="1:14" s="211" customFormat="1" ht="12.6" customHeight="1" x14ac:dyDescent="0.2">
      <c r="A618" s="222">
        <v>8470</v>
      </c>
      <c r="B618" s="226" t="s">
        <v>557</v>
      </c>
      <c r="C618" s="227">
        <f>BG85</f>
        <v>817583.99</v>
      </c>
      <c r="D618" s="227">
        <f>(D615/D612)*BG90</f>
        <v>186289.05370702676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" customHeight="1" x14ac:dyDescent="0.2">
      <c r="A619" s="222">
        <v>8610</v>
      </c>
      <c r="B619" s="226" t="s">
        <v>559</v>
      </c>
      <c r="C619" s="227">
        <f>BN85</f>
        <v>22503260.039999999</v>
      </c>
      <c r="D619" s="227">
        <f>(D615/D612)*BN90</f>
        <v>130933.3559485579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" customHeight="1" x14ac:dyDescent="0.2">
      <c r="A620" s="222">
        <v>8790</v>
      </c>
      <c r="B620" s="226" t="s">
        <v>561</v>
      </c>
      <c r="C620" s="227">
        <f>CC85</f>
        <v>79589224.489999995</v>
      </c>
      <c r="D620" s="227">
        <f>(D615/D612)*CC90</f>
        <v>2996370.4955146201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" customHeight="1" x14ac:dyDescent="0.2">
      <c r="A621" s="222">
        <v>8630</v>
      </c>
      <c r="B621" s="226" t="s">
        <v>563</v>
      </c>
      <c r="C621" s="227">
        <f>BP85</f>
        <v>1238066.5899999999</v>
      </c>
      <c r="D621" s="227">
        <f>(D615/D612)*BP90</f>
        <v>25301.873197051322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" customHeight="1" x14ac:dyDescent="0.2">
      <c r="A622" s="222">
        <v>8770</v>
      </c>
      <c r="B622" s="221" t="s">
        <v>565</v>
      </c>
      <c r="C622" s="227">
        <f>CB85</f>
        <v>1154400.2999999998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" customHeight="1" x14ac:dyDescent="0.2">
      <c r="A623" s="222">
        <v>8640</v>
      </c>
      <c r="B623" s="226" t="s">
        <v>567</v>
      </c>
      <c r="C623" s="227">
        <f>BQ85</f>
        <v>0</v>
      </c>
      <c r="D623" s="227">
        <f>(D615/D612)*BQ90</f>
        <v>0</v>
      </c>
      <c r="E623" s="229">
        <f>SUM(C616:D623)</f>
        <v>120846694.77341148</v>
      </c>
      <c r="F623" s="229"/>
      <c r="G623" s="227"/>
      <c r="H623" s="229"/>
      <c r="I623" s="227"/>
      <c r="J623" s="227"/>
      <c r="N623" s="223" t="s">
        <v>568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3743388.14</v>
      </c>
      <c r="D624" s="227">
        <f>(D615/D612)*BD90</f>
        <v>109839.15774814805</v>
      </c>
      <c r="E624" s="229">
        <f>(E623/E612)*SUM(C624:D624)</f>
        <v>417125.05073572625</v>
      </c>
      <c r="F624" s="229">
        <f>SUM(C624:E624)</f>
        <v>4270352.3484838745</v>
      </c>
      <c r="G624" s="227"/>
      <c r="H624" s="229"/>
      <c r="I624" s="227"/>
      <c r="J624" s="227"/>
      <c r="N624" s="223" t="s">
        <v>569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13408477.670000002</v>
      </c>
      <c r="D625" s="227">
        <f>(D615/D612)*AY90</f>
        <v>622924.30286099506</v>
      </c>
      <c r="E625" s="229">
        <f>(E623/E612)*SUM(C625:D625)</f>
        <v>1518947.3154733067</v>
      </c>
      <c r="F625" s="229">
        <f>(F624/F612)*AY64</f>
        <v>131798.64344596426</v>
      </c>
      <c r="G625" s="227">
        <f>SUM(C625:F625)</f>
        <v>15682147.931780269</v>
      </c>
      <c r="H625" s="229"/>
      <c r="I625" s="227"/>
      <c r="J625" s="227"/>
      <c r="N625" s="223" t="s">
        <v>570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7690619.5599999996</v>
      </c>
      <c r="D626" s="227">
        <f>(D615/D612)*BR90</f>
        <v>146780.17173192897</v>
      </c>
      <c r="E626" s="229">
        <f>(E623/E612)*SUM(C626:D626)</f>
        <v>848425.36090341117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571</v>
      </c>
    </row>
    <row r="627" spans="1:14" s="211" customFormat="1" ht="12.6" customHeight="1" x14ac:dyDescent="0.2">
      <c r="A627" s="222">
        <v>8620</v>
      </c>
      <c r="B627" s="221" t="s">
        <v>572</v>
      </c>
      <c r="C627" s="227">
        <f>BO85</f>
        <v>1945447.17</v>
      </c>
      <c r="D627" s="227">
        <f>(D615/D612)*BO90</f>
        <v>30563.211418390725</v>
      </c>
      <c r="E627" s="229">
        <f>(E623/E612)*SUM(C627:D627)</f>
        <v>213909.89082973677</v>
      </c>
      <c r="F627" s="229">
        <f>(F624/F612)*BO64</f>
        <v>1063.5473232249831</v>
      </c>
      <c r="G627" s="227">
        <f>(G625/G612)*BO91</f>
        <v>0</v>
      </c>
      <c r="H627" s="229"/>
      <c r="I627" s="227"/>
      <c r="J627" s="227"/>
      <c r="N627" s="223" t="s">
        <v>573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10876808.912206693</v>
      </c>
      <c r="I628" s="227"/>
      <c r="J628" s="227"/>
      <c r="N628" s="223" t="s">
        <v>574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19187364.729999993</v>
      </c>
      <c r="D629" s="227">
        <f>(D615/D612)*BF90</f>
        <v>665105.72135966446</v>
      </c>
      <c r="E629" s="229">
        <f>(E623/E612)*SUM(C629:D629)</f>
        <v>2149097.9130902435</v>
      </c>
      <c r="F629" s="229">
        <f>(F624/F612)*BF64</f>
        <v>30332.847208887353</v>
      </c>
      <c r="G629" s="227">
        <f>(G625/G612)*BF91</f>
        <v>0</v>
      </c>
      <c r="H629" s="229">
        <f>(H628/H612)*BF60</f>
        <v>88.845397244059171</v>
      </c>
      <c r="I629" s="227">
        <f>SUM(C629:H629)</f>
        <v>22031990.057056032</v>
      </c>
      <c r="J629" s="227"/>
      <c r="N629" s="223" t="s">
        <v>575</v>
      </c>
    </row>
    <row r="630" spans="1:14" s="211" customFormat="1" ht="12.6" customHeight="1" x14ac:dyDescent="0.2">
      <c r="A630" s="222">
        <v>8350</v>
      </c>
      <c r="B630" s="226" t="s">
        <v>576</v>
      </c>
      <c r="C630" s="227">
        <f>BA85</f>
        <v>1245824.9000000001</v>
      </c>
      <c r="D630" s="227">
        <f>(D615/D612)*BA90</f>
        <v>131107.80350231583</v>
      </c>
      <c r="E630" s="229">
        <f>(E623/E612)*SUM(C630:D630)</f>
        <v>149057.68059510534</v>
      </c>
      <c r="F630" s="229">
        <f>(F624/F612)*BA64</f>
        <v>12366.803120178894</v>
      </c>
      <c r="G630" s="227">
        <f>(G625/G612)*BA91</f>
        <v>0</v>
      </c>
      <c r="H630" s="229">
        <f>(H628/H612)*BA60</f>
        <v>0</v>
      </c>
      <c r="I630" s="227">
        <f>(I629/I612)*BA92</f>
        <v>115815.63260245752</v>
      </c>
      <c r="J630" s="227">
        <f>SUM(C630:I630)</f>
        <v>1654172.8198200576</v>
      </c>
      <c r="N630" s="223" t="s">
        <v>577</v>
      </c>
    </row>
    <row r="631" spans="1:14" s="211" customFormat="1" ht="12.6" customHeight="1" x14ac:dyDescent="0.2">
      <c r="A631" s="222">
        <v>8200</v>
      </c>
      <c r="B631" s="226" t="s">
        <v>578</v>
      </c>
      <c r="C631" s="227">
        <f>AW85</f>
        <v>34196968.350000001</v>
      </c>
      <c r="D631" s="227">
        <f>(D615/D612)*AW90</f>
        <v>0</v>
      </c>
      <c r="E631" s="229">
        <f>(E623/E612)*SUM(C631:D631)</f>
        <v>3701938.9347568448</v>
      </c>
      <c r="F631" s="229">
        <f>(F624/F612)*AW64</f>
        <v>11921.635833067598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579</v>
      </c>
    </row>
    <row r="632" spans="1:14" s="211" customFormat="1" ht="12.6" customHeight="1" x14ac:dyDescent="0.2">
      <c r="A632" s="222">
        <v>8360</v>
      </c>
      <c r="B632" s="226" t="s">
        <v>580</v>
      </c>
      <c r="C632" s="227">
        <f>BB85</f>
        <v>21461010.760000002</v>
      </c>
      <c r="D632" s="227">
        <f>(D615/D612)*BB90</f>
        <v>185912.24699090963</v>
      </c>
      <c r="E632" s="229">
        <f>(E623/E612)*SUM(C632:D632)</f>
        <v>2343353.5475159558</v>
      </c>
      <c r="F632" s="229">
        <f>(F624/F612)*BB64</f>
        <v>3208.0738672599241</v>
      </c>
      <c r="G632" s="227">
        <f>(G625/G612)*BB91</f>
        <v>0</v>
      </c>
      <c r="H632" s="229">
        <f>(H628/H612)*BB60</f>
        <v>8973.3851216499752</v>
      </c>
      <c r="I632" s="227">
        <f>(I629/I612)*BB92</f>
        <v>164227.7875047781</v>
      </c>
      <c r="J632" s="227">
        <f>(J630/J612)*BB93</f>
        <v>0</v>
      </c>
      <c r="N632" s="223" t="s">
        <v>581</v>
      </c>
    </row>
    <row r="633" spans="1:14" s="211" customFormat="1" ht="12.6" customHeight="1" x14ac:dyDescent="0.2">
      <c r="A633" s="222">
        <v>8370</v>
      </c>
      <c r="B633" s="226" t="s">
        <v>582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583</v>
      </c>
    </row>
    <row r="634" spans="1:14" s="211" customFormat="1" ht="12.6" customHeight="1" x14ac:dyDescent="0.2">
      <c r="A634" s="222">
        <v>8490</v>
      </c>
      <c r="B634" s="226" t="s">
        <v>584</v>
      </c>
      <c r="C634" s="227">
        <f>BI85</f>
        <v>154603.99000000011</v>
      </c>
      <c r="D634" s="227">
        <f>(D615/D612)*BI90</f>
        <v>609851.20318237529</v>
      </c>
      <c r="E634" s="229">
        <f>(E623/E612)*SUM(C634:D634)</f>
        <v>82754.892613716176</v>
      </c>
      <c r="F634" s="229">
        <f>(F624/F612)*BI64</f>
        <v>5347.542244491312</v>
      </c>
      <c r="G634" s="227">
        <f>(G625/G612)*BI91</f>
        <v>0</v>
      </c>
      <c r="H634" s="229">
        <f>(H628/H612)*BI60</f>
        <v>1776.9079448811835</v>
      </c>
      <c r="I634" s="227">
        <f>(I629/I612)*BI92</f>
        <v>538719.2905622056</v>
      </c>
      <c r="J634" s="227">
        <f>(J630/J612)*BI93</f>
        <v>0</v>
      </c>
      <c r="N634" s="223" t="s">
        <v>585</v>
      </c>
    </row>
    <row r="635" spans="1:14" s="211" customFormat="1" ht="12.6" customHeight="1" x14ac:dyDescent="0.2">
      <c r="A635" s="222">
        <v>8530</v>
      </c>
      <c r="B635" s="226" t="s">
        <v>586</v>
      </c>
      <c r="C635" s="227">
        <f>BK85</f>
        <v>24769057.629999999</v>
      </c>
      <c r="D635" s="227">
        <f>(D615/D612)*BK90</f>
        <v>156496.20268603109</v>
      </c>
      <c r="E635" s="229">
        <f>(E623/E612)*SUM(C635:D635)</f>
        <v>2698276.5623900141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138242.77601939195</v>
      </c>
      <c r="J635" s="227">
        <f>(J630/J612)*BK93</f>
        <v>0</v>
      </c>
      <c r="N635" s="223" t="s">
        <v>587</v>
      </c>
    </row>
    <row r="636" spans="1:14" s="211" customFormat="1" ht="12.6" customHeight="1" x14ac:dyDescent="0.2">
      <c r="A636" s="222">
        <v>8480</v>
      </c>
      <c r="B636" s="226" t="s">
        <v>588</v>
      </c>
      <c r="C636" s="227">
        <f>BH85</f>
        <v>82151402.829999998</v>
      </c>
      <c r="D636" s="227">
        <f>(D615/D612)*BH90</f>
        <v>2387614.8229698446</v>
      </c>
      <c r="E636" s="229">
        <f>(E623/E612)*SUM(C636:D636)</f>
        <v>9151638.1730845813</v>
      </c>
      <c r="F636" s="229">
        <f>(F624/F612)*BH64</f>
        <v>11317.220102553703</v>
      </c>
      <c r="G636" s="227">
        <f>(G625/G612)*BH91</f>
        <v>0</v>
      </c>
      <c r="H636" s="229">
        <f>(H628/H612)*BH60</f>
        <v>0</v>
      </c>
      <c r="I636" s="227">
        <f>(I629/I612)*BH92</f>
        <v>2109127.8607865078</v>
      </c>
      <c r="J636" s="227">
        <f>(J630/J612)*BH93</f>
        <v>0</v>
      </c>
      <c r="N636" s="223" t="s">
        <v>589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6101694.7699999996</v>
      </c>
      <c r="D637" s="227">
        <f>(D615/D612)*BL90</f>
        <v>61723.0334706336</v>
      </c>
      <c r="E637" s="229">
        <f>(E623/E612)*SUM(C637:D637)</f>
        <v>667211.08445396589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54523.773387888556</v>
      </c>
      <c r="J637" s="227">
        <f>(J630/J612)*BL93</f>
        <v>0</v>
      </c>
      <c r="N637" s="223" t="s">
        <v>590</v>
      </c>
    </row>
    <row r="638" spans="1:14" s="211" customFormat="1" ht="12.6" customHeight="1" x14ac:dyDescent="0.2">
      <c r="A638" s="222">
        <v>8590</v>
      </c>
      <c r="B638" s="226" t="s">
        <v>591</v>
      </c>
      <c r="C638" s="227">
        <f>BM85</f>
        <v>513.66</v>
      </c>
      <c r="D638" s="227">
        <f>(D615/D612)*BM90</f>
        <v>0</v>
      </c>
      <c r="E638" s="229">
        <f>(E623/E612)*SUM(C638:D638)</f>
        <v>55.605454079007586</v>
      </c>
      <c r="F638" s="229">
        <f>(F624/F612)*BM64</f>
        <v>9.9080118991483417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592</v>
      </c>
    </row>
    <row r="639" spans="1:14" s="211" customFormat="1" ht="12.6" customHeight="1" x14ac:dyDescent="0.2">
      <c r="A639" s="222">
        <v>8660</v>
      </c>
      <c r="B639" s="226" t="s">
        <v>593</v>
      </c>
      <c r="C639" s="227">
        <f>BS85</f>
        <v>269898.83999999997</v>
      </c>
      <c r="D639" s="227">
        <f>(D615/D612)*BS90</f>
        <v>13690.644018922969</v>
      </c>
      <c r="E639" s="229">
        <f>(E623/E612)*SUM(C639:D639)</f>
        <v>30699.5328250276</v>
      </c>
      <c r="F639" s="229">
        <f>(F624/F612)*BS64</f>
        <v>269.56616830523888</v>
      </c>
      <c r="G639" s="227">
        <f>(G625/G612)*BS91</f>
        <v>0</v>
      </c>
      <c r="H639" s="229">
        <f>(H628/H612)*BS60</f>
        <v>0</v>
      </c>
      <c r="I639" s="227">
        <f>(I629/I612)*BS92</f>
        <v>12093.792706691238</v>
      </c>
      <c r="J639" s="227">
        <f>(J630/J612)*BS93</f>
        <v>0</v>
      </c>
      <c r="N639" s="223" t="s">
        <v>594</v>
      </c>
    </row>
    <row r="640" spans="1:14" s="211" customFormat="1" ht="12.6" customHeight="1" x14ac:dyDescent="0.2">
      <c r="A640" s="222">
        <v>8670</v>
      </c>
      <c r="B640" s="226" t="s">
        <v>595</v>
      </c>
      <c r="C640" s="227">
        <f>BT85</f>
        <v>850967.32000000007</v>
      </c>
      <c r="D640" s="227">
        <f>(D615/D612)*BT90</f>
        <v>22126.927718656847</v>
      </c>
      <c r="E640" s="229">
        <f>(E623/E612)*SUM(C640:D640)</f>
        <v>94515.442312357307</v>
      </c>
      <c r="F640" s="229">
        <f>(F624/F612)*BT64</f>
        <v>71.308520634753648</v>
      </c>
      <c r="G640" s="227">
        <f>(G625/G612)*BT91</f>
        <v>0</v>
      </c>
      <c r="H640" s="229">
        <f>(H628/H612)*BT60</f>
        <v>0</v>
      </c>
      <c r="I640" s="227">
        <f>(I629/I612)*BT92</f>
        <v>19546.083931150821</v>
      </c>
      <c r="J640" s="227">
        <f>(J630/J612)*BT93</f>
        <v>0</v>
      </c>
      <c r="N640" s="223" t="s">
        <v>596</v>
      </c>
    </row>
    <row r="641" spans="1:14" s="211" customFormat="1" ht="12.6" customHeight="1" x14ac:dyDescent="0.2">
      <c r="A641" s="222">
        <v>8680</v>
      </c>
      <c r="B641" s="226" t="s">
        <v>597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598</v>
      </c>
    </row>
    <row r="642" spans="1:14" s="211" customFormat="1" ht="12.6" customHeight="1" x14ac:dyDescent="0.2">
      <c r="A642" s="222">
        <v>8690</v>
      </c>
      <c r="B642" s="226" t="s">
        <v>599</v>
      </c>
      <c r="C642" s="227">
        <f>BV85</f>
        <v>7013372.4199999999</v>
      </c>
      <c r="D642" s="227">
        <f>(D615/D612)*BV90</f>
        <v>567491.84817887272</v>
      </c>
      <c r="E642" s="229">
        <f>(E623/E612)*SUM(C642:D642)</f>
        <v>820654.51844295789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501300.65211879631</v>
      </c>
      <c r="J642" s="227">
        <f>(J630/J612)*BV93</f>
        <v>0</v>
      </c>
      <c r="N642" s="223" t="s">
        <v>600</v>
      </c>
    </row>
    <row r="643" spans="1:14" s="211" customFormat="1" ht="12.6" customHeight="1" x14ac:dyDescent="0.2">
      <c r="A643" s="222">
        <v>8700</v>
      </c>
      <c r="B643" s="226" t="s">
        <v>601</v>
      </c>
      <c r="C643" s="227">
        <f>BW85</f>
        <v>72507418.5</v>
      </c>
      <c r="D643" s="227">
        <f>(D615/D612)*BW90</f>
        <v>2689143.9306893647</v>
      </c>
      <c r="E643" s="229">
        <f>(E623/E612)*SUM(C643:D643)</f>
        <v>8140285.4011192713</v>
      </c>
      <c r="F643" s="229">
        <f>(F624/F612)*BW64</f>
        <v>390.94288254350727</v>
      </c>
      <c r="G643" s="227">
        <f>(G625/G612)*BW91</f>
        <v>0</v>
      </c>
      <c r="H643" s="229">
        <f>(H628/H612)*BW60</f>
        <v>266.53619173217749</v>
      </c>
      <c r="I643" s="227">
        <f>(I629/I612)*BW92</f>
        <v>2375487.1729381597</v>
      </c>
      <c r="J643" s="227">
        <f>(J630/J612)*BW93</f>
        <v>1511286.494917549</v>
      </c>
      <c r="N643" s="223" t="s">
        <v>602</v>
      </c>
    </row>
    <row r="644" spans="1:14" s="211" customFormat="1" ht="12.6" customHeight="1" x14ac:dyDescent="0.2">
      <c r="A644" s="222">
        <v>8710</v>
      </c>
      <c r="B644" s="226" t="s">
        <v>603</v>
      </c>
      <c r="C644" s="227">
        <f>BX85</f>
        <v>10727564.719999999</v>
      </c>
      <c r="D644" s="227">
        <f>(D615/D612)*BX90</f>
        <v>197516.49826688768</v>
      </c>
      <c r="E644" s="229">
        <f>(E623/E612)*SUM(C644:D644)</f>
        <v>1182677.4558886571</v>
      </c>
      <c r="F644" s="229">
        <f>(F624/F612)*BX64</f>
        <v>3473.8927523979951</v>
      </c>
      <c r="G644" s="227">
        <f>(G625/G612)*BX91</f>
        <v>0</v>
      </c>
      <c r="H644" s="229">
        <f>(H628/H612)*BX60</f>
        <v>178135.02147433863</v>
      </c>
      <c r="I644" s="227">
        <f>(I629/I612)*BX92</f>
        <v>174478.54044628041</v>
      </c>
      <c r="J644" s="227">
        <f>(J630/J612)*BX93</f>
        <v>0</v>
      </c>
      <c r="K644" s="229">
        <f>SUM(C631:J644)</f>
        <v>303834298.46546525</v>
      </c>
      <c r="L644" s="229"/>
      <c r="N644" s="223" t="s">
        <v>604</v>
      </c>
    </row>
    <row r="645" spans="1:14" s="211" customFormat="1" ht="12.6" customHeight="1" x14ac:dyDescent="0.2">
      <c r="A645" s="222">
        <v>8720</v>
      </c>
      <c r="B645" s="226" t="s">
        <v>605</v>
      </c>
      <c r="C645" s="227">
        <f>BY85</f>
        <v>17202536.030000001</v>
      </c>
      <c r="D645" s="227">
        <f>(D615/D612)*BY90</f>
        <v>76083.556095987049</v>
      </c>
      <c r="E645" s="229">
        <f>(E623/E612)*SUM(C645:D645)</f>
        <v>1870469.7425209314</v>
      </c>
      <c r="F645" s="229">
        <f>(F624/F612)*BY64</f>
        <v>824.09270757208913</v>
      </c>
      <c r="G645" s="227">
        <f>(G625/G612)*BY91</f>
        <v>0</v>
      </c>
      <c r="H645" s="229">
        <f>(H628/H612)*BY60</f>
        <v>319665.73928412487</v>
      </c>
      <c r="I645" s="227">
        <f>(I629/I612)*BY92</f>
        <v>67209.311303469891</v>
      </c>
      <c r="J645" s="227">
        <f>(J630/J612)*BY93</f>
        <v>0</v>
      </c>
      <c r="K645" s="229">
        <v>0</v>
      </c>
      <c r="L645" s="229"/>
      <c r="N645" s="223" t="s">
        <v>606</v>
      </c>
    </row>
    <row r="646" spans="1:14" s="211" customFormat="1" ht="12.6" customHeight="1" x14ac:dyDescent="0.2">
      <c r="A646" s="222">
        <v>8730</v>
      </c>
      <c r="B646" s="226" t="s">
        <v>607</v>
      </c>
      <c r="C646" s="227">
        <f>BZ85</f>
        <v>12948075.310000001</v>
      </c>
      <c r="D646" s="227">
        <f>(D615/D612)*BZ90</f>
        <v>37806.273850420308</v>
      </c>
      <c r="E646" s="229">
        <f>(E623/E612)*SUM(C646:D646)</f>
        <v>1405766.1528758807</v>
      </c>
      <c r="F646" s="229">
        <f>(F624/F612)*BZ64</f>
        <v>89.738819294174775</v>
      </c>
      <c r="G646" s="227">
        <f>(G625/G612)*BZ91</f>
        <v>0</v>
      </c>
      <c r="H646" s="229">
        <f>(H628/H612)*BZ60</f>
        <v>206743.23938692568</v>
      </c>
      <c r="I646" s="227">
        <f>(I629/I612)*BZ92</f>
        <v>33396.620226734514</v>
      </c>
      <c r="J646" s="227">
        <f>(J630/J612)*BZ93</f>
        <v>0</v>
      </c>
      <c r="K646" s="229">
        <v>0</v>
      </c>
      <c r="L646" s="229"/>
      <c r="N646" s="223" t="s">
        <v>608</v>
      </c>
    </row>
    <row r="647" spans="1:14" s="211" customFormat="1" ht="12.6" customHeight="1" x14ac:dyDescent="0.2">
      <c r="A647" s="222">
        <v>8740</v>
      </c>
      <c r="B647" s="226" t="s">
        <v>609</v>
      </c>
      <c r="C647" s="227">
        <f>CA85</f>
        <v>6143936.3200000003</v>
      </c>
      <c r="D647" s="227">
        <f>(D615/D612)*CA90</f>
        <v>364131.35686109419</v>
      </c>
      <c r="E647" s="229">
        <f>(E623/E612)*SUM(C647:D647)</f>
        <v>704520.61353574973</v>
      </c>
      <c r="F647" s="229">
        <f>(F624/F612)*CA64</f>
        <v>3058.9243973221041</v>
      </c>
      <c r="G647" s="227">
        <f>(G625/G612)*CA91</f>
        <v>0</v>
      </c>
      <c r="H647" s="229">
        <f>(H628/H612)*CA60</f>
        <v>5419.569231887609</v>
      </c>
      <c r="I647" s="227">
        <f>(I629/I612)*CA92</f>
        <v>321659.75112620904</v>
      </c>
      <c r="J647" s="227">
        <f>(J630/J612)*CA93</f>
        <v>142886.32490250864</v>
      </c>
      <c r="K647" s="229">
        <v>0</v>
      </c>
      <c r="L647" s="229">
        <f>SUM(C645:K647)</f>
        <v>41854278.667126104</v>
      </c>
      <c r="N647" s="223" t="s">
        <v>610</v>
      </c>
    </row>
    <row r="648" spans="1:14" s="211" customFormat="1" ht="12.6" customHeight="1" x14ac:dyDescent="0.2">
      <c r="A648" s="222"/>
      <c r="B648" s="222"/>
      <c r="C648" s="211">
        <f>SUM(C614:C647)</f>
        <v>491083121.15999997</v>
      </c>
      <c r="L648" s="225"/>
    </row>
    <row r="666" spans="1:14" s="211" customFormat="1" ht="12.6" customHeight="1" x14ac:dyDescent="0.2">
      <c r="C666" s="220" t="s">
        <v>611</v>
      </c>
      <c r="M666" s="220" t="s">
        <v>612</v>
      </c>
    </row>
    <row r="667" spans="1:14" s="211" customFormat="1" ht="12.6" customHeight="1" x14ac:dyDescent="0.2">
      <c r="C667" s="220" t="s">
        <v>541</v>
      </c>
      <c r="D667" s="220" t="s">
        <v>542</v>
      </c>
      <c r="E667" s="221" t="s">
        <v>543</v>
      </c>
      <c r="F667" s="220" t="s">
        <v>544</v>
      </c>
      <c r="G667" s="220" t="s">
        <v>545</v>
      </c>
      <c r="H667" s="220" t="s">
        <v>546</v>
      </c>
      <c r="I667" s="220" t="s">
        <v>547</v>
      </c>
      <c r="J667" s="220" t="s">
        <v>548</v>
      </c>
      <c r="K667" s="220" t="s">
        <v>549</v>
      </c>
      <c r="L667" s="221" t="s">
        <v>550</v>
      </c>
      <c r="M667" s="220" t="s">
        <v>613</v>
      </c>
    </row>
    <row r="668" spans="1:14" s="211" customFormat="1" ht="12.6" customHeight="1" x14ac:dyDescent="0.2">
      <c r="A668" s="222">
        <v>6010</v>
      </c>
      <c r="B668" s="221" t="s">
        <v>340</v>
      </c>
      <c r="C668" s="227">
        <f>C85</f>
        <v>71427697.960000008</v>
      </c>
      <c r="D668" s="227">
        <f>(D615/D612)*C90</f>
        <v>1157547.2849494091</v>
      </c>
      <c r="E668" s="229">
        <f>(E623/E612)*SUM(C668:D668)</f>
        <v>7857601.3730513155</v>
      </c>
      <c r="F668" s="229">
        <f>(F624/F612)*C64</f>
        <v>124986.00877100257</v>
      </c>
      <c r="G668" s="227">
        <f>(G625/G612)*C91</f>
        <v>2661963.7051955936</v>
      </c>
      <c r="H668" s="229">
        <f>(H628/H612)*C60</f>
        <v>2200522.7989408574</v>
      </c>
      <c r="I668" s="227">
        <f>(I629/I612)*C92</f>
        <v>1022533.117727847</v>
      </c>
      <c r="J668" s="227">
        <f>(J630/J612)*C93</f>
        <v>0</v>
      </c>
      <c r="K668" s="227">
        <f>(K644/K612)*C89</f>
        <v>29316999.383324746</v>
      </c>
      <c r="L668" s="227">
        <f>(L647/L612)*C94</f>
        <v>4284567.6198132718</v>
      </c>
      <c r="M668" s="211">
        <f t="shared" ref="M668:M713" si="24">ROUND(SUM(D668:L668),0)</f>
        <v>48626721</v>
      </c>
      <c r="N668" s="221" t="s">
        <v>614</v>
      </c>
    </row>
    <row r="669" spans="1:14" s="211" customFormat="1" ht="12.6" customHeight="1" x14ac:dyDescent="0.2">
      <c r="A669" s="222">
        <v>6030</v>
      </c>
      <c r="B669" s="221" t="s">
        <v>341</v>
      </c>
      <c r="C669" s="227">
        <f>D85</f>
        <v>117252345.25999999</v>
      </c>
      <c r="D669" s="227">
        <f>(D615/D612)*D90</f>
        <v>2238062.2228960767</v>
      </c>
      <c r="E669" s="229">
        <f>(E623/E612)*SUM(C669:D669)</f>
        <v>12935245.816633729</v>
      </c>
      <c r="F669" s="229">
        <f>(F624/F612)*D64</f>
        <v>120264.16463417893</v>
      </c>
      <c r="G669" s="227">
        <f>(G625/G612)*D91</f>
        <v>9110811.0607896261</v>
      </c>
      <c r="H669" s="229">
        <f>(H628/H612)*D60</f>
        <v>3055393.2112231944</v>
      </c>
      <c r="I669" s="227">
        <f>(I629/I612)*D92</f>
        <v>1977018.7984561347</v>
      </c>
      <c r="J669" s="227">
        <f>(J630/J612)*D93</f>
        <v>0</v>
      </c>
      <c r="K669" s="227">
        <f>(K644/K612)*D89</f>
        <v>30261806.676044188</v>
      </c>
      <c r="L669" s="227">
        <f>(L647/L612)*D94</f>
        <v>8378991.3593743611</v>
      </c>
      <c r="M669" s="211">
        <f t="shared" si="24"/>
        <v>68077593</v>
      </c>
      <c r="N669" s="221" t="s">
        <v>615</v>
      </c>
    </row>
    <row r="670" spans="1:14" s="211" customFormat="1" ht="12.6" customHeight="1" x14ac:dyDescent="0.2">
      <c r="A670" s="222">
        <v>6070</v>
      </c>
      <c r="B670" s="221" t="s">
        <v>616</v>
      </c>
      <c r="C670" s="227">
        <f>E85</f>
        <v>8433400.1500000004</v>
      </c>
      <c r="D670" s="227">
        <f>(D615/D612)*E90</f>
        <v>56245.380282634353</v>
      </c>
      <c r="E670" s="229">
        <f>(E623/E612)*SUM(C670:D670)</f>
        <v>919033.20227618096</v>
      </c>
      <c r="F670" s="229">
        <f>(F624/F612)*E64</f>
        <v>2323.9636756245209</v>
      </c>
      <c r="G670" s="227">
        <f>(G625/G612)*E91</f>
        <v>789916.1526299197</v>
      </c>
      <c r="H670" s="229">
        <f>(H628/H612)*E60</f>
        <v>129270.05299010609</v>
      </c>
      <c r="I670" s="227">
        <f>(I629/I612)*E92</f>
        <v>49685.023502693541</v>
      </c>
      <c r="J670" s="227">
        <f>(J630/J612)*E93</f>
        <v>0</v>
      </c>
      <c r="K670" s="227">
        <f>(K644/K612)*E89</f>
        <v>3112035.175147776</v>
      </c>
      <c r="L670" s="227">
        <f>(L647/L612)*E94</f>
        <v>554371.39932958386</v>
      </c>
      <c r="M670" s="211">
        <f t="shared" si="24"/>
        <v>5612880</v>
      </c>
      <c r="N670" s="221" t="s">
        <v>617</v>
      </c>
    </row>
    <row r="671" spans="1:14" s="211" customFormat="1" ht="12.6" customHeight="1" x14ac:dyDescent="0.2">
      <c r="A671" s="222">
        <v>6100</v>
      </c>
      <c r="B671" s="221" t="s">
        <v>618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619</v>
      </c>
    </row>
    <row r="672" spans="1:14" s="211" customFormat="1" ht="12.6" customHeight="1" x14ac:dyDescent="0.2">
      <c r="A672" s="222">
        <v>6120</v>
      </c>
      <c r="B672" s="221" t="s">
        <v>620</v>
      </c>
      <c r="C672" s="227">
        <f>G85</f>
        <v>12562003.479999999</v>
      </c>
      <c r="D672" s="227">
        <f>(D615/D612)*G90</f>
        <v>265774.33710129361</v>
      </c>
      <c r="E672" s="229">
        <f>(E623/E612)*SUM(C672:D672)</f>
        <v>1388650.8786834446</v>
      </c>
      <c r="F672" s="229">
        <f>(F624/F612)*G64</f>
        <v>8576.1442871660038</v>
      </c>
      <c r="G672" s="227">
        <f>(G625/G612)*G91</f>
        <v>1034294.5854812326</v>
      </c>
      <c r="H672" s="229">
        <f>(H628/H612)*G60</f>
        <v>288747.54104319232</v>
      </c>
      <c r="I672" s="227">
        <f>(I629/I612)*G92</f>
        <v>234774.91162714368</v>
      </c>
      <c r="J672" s="227">
        <f>(J630/J612)*G93</f>
        <v>0</v>
      </c>
      <c r="K672" s="227">
        <f>(K644/K612)*G89</f>
        <v>3670221.3774205069</v>
      </c>
      <c r="L672" s="227">
        <f>(L647/L612)*G94</f>
        <v>808404.56117082061</v>
      </c>
      <c r="M672" s="211">
        <f t="shared" si="24"/>
        <v>7699444</v>
      </c>
      <c r="N672" s="221" t="s">
        <v>621</v>
      </c>
    </row>
    <row r="673" spans="1:14" s="211" customFormat="1" ht="12.6" customHeight="1" x14ac:dyDescent="0.2">
      <c r="A673" s="222">
        <v>6140</v>
      </c>
      <c r="B673" s="221" t="s">
        <v>622</v>
      </c>
      <c r="C673" s="227">
        <f>H85</f>
        <v>18974245.010000002</v>
      </c>
      <c r="D673" s="227">
        <f>(D615/D612)*H90</f>
        <v>670798.79501069756</v>
      </c>
      <c r="E673" s="229">
        <f>(E623/E612)*SUM(C673:D673)</f>
        <v>2126643.2682700912</v>
      </c>
      <c r="F673" s="229">
        <f>(F624/F612)*H64</f>
        <v>4397.0684723186232</v>
      </c>
      <c r="G673" s="227">
        <f>(G625/G612)*H91</f>
        <v>2085162.4276838994</v>
      </c>
      <c r="H673" s="229">
        <f>(H628/H612)*H60</f>
        <v>592954.1812068508</v>
      </c>
      <c r="I673" s="227">
        <f>(I629/I612)*H92</f>
        <v>592558.06838193198</v>
      </c>
      <c r="J673" s="227">
        <f>(J630/J612)*H93</f>
        <v>0</v>
      </c>
      <c r="K673" s="227">
        <f>(K644/K612)*H89</f>
        <v>6521337.1799412975</v>
      </c>
      <c r="L673" s="227">
        <f>(L647/L612)*H94</f>
        <v>1538735.2479594245</v>
      </c>
      <c r="M673" s="211">
        <f t="shared" si="24"/>
        <v>14132586</v>
      </c>
      <c r="N673" s="221" t="s">
        <v>623</v>
      </c>
    </row>
    <row r="674" spans="1:14" s="211" customFormat="1" ht="12.6" customHeight="1" x14ac:dyDescent="0.2">
      <c r="A674" s="222">
        <v>6150</v>
      </c>
      <c r="B674" s="221" t="s">
        <v>624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625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626</v>
      </c>
    </row>
    <row r="676" spans="1:14" s="211" customFormat="1" ht="12.6" customHeight="1" x14ac:dyDescent="0.2">
      <c r="A676" s="222">
        <v>6200</v>
      </c>
      <c r="B676" s="221" t="s">
        <v>346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627</v>
      </c>
    </row>
    <row r="677" spans="1:14" s="211" customFormat="1" ht="12.6" customHeight="1" x14ac:dyDescent="0.2">
      <c r="A677" s="222">
        <v>6210</v>
      </c>
      <c r="B677" s="221" t="s">
        <v>347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628</v>
      </c>
    </row>
    <row r="678" spans="1:14" s="211" customFormat="1" ht="12.6" customHeight="1" x14ac:dyDescent="0.2">
      <c r="A678" s="222">
        <v>6330</v>
      </c>
      <c r="B678" s="221" t="s">
        <v>629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630</v>
      </c>
    </row>
    <row r="679" spans="1:14" s="211" customFormat="1" ht="12.6" customHeight="1" x14ac:dyDescent="0.2">
      <c r="A679" s="222">
        <v>6400</v>
      </c>
      <c r="B679" s="221" t="s">
        <v>631</v>
      </c>
      <c r="C679" s="227">
        <f>N85</f>
        <v>189484.79999999993</v>
      </c>
      <c r="D679" s="227">
        <f>(D615/D612)*N90</f>
        <v>0</v>
      </c>
      <c r="E679" s="229">
        <f>(E623/E612)*SUM(C679:D679)</f>
        <v>20512.378509266699</v>
      </c>
      <c r="F679" s="229">
        <f>(F624/F612)*N64</f>
        <v>1668.3586720935325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43608.83073601294</v>
      </c>
      <c r="M679" s="211">
        <f t="shared" si="24"/>
        <v>65790</v>
      </c>
      <c r="N679" s="221" t="s">
        <v>632</v>
      </c>
    </row>
    <row r="680" spans="1:14" s="211" customFormat="1" ht="12.6" customHeight="1" x14ac:dyDescent="0.2">
      <c r="A680" s="222">
        <v>7010</v>
      </c>
      <c r="B680" s="221" t="s">
        <v>633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634</v>
      </c>
    </row>
    <row r="681" spans="1:14" s="211" customFormat="1" ht="12.6" customHeight="1" x14ac:dyDescent="0.2">
      <c r="A681" s="222">
        <v>7020</v>
      </c>
      <c r="B681" s="221" t="s">
        <v>635</v>
      </c>
      <c r="C681" s="227">
        <f>P85</f>
        <v>87519555.729999989</v>
      </c>
      <c r="D681" s="227">
        <f>(D615/D612)*P90</f>
        <v>1069154.5897100703</v>
      </c>
      <c r="E681" s="229">
        <f>(E623/E612)*SUM(C681:D681)</f>
        <v>9590031.2728286088</v>
      </c>
      <c r="F681" s="229">
        <f>(F624/F612)*P64</f>
        <v>1024172.9637944222</v>
      </c>
      <c r="G681" s="227">
        <f>(G625/G612)*P91</f>
        <v>0</v>
      </c>
      <c r="H681" s="229">
        <f>(H628/H612)*P60</f>
        <v>826706.42135597055</v>
      </c>
      <c r="I681" s="227">
        <f>(I629/I612)*P92</f>
        <v>944450.38242827042</v>
      </c>
      <c r="J681" s="227">
        <f>(J630/J612)*P93</f>
        <v>0</v>
      </c>
      <c r="K681" s="227">
        <f>(K644/K612)*P89</f>
        <v>65177024.964661688</v>
      </c>
      <c r="L681" s="227">
        <f>(L647/L612)*P94</f>
        <v>2480076.4060513168</v>
      </c>
      <c r="M681" s="211">
        <f t="shared" si="24"/>
        <v>81111617</v>
      </c>
      <c r="N681" s="221" t="s">
        <v>636</v>
      </c>
    </row>
    <row r="682" spans="1:14" s="211" customFormat="1" ht="12.6" customHeight="1" x14ac:dyDescent="0.2">
      <c r="A682" s="222">
        <v>7030</v>
      </c>
      <c r="B682" s="221" t="s">
        <v>637</v>
      </c>
      <c r="C682" s="227">
        <f>Q85</f>
        <v>13778339.370000001</v>
      </c>
      <c r="D682" s="227">
        <f>(D615/D612)*Q90</f>
        <v>307066.07307579753</v>
      </c>
      <c r="E682" s="229">
        <f>(E623/E612)*SUM(C682:D682)</f>
        <v>1524793.3760642349</v>
      </c>
      <c r="F682" s="229">
        <f>(F624/F612)*Q64</f>
        <v>16826.745591536001</v>
      </c>
      <c r="G682" s="227">
        <f>(G625/G612)*Q91</f>
        <v>0</v>
      </c>
      <c r="H682" s="229">
        <f>(H628/H612)*Q60</f>
        <v>493358.49089626054</v>
      </c>
      <c r="I682" s="227">
        <f>(I629/I612)*Q92</f>
        <v>271250.45614388445</v>
      </c>
      <c r="J682" s="227">
        <f>(J630/J612)*Q93</f>
        <v>0</v>
      </c>
      <c r="K682" s="227">
        <f>(K644/K612)*Q89</f>
        <v>2429746.0927753798</v>
      </c>
      <c r="L682" s="227">
        <f>(L647/L612)*Q94</f>
        <v>842283.4646189597</v>
      </c>
      <c r="M682" s="211">
        <f t="shared" si="24"/>
        <v>5885325</v>
      </c>
      <c r="N682" s="221" t="s">
        <v>638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16852059.420000002</v>
      </c>
      <c r="D683" s="227">
        <f>(D615/D612)*R90</f>
        <v>148733.98433401788</v>
      </c>
      <c r="E683" s="229">
        <f>(E623/E612)*SUM(C683:D683)</f>
        <v>1840394.1069022124</v>
      </c>
      <c r="F683" s="229">
        <f>(F624/F612)*R64</f>
        <v>48972.192458656129</v>
      </c>
      <c r="G683" s="227">
        <f>(G625/G612)*R91</f>
        <v>0</v>
      </c>
      <c r="H683" s="229">
        <f>(H628/H612)*R60</f>
        <v>0</v>
      </c>
      <c r="I683" s="227">
        <f>(I629/I612)*R92</f>
        <v>131385.92841137803</v>
      </c>
      <c r="J683" s="227">
        <f>(J630/J612)*R93</f>
        <v>0</v>
      </c>
      <c r="K683" s="227">
        <f>(K644/K612)*R89</f>
        <v>10920504.927619563</v>
      </c>
      <c r="L683" s="227">
        <f>(L647/L612)*R94</f>
        <v>700789.22080614371</v>
      </c>
      <c r="M683" s="211">
        <f t="shared" si="24"/>
        <v>13790780</v>
      </c>
      <c r="N683" s="221" t="s">
        <v>639</v>
      </c>
    </row>
    <row r="684" spans="1:14" s="211" customFormat="1" ht="12.6" customHeight="1" x14ac:dyDescent="0.2">
      <c r="A684" s="222">
        <v>7050</v>
      </c>
      <c r="B684" s="221" t="s">
        <v>640</v>
      </c>
      <c r="C684" s="227">
        <f>S85</f>
        <v>15869888.630000001</v>
      </c>
      <c r="D684" s="227">
        <f>(D615/D612)*S90</f>
        <v>847187.10007004975</v>
      </c>
      <c r="E684" s="229">
        <f>(E623/E612)*SUM(C684:D684)</f>
        <v>1809680.6970441586</v>
      </c>
      <c r="F684" s="229">
        <f>(F624/F612)*S64</f>
        <v>40375.391916803055</v>
      </c>
      <c r="G684" s="227">
        <f>(G625/G612)*S91</f>
        <v>0</v>
      </c>
      <c r="H684" s="229">
        <f>(H628/H612)*S60</f>
        <v>533.07238346435497</v>
      </c>
      <c r="I684" s="227">
        <f>(I629/I612)*S92</f>
        <v>748372.76886818721</v>
      </c>
      <c r="J684" s="227">
        <f>(J630/J612)*S93</f>
        <v>0</v>
      </c>
      <c r="K684" s="227">
        <f>(K644/K612)*S89</f>
        <v>0</v>
      </c>
      <c r="L684" s="227">
        <f>(L647/L612)*S94</f>
        <v>706064.48258872575</v>
      </c>
      <c r="M684" s="211">
        <f t="shared" si="24"/>
        <v>4152214</v>
      </c>
      <c r="N684" s="221" t="s">
        <v>641</v>
      </c>
    </row>
    <row r="685" spans="1:14" s="211" customFormat="1" ht="12.6" customHeight="1" x14ac:dyDescent="0.2">
      <c r="A685" s="222">
        <v>7060</v>
      </c>
      <c r="B685" s="221" t="s">
        <v>642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643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38386963.310000002</v>
      </c>
      <c r="D686" s="227">
        <f>(D615/D612)*U90</f>
        <v>1144759.7372703403</v>
      </c>
      <c r="E686" s="229">
        <f>(E623/E612)*SUM(C686:D686)</f>
        <v>4279444.4001266146</v>
      </c>
      <c r="F686" s="229">
        <f>(F624/F612)*U64</f>
        <v>163456.34457644215</v>
      </c>
      <c r="G686" s="227">
        <f>(G625/G612)*U91</f>
        <v>0</v>
      </c>
      <c r="H686" s="229">
        <f>(H628/H612)*U60</f>
        <v>0</v>
      </c>
      <c r="I686" s="227">
        <f>(I629/I612)*U92</f>
        <v>1011237.0858798324</v>
      </c>
      <c r="J686" s="227">
        <f>(J630/J612)*U93</f>
        <v>0</v>
      </c>
      <c r="K686" s="227">
        <f>(K644/K612)*U89</f>
        <v>21003542.893737212</v>
      </c>
      <c r="L686" s="227">
        <f>(L647/L612)*U94</f>
        <v>1726300.1113401253</v>
      </c>
      <c r="M686" s="211">
        <f t="shared" si="24"/>
        <v>29328741</v>
      </c>
      <c r="N686" s="221" t="s">
        <v>644</v>
      </c>
    </row>
    <row r="687" spans="1:14" s="211" customFormat="1" ht="12.6" customHeight="1" x14ac:dyDescent="0.2">
      <c r="A687" s="222">
        <v>7110</v>
      </c>
      <c r="B687" s="221" t="s">
        <v>645</v>
      </c>
      <c r="C687" s="227">
        <f>V85</f>
        <v>12218899.5</v>
      </c>
      <c r="D687" s="227">
        <f>(D615/D612)*V90</f>
        <v>414829.30493422609</v>
      </c>
      <c r="E687" s="229">
        <f>(E623/E612)*SUM(C687:D687)</f>
        <v>1367644.4085765011</v>
      </c>
      <c r="F687" s="229">
        <f>(F624/F612)*V64</f>
        <v>33976.313445783955</v>
      </c>
      <c r="G687" s="227">
        <f>(G625/G612)*V91</f>
        <v>0</v>
      </c>
      <c r="H687" s="229">
        <f>(H628/H612)*V60</f>
        <v>72675.534945640393</v>
      </c>
      <c r="I687" s="227">
        <f>(I629/I612)*V92</f>
        <v>366444.3846177815</v>
      </c>
      <c r="J687" s="227">
        <f>(J630/J612)*V93</f>
        <v>0</v>
      </c>
      <c r="K687" s="227">
        <f>(K644/K612)*V89</f>
        <v>8301240.1092831688</v>
      </c>
      <c r="L687" s="227">
        <f>(L647/L612)*V94</f>
        <v>719780.16322343948</v>
      </c>
      <c r="M687" s="211">
        <f t="shared" si="24"/>
        <v>11276590</v>
      </c>
      <c r="N687" s="221" t="s">
        <v>646</v>
      </c>
    </row>
    <row r="688" spans="1:14" s="211" customFormat="1" ht="12.6" customHeight="1" x14ac:dyDescent="0.2">
      <c r="A688" s="222">
        <v>7120</v>
      </c>
      <c r="B688" s="221" t="s">
        <v>647</v>
      </c>
      <c r="C688" s="227">
        <f>W85</f>
        <v>2900073.79</v>
      </c>
      <c r="D688" s="227">
        <f>(D615/D612)*W90</f>
        <v>43730.512776039883</v>
      </c>
      <c r="E688" s="229">
        <f>(E623/E612)*SUM(C688:D688)</f>
        <v>318676.89712182776</v>
      </c>
      <c r="F688" s="229">
        <f>(F624/F612)*W64</f>
        <v>3613.5109255252282</v>
      </c>
      <c r="G688" s="227">
        <f>(G625/G612)*W91</f>
        <v>0</v>
      </c>
      <c r="H688" s="229">
        <f>(H628/H612)*W60</f>
        <v>0</v>
      </c>
      <c r="I688" s="227">
        <f>(I629/I612)*W92</f>
        <v>38629.866917856263</v>
      </c>
      <c r="J688" s="227">
        <f>(J630/J612)*W93</f>
        <v>0</v>
      </c>
      <c r="K688" s="227">
        <f>(K644/K612)*W89</f>
        <v>3512770.278863206</v>
      </c>
      <c r="L688" s="227">
        <f>(L647/L612)*W94</f>
        <v>136101.75399062104</v>
      </c>
      <c r="M688" s="211">
        <f t="shared" si="24"/>
        <v>4053523</v>
      </c>
      <c r="N688" s="221" t="s">
        <v>648</v>
      </c>
    </row>
    <row r="689" spans="1:14" s="211" customFormat="1" ht="12.6" customHeight="1" x14ac:dyDescent="0.2">
      <c r="A689" s="222">
        <v>7130</v>
      </c>
      <c r="B689" s="221" t="s">
        <v>649</v>
      </c>
      <c r="C689" s="227">
        <f>X85</f>
        <v>6482918.7300000004</v>
      </c>
      <c r="D689" s="227">
        <f>(D615/D612)*X90</f>
        <v>48063.790011387064</v>
      </c>
      <c r="E689" s="229">
        <f>(E623/E612)*SUM(C689:D689)</f>
        <v>707001.22378089488</v>
      </c>
      <c r="F689" s="229">
        <f>(F624/F612)*X64</f>
        <v>13679.419877441012</v>
      </c>
      <c r="G689" s="227">
        <f>(G625/G612)*X91</f>
        <v>0</v>
      </c>
      <c r="H689" s="229">
        <f>(H628/H612)*X60</f>
        <v>0</v>
      </c>
      <c r="I689" s="227">
        <f>(I629/I612)*X92</f>
        <v>42457.718737864045</v>
      </c>
      <c r="J689" s="227">
        <f>(J630/J612)*X93</f>
        <v>0</v>
      </c>
      <c r="K689" s="227">
        <f>(K644/K612)*X89</f>
        <v>18640092.855895367</v>
      </c>
      <c r="L689" s="227">
        <f>(L647/L612)*X94</f>
        <v>328238.51091622654</v>
      </c>
      <c r="M689" s="211">
        <f t="shared" si="24"/>
        <v>19779534</v>
      </c>
      <c r="N689" s="221" t="s">
        <v>650</v>
      </c>
    </row>
    <row r="690" spans="1:14" s="211" customFormat="1" ht="12.6" customHeight="1" x14ac:dyDescent="0.2">
      <c r="A690" s="222">
        <v>7140</v>
      </c>
      <c r="B690" s="221" t="s">
        <v>651</v>
      </c>
      <c r="C690" s="227">
        <f>Y85</f>
        <v>33357143.82</v>
      </c>
      <c r="D690" s="227">
        <f>(D615/D612)*Y90</f>
        <v>753205.22495849826</v>
      </c>
      <c r="E690" s="229">
        <f>(E623/E612)*SUM(C690:D690)</f>
        <v>3692562.0983498041</v>
      </c>
      <c r="F690" s="229">
        <f>(F624/F612)*Y64</f>
        <v>136400.06837684437</v>
      </c>
      <c r="G690" s="227">
        <f>(G625/G612)*Y91</f>
        <v>0</v>
      </c>
      <c r="H690" s="229">
        <f>(H628/H612)*Y60</f>
        <v>170316.62651686143</v>
      </c>
      <c r="I690" s="227">
        <f>(I629/I612)*Y92</f>
        <v>665352.76526468515</v>
      </c>
      <c r="J690" s="227">
        <f>(J630/J612)*Y93</f>
        <v>0</v>
      </c>
      <c r="K690" s="227">
        <f>(K644/K612)*Y89</f>
        <v>15828502.099973068</v>
      </c>
      <c r="L690" s="227">
        <f>(L647/L612)*Y94</f>
        <v>1981388.3255378783</v>
      </c>
      <c r="M690" s="211">
        <f t="shared" si="24"/>
        <v>23227727</v>
      </c>
      <c r="N690" s="221" t="s">
        <v>652</v>
      </c>
    </row>
    <row r="691" spans="1:14" s="211" customFormat="1" ht="12.6" customHeight="1" x14ac:dyDescent="0.2">
      <c r="A691" s="222">
        <v>7150</v>
      </c>
      <c r="B691" s="221" t="s">
        <v>653</v>
      </c>
      <c r="C691" s="227">
        <f>Z85</f>
        <v>1982665.51</v>
      </c>
      <c r="D691" s="227">
        <f>(D615/D612)*Z90</f>
        <v>59933.201569077159</v>
      </c>
      <c r="E691" s="229">
        <f>(E623/E612)*SUM(C691:D691)</f>
        <v>221118.3056068107</v>
      </c>
      <c r="F691" s="229">
        <f>(F624/F612)*Z64</f>
        <v>5356.818925881058</v>
      </c>
      <c r="G691" s="227">
        <f>(G625/G612)*Z91</f>
        <v>0</v>
      </c>
      <c r="H691" s="229">
        <f>(H628/H612)*Z60</f>
        <v>32961.642377545948</v>
      </c>
      <c r="I691" s="227">
        <f>(I629/I612)*Z92</f>
        <v>52942.704157885339</v>
      </c>
      <c r="J691" s="227">
        <f>(J630/J612)*Z93</f>
        <v>0</v>
      </c>
      <c r="K691" s="227">
        <f>(K644/K612)*Z89</f>
        <v>2430682.5379874222</v>
      </c>
      <c r="L691" s="227">
        <f>(L647/L612)*Z94</f>
        <v>101753.9383840302</v>
      </c>
      <c r="M691" s="211">
        <f t="shared" si="24"/>
        <v>2904749</v>
      </c>
      <c r="N691" s="221" t="s">
        <v>654</v>
      </c>
    </row>
    <row r="692" spans="1:14" s="211" customFormat="1" ht="12.6" customHeight="1" x14ac:dyDescent="0.2">
      <c r="A692" s="222">
        <v>7160</v>
      </c>
      <c r="B692" s="221" t="s">
        <v>655</v>
      </c>
      <c r="C692" s="227">
        <f>AA85</f>
        <v>1144103.6900000002</v>
      </c>
      <c r="D692" s="227">
        <f>(D615/D612)*AA90</f>
        <v>35461.698727913623</v>
      </c>
      <c r="E692" s="229">
        <f>(E623/E612)*SUM(C692:D692)</f>
        <v>127691.99286706527</v>
      </c>
      <c r="F692" s="229">
        <f>(F624/F612)*AA64</f>
        <v>3958.929921055807</v>
      </c>
      <c r="G692" s="227">
        <f>(G625/G612)*AA91</f>
        <v>0</v>
      </c>
      <c r="H692" s="229">
        <f>(H628/H612)*AA60</f>
        <v>0</v>
      </c>
      <c r="I692" s="227">
        <f>(I629/I612)*AA92</f>
        <v>31325.511995619199</v>
      </c>
      <c r="J692" s="227">
        <f>(J630/J612)*AA93</f>
        <v>0</v>
      </c>
      <c r="K692" s="227">
        <f>(K644/K612)*AA89</f>
        <v>327338.69039748173</v>
      </c>
      <c r="L692" s="227">
        <f>(L647/L612)*AA94</f>
        <v>35285.639923494346</v>
      </c>
      <c r="M692" s="211">
        <f t="shared" si="24"/>
        <v>561062</v>
      </c>
      <c r="N692" s="221" t="s">
        <v>656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108283684.64000002</v>
      </c>
      <c r="D693" s="227">
        <f>(D615/D612)*AB90</f>
        <v>467138.73973539553</v>
      </c>
      <c r="E693" s="229">
        <f>(E623/E612)*SUM(C693:D693)</f>
        <v>11772649.058708372</v>
      </c>
      <c r="F693" s="229">
        <f>(F624/F612)*AB64</f>
        <v>2012736.4500732936</v>
      </c>
      <c r="G693" s="227">
        <f>(G625/G612)*AB91</f>
        <v>0</v>
      </c>
      <c r="H693" s="229">
        <f>(H628/H612)*AB60</f>
        <v>0</v>
      </c>
      <c r="I693" s="227">
        <f>(I629/I612)*AB92</f>
        <v>412652.54401591711</v>
      </c>
      <c r="J693" s="227">
        <f>(J630/J612)*AB93</f>
        <v>0</v>
      </c>
      <c r="K693" s="227">
        <f>(K644/K612)*AB89</f>
        <v>32767334.257063065</v>
      </c>
      <c r="L693" s="227">
        <f>(L647/L612)*AB94</f>
        <v>2451707.2204649854</v>
      </c>
      <c r="M693" s="211">
        <f t="shared" si="24"/>
        <v>49884218</v>
      </c>
      <c r="N693" s="221" t="s">
        <v>657</v>
      </c>
    </row>
    <row r="694" spans="1:14" s="211" customFormat="1" ht="12.6" customHeight="1" x14ac:dyDescent="0.2">
      <c r="A694" s="222">
        <v>7180</v>
      </c>
      <c r="B694" s="221" t="s">
        <v>658</v>
      </c>
      <c r="C694" s="227">
        <f>AC85</f>
        <v>13598331.590000002</v>
      </c>
      <c r="D694" s="227">
        <f>(D615/D612)*AC90</f>
        <v>77580.316107230159</v>
      </c>
      <c r="E694" s="229">
        <f>(E623/E612)*SUM(C694:D694)</f>
        <v>1480464.2983366407</v>
      </c>
      <c r="F694" s="229">
        <f>(F624/F612)*AC64</f>
        <v>20724.515345382239</v>
      </c>
      <c r="G694" s="227">
        <f>(G625/G612)*AC91</f>
        <v>0</v>
      </c>
      <c r="H694" s="229">
        <f>(H628/H612)*AC60</f>
        <v>16436.398490150947</v>
      </c>
      <c r="I694" s="227">
        <f>(I629/I612)*AC92</f>
        <v>68531.492004583677</v>
      </c>
      <c r="J694" s="227">
        <f>(J630/J612)*AC93</f>
        <v>0</v>
      </c>
      <c r="K694" s="227">
        <f>(K644/K612)*AC89</f>
        <v>2251549.1675288728</v>
      </c>
      <c r="L694" s="227">
        <f>(L647/L612)*AC94</f>
        <v>856468.05741212529</v>
      </c>
      <c r="M694" s="211">
        <f t="shared" si="24"/>
        <v>4771754</v>
      </c>
      <c r="N694" s="221" t="s">
        <v>659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2255813.15</v>
      </c>
      <c r="D695" s="227">
        <f>(D615/D612)*AD90</f>
        <v>33535.797734425993</v>
      </c>
      <c r="E695" s="229">
        <f>(E623/E612)*SUM(C695:D695)</f>
        <v>247829.86369207443</v>
      </c>
      <c r="F695" s="229">
        <f>(F624/F612)*AD64</f>
        <v>72.278952591001271</v>
      </c>
      <c r="G695" s="227">
        <f>(G625/G612)*AD91</f>
        <v>0</v>
      </c>
      <c r="H695" s="229">
        <f>(H628/H612)*AD60</f>
        <v>0</v>
      </c>
      <c r="I695" s="227">
        <f>(I629/I612)*AD92</f>
        <v>29624.244520060191</v>
      </c>
      <c r="J695" s="227">
        <f>(J630/J612)*AD93</f>
        <v>0</v>
      </c>
      <c r="K695" s="227">
        <f>(K644/K612)*AD89</f>
        <v>1134384.6021147768</v>
      </c>
      <c r="L695" s="227">
        <f>(L647/L612)*AD94</f>
        <v>0</v>
      </c>
      <c r="M695" s="211">
        <f t="shared" si="24"/>
        <v>1445447</v>
      </c>
      <c r="N695" s="221" t="s">
        <v>660</v>
      </c>
    </row>
    <row r="696" spans="1:14" s="211" customFormat="1" ht="12.6" customHeight="1" x14ac:dyDescent="0.2">
      <c r="A696" s="222">
        <v>7200</v>
      </c>
      <c r="B696" s="221" t="s">
        <v>661</v>
      </c>
      <c r="C696" s="227">
        <f>AE85</f>
        <v>13057999.68</v>
      </c>
      <c r="D696" s="227">
        <f>(D615/D612)*AE90</f>
        <v>274582.09158126864</v>
      </c>
      <c r="E696" s="229">
        <f>(E623/E612)*SUM(C696:D696)</f>
        <v>1443297.6355065138</v>
      </c>
      <c r="F696" s="229">
        <f>(F624/F612)*AE64</f>
        <v>3090.216053871949</v>
      </c>
      <c r="G696" s="227">
        <f>(G625/G612)*AE91</f>
        <v>0</v>
      </c>
      <c r="H696" s="229">
        <f>(H628/H612)*AE60</f>
        <v>0</v>
      </c>
      <c r="I696" s="227">
        <f>(I629/I612)*AE92</f>
        <v>242555.34596938646</v>
      </c>
      <c r="J696" s="227">
        <f>(J630/J612)*AE93</f>
        <v>0</v>
      </c>
      <c r="K696" s="227">
        <f>(K644/K612)*AE89</f>
        <v>3158527.831530869</v>
      </c>
      <c r="L696" s="227">
        <f>(L647/L612)*AE94</f>
        <v>1019883.9446325608</v>
      </c>
      <c r="M696" s="211">
        <f t="shared" si="24"/>
        <v>6141937</v>
      </c>
      <c r="N696" s="221" t="s">
        <v>662</v>
      </c>
    </row>
    <row r="697" spans="1:14" s="211" customFormat="1" ht="12.6" customHeight="1" x14ac:dyDescent="0.2">
      <c r="A697" s="222">
        <v>7220</v>
      </c>
      <c r="B697" s="221" t="s">
        <v>663</v>
      </c>
      <c r="C697" s="227">
        <f>AF85</f>
        <v>4127303.63</v>
      </c>
      <c r="D697" s="227">
        <f>(D615/D612)*AF90</f>
        <v>350910.99475314014</v>
      </c>
      <c r="E697" s="229">
        <f>(E623/E612)*SUM(C697:D697)</f>
        <v>484782.06921436539</v>
      </c>
      <c r="F697" s="229">
        <f>(F624/F612)*AF64</f>
        <v>1097.0365809033374</v>
      </c>
      <c r="G697" s="227">
        <f>(G625/G612)*AF91</f>
        <v>0</v>
      </c>
      <c r="H697" s="229">
        <f>(H628/H612)*AF60</f>
        <v>38914.283992897916</v>
      </c>
      <c r="I697" s="227">
        <f>(I629/I612)*AF92</f>
        <v>309981.38752110745</v>
      </c>
      <c r="J697" s="227">
        <f>(J630/J612)*AF93</f>
        <v>0</v>
      </c>
      <c r="K697" s="227">
        <f>(K644/K612)*AF89</f>
        <v>812635.14875003195</v>
      </c>
      <c r="L697" s="227">
        <f>(L647/L612)*AF94</f>
        <v>941341.15809189237</v>
      </c>
      <c r="M697" s="211">
        <f t="shared" si="24"/>
        <v>2939662</v>
      </c>
      <c r="N697" s="221" t="s">
        <v>664</v>
      </c>
    </row>
    <row r="698" spans="1:14" s="211" customFormat="1" ht="12.6" customHeight="1" x14ac:dyDescent="0.2">
      <c r="A698" s="222">
        <v>7230</v>
      </c>
      <c r="B698" s="221" t="s">
        <v>665</v>
      </c>
      <c r="C698" s="227">
        <f>AG85</f>
        <v>43242845.120000005</v>
      </c>
      <c r="D698" s="227">
        <f>(D615/D612)*AG90</f>
        <v>551226.3582664826</v>
      </c>
      <c r="E698" s="229">
        <f>(E623/E612)*SUM(C698:D698)</f>
        <v>4740858.2146118507</v>
      </c>
      <c r="F698" s="229">
        <f>(F624/F612)*AG64</f>
        <v>81493.445128660343</v>
      </c>
      <c r="G698" s="227">
        <f>(G625/G612)*AG91</f>
        <v>0</v>
      </c>
      <c r="H698" s="229">
        <f>(H628/H612)*AG60</f>
        <v>755541.25816347927</v>
      </c>
      <c r="I698" s="227">
        <f>(I629/I612)*AG92</f>
        <v>486932.33876543376</v>
      </c>
      <c r="J698" s="227">
        <f>(J630/J612)*AG93</f>
        <v>0</v>
      </c>
      <c r="K698" s="227">
        <f>(K644/K612)*AG89</f>
        <v>23819455.09167967</v>
      </c>
      <c r="L698" s="227">
        <f>(L647/L612)*AG94</f>
        <v>2276451.3012436437</v>
      </c>
      <c r="M698" s="211">
        <f t="shared" si="24"/>
        <v>32711958</v>
      </c>
      <c r="N698" s="221" t="s">
        <v>666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125297.67</v>
      </c>
      <c r="D699" s="227">
        <f>(D615/D612)*AH90</f>
        <v>20619.700854188264</v>
      </c>
      <c r="E699" s="229">
        <f>(E623/E612)*SUM(C699:D699)</f>
        <v>15796.05510330196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18214.657211148118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54630</v>
      </c>
      <c r="N699" s="221" t="s">
        <v>667</v>
      </c>
    </row>
    <row r="700" spans="1:14" s="211" customFormat="1" ht="12.6" customHeight="1" x14ac:dyDescent="0.2">
      <c r="A700" s="222">
        <v>7250</v>
      </c>
      <c r="B700" s="221" t="s">
        <v>668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669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89944367.269999981</v>
      </c>
      <c r="D701" s="227">
        <f>(D615/D612)*AJ90</f>
        <v>6184803.6654048199</v>
      </c>
      <c r="E701" s="229">
        <f>(E623/E612)*SUM(C701:D701)</f>
        <v>10406311.957523894</v>
      </c>
      <c r="F701" s="229">
        <f>(F624/F612)*AJ64</f>
        <v>176794.86276027732</v>
      </c>
      <c r="G701" s="227">
        <f>(G625/G612)*AJ91</f>
        <v>0</v>
      </c>
      <c r="H701" s="229">
        <f>(H628/H612)*AJ60</f>
        <v>1364132.2292852844</v>
      </c>
      <c r="I701" s="227">
        <f>(I629/I612)*AJ92</f>
        <v>5463419.6431961805</v>
      </c>
      <c r="J701" s="227">
        <f>(J630/J612)*AJ93</f>
        <v>0</v>
      </c>
      <c r="K701" s="227">
        <f>(K644/K612)*AJ89</f>
        <v>16543085.225816449</v>
      </c>
      <c r="L701" s="227">
        <f>(L647/L612)*AJ94</f>
        <v>7918402.3917351244</v>
      </c>
      <c r="M701" s="211">
        <f t="shared" si="24"/>
        <v>48056950</v>
      </c>
      <c r="N701" s="221" t="s">
        <v>670</v>
      </c>
    </row>
    <row r="702" spans="1:14" s="211" customFormat="1" ht="12.6" customHeight="1" x14ac:dyDescent="0.2">
      <c r="A702" s="222">
        <v>7310</v>
      </c>
      <c r="B702" s="221" t="s">
        <v>671</v>
      </c>
      <c r="C702" s="227">
        <f>AK85</f>
        <v>4273863.7700000005</v>
      </c>
      <c r="D702" s="227">
        <f>(D615/D612)*AK90</f>
        <v>138932.84956866849</v>
      </c>
      <c r="E702" s="229">
        <f>(E623/E612)*SUM(C702:D702)</f>
        <v>477700.34612277686</v>
      </c>
      <c r="F702" s="229">
        <f>(F624/F612)*AK64</f>
        <v>551.29215186029887</v>
      </c>
      <c r="G702" s="227">
        <f>(G625/G612)*AK91</f>
        <v>0</v>
      </c>
      <c r="H702" s="229">
        <f>(H628/H612)*AK60</f>
        <v>0</v>
      </c>
      <c r="I702" s="227">
        <f>(I629/I612)*AK92</f>
        <v>122727.97981680161</v>
      </c>
      <c r="J702" s="227">
        <f>(J630/J612)*AK93</f>
        <v>0</v>
      </c>
      <c r="K702" s="227">
        <f>(K644/K612)*AK89</f>
        <v>1377851.2019222635</v>
      </c>
      <c r="L702" s="227">
        <f>(L647/L612)*AK94</f>
        <v>375481.4108802405</v>
      </c>
      <c r="M702" s="211">
        <f t="shared" si="24"/>
        <v>2493245</v>
      </c>
      <c r="N702" s="221" t="s">
        <v>672</v>
      </c>
    </row>
    <row r="703" spans="1:14" s="211" customFormat="1" ht="12.6" customHeight="1" x14ac:dyDescent="0.2">
      <c r="A703" s="222">
        <v>7320</v>
      </c>
      <c r="B703" s="221" t="s">
        <v>673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674</v>
      </c>
    </row>
    <row r="704" spans="1:14" s="211" customFormat="1" ht="12.6" customHeight="1" x14ac:dyDescent="0.2">
      <c r="A704" s="222">
        <v>7330</v>
      </c>
      <c r="B704" s="221" t="s">
        <v>675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676</v>
      </c>
    </row>
    <row r="705" spans="1:14" s="211" customFormat="1" ht="12.6" customHeight="1" x14ac:dyDescent="0.2">
      <c r="A705" s="222">
        <v>7340</v>
      </c>
      <c r="B705" s="221" t="s">
        <v>677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678</v>
      </c>
    </row>
    <row r="706" spans="1:14" s="211" customFormat="1" ht="12.6" customHeight="1" x14ac:dyDescent="0.2">
      <c r="A706" s="222">
        <v>7350</v>
      </c>
      <c r="B706" s="221" t="s">
        <v>679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680</v>
      </c>
    </row>
    <row r="707" spans="1:14" s="211" customFormat="1" ht="12.6" customHeight="1" x14ac:dyDescent="0.2">
      <c r="A707" s="222">
        <v>7380</v>
      </c>
      <c r="B707" s="221" t="s">
        <v>681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682</v>
      </c>
    </row>
    <row r="708" spans="1:14" s="211" customFormat="1" ht="12.6" customHeight="1" x14ac:dyDescent="0.2">
      <c r="A708" s="222">
        <v>7390</v>
      </c>
      <c r="B708" s="221" t="s">
        <v>683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684</v>
      </c>
    </row>
    <row r="709" spans="1:14" s="211" customFormat="1" ht="12.6" customHeight="1" x14ac:dyDescent="0.2">
      <c r="A709" s="222">
        <v>7400</v>
      </c>
      <c r="B709" s="221" t="s">
        <v>685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686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687</v>
      </c>
    </row>
    <row r="711" spans="1:14" s="211" customFormat="1" ht="12.6" customHeight="1" x14ac:dyDescent="0.2">
      <c r="A711" s="222">
        <v>7420</v>
      </c>
      <c r="B711" s="221" t="s">
        <v>688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689</v>
      </c>
    </row>
    <row r="712" spans="1:14" s="211" customFormat="1" ht="12.6" customHeight="1" x14ac:dyDescent="0.2">
      <c r="A712" s="222">
        <v>7430</v>
      </c>
      <c r="B712" s="221" t="s">
        <v>690</v>
      </c>
      <c r="C712" s="227">
        <f>AU85</f>
        <v>184690.58999999985</v>
      </c>
      <c r="D712" s="227">
        <f>(D615/D612)*AU90</f>
        <v>0</v>
      </c>
      <c r="E712" s="229">
        <f>(E623/E612)*SUM(C712:D712)</f>
        <v>19993.388858524722</v>
      </c>
      <c r="F712" s="229">
        <f>(F624/F612)*AU64</f>
        <v>57.56218126643985</v>
      </c>
      <c r="G712" s="227">
        <f>(G625/G612)*AU91</f>
        <v>0</v>
      </c>
      <c r="H712" s="229">
        <f>(H628/H612)*AU60</f>
        <v>33850.096349986547</v>
      </c>
      <c r="I712" s="227">
        <f>(I629/I612)*AU92</f>
        <v>0</v>
      </c>
      <c r="J712" s="227">
        <f>(J630/J612)*AU93</f>
        <v>0</v>
      </c>
      <c r="K712" s="227">
        <f>(K644/K612)*AU89</f>
        <v>41253.12200084237</v>
      </c>
      <c r="L712" s="227">
        <f>(L647/L612)*AU94</f>
        <v>99878.289750223194</v>
      </c>
      <c r="M712" s="211">
        <f t="shared" si="24"/>
        <v>195032</v>
      </c>
      <c r="N712" s="221" t="s">
        <v>691</v>
      </c>
    </row>
    <row r="713" spans="1:14" s="211" customFormat="1" ht="12.6" customHeight="1" x14ac:dyDescent="0.2">
      <c r="A713" s="222">
        <v>7490</v>
      </c>
      <c r="B713" s="221" t="s">
        <v>692</v>
      </c>
      <c r="C713" s="227">
        <f>AV85</f>
        <v>7668967.4400000013</v>
      </c>
      <c r="D713" s="227">
        <f>(D615/D612)*AV90</f>
        <v>80490.101303912568</v>
      </c>
      <c r="E713" s="229">
        <f>(E623/E612)*SUM(C713:D713)</f>
        <v>838905.31762292923</v>
      </c>
      <c r="F713" s="229">
        <f>(F624/F612)*AV64</f>
        <v>5185.5935273945151</v>
      </c>
      <c r="G713" s="227">
        <f>(G625/G612)*AV91</f>
        <v>0</v>
      </c>
      <c r="H713" s="229">
        <f>(H628/H612)*AV60</f>
        <v>83425.828012171565</v>
      </c>
      <c r="I713" s="227">
        <f>(I629/I612)*AV92</f>
        <v>71101.885255700021</v>
      </c>
      <c r="J713" s="227">
        <f>(J630/J612)*AV93</f>
        <v>0</v>
      </c>
      <c r="K713" s="227">
        <f>(K644/K612)*AV89</f>
        <v>474377.57398634061</v>
      </c>
      <c r="L713" s="227">
        <f>(L647/L612)*AV94</f>
        <v>547923.85715087247</v>
      </c>
      <c r="M713" s="211">
        <f t="shared" si="24"/>
        <v>2101410</v>
      </c>
      <c r="N713" s="223" t="s">
        <v>693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1237178073.8699999</v>
      </c>
      <c r="D715" s="211">
        <f>SUM(D616:D647)+SUM(D668:D713)</f>
        <v>29986745.889999993</v>
      </c>
      <c r="E715" s="211">
        <f>SUM(E624:E647)+SUM(E668:E713)</f>
        <v>120846694.77341151</v>
      </c>
      <c r="F715" s="211">
        <f>SUM(F625:F648)+SUM(F668:F713)</f>
        <v>4270352.3484838735</v>
      </c>
      <c r="G715" s="211">
        <f>SUM(G626:G647)+SUM(G668:G713)</f>
        <v>15682147.931780271</v>
      </c>
      <c r="H715" s="211">
        <f>SUM(H629:H647)+SUM(H668:H713)</f>
        <v>10876808.9122067</v>
      </c>
      <c r="I715" s="211">
        <f>SUM(I630:I647)+SUM(I668:I713)</f>
        <v>22031990.057056036</v>
      </c>
      <c r="J715" s="211">
        <f>SUM(J631:J647)+SUM(J668:J713)</f>
        <v>1654172.8198200576</v>
      </c>
      <c r="K715" s="211">
        <f>SUM(K668:K713)</f>
        <v>303834298.46546519</v>
      </c>
      <c r="L715" s="211">
        <f>SUM(L668:L713)</f>
        <v>41854278.667126104</v>
      </c>
      <c r="M715" s="211">
        <f>SUM(M668:M713)</f>
        <v>491083119</v>
      </c>
      <c r="N715" s="221" t="s">
        <v>694</v>
      </c>
    </row>
    <row r="716" spans="1:14" s="211" customFormat="1" ht="12.6" customHeight="1" x14ac:dyDescent="0.2">
      <c r="C716" s="224">
        <f>CE85</f>
        <v>1237178073.8699996</v>
      </c>
      <c r="D716" s="211">
        <f>D615</f>
        <v>29986745.890000004</v>
      </c>
      <c r="E716" s="211">
        <f>E623</f>
        <v>120846694.77341148</v>
      </c>
      <c r="F716" s="211">
        <f>F624</f>
        <v>4270352.3484838745</v>
      </c>
      <c r="G716" s="211">
        <f>G625</f>
        <v>15682147.931780269</v>
      </c>
      <c r="H716" s="211">
        <f>H628</f>
        <v>10876808.912206693</v>
      </c>
      <c r="I716" s="211">
        <f>I629</f>
        <v>22031990.057056032</v>
      </c>
      <c r="J716" s="211">
        <f>J630</f>
        <v>1654172.8198200576</v>
      </c>
      <c r="K716" s="211">
        <f>K644</f>
        <v>303834298.46546525</v>
      </c>
      <c r="L716" s="211">
        <f>L647</f>
        <v>41854278.667126104</v>
      </c>
      <c r="M716" s="211">
        <f>C648</f>
        <v>491083121.15999997</v>
      </c>
      <c r="N716" s="221" t="s">
        <v>695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display="branwong@uw.edu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27A0-A347-4725-9586-33C191B45F08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1053</v>
      </c>
      <c r="B1" s="11" t="s">
        <v>1054</v>
      </c>
      <c r="C1" s="11" t="s">
        <v>1055</v>
      </c>
      <c r="D1" s="11" t="s">
        <v>1056</v>
      </c>
      <c r="E1" s="11" t="s">
        <v>1057</v>
      </c>
      <c r="F1" s="11" t="s">
        <v>1058</v>
      </c>
      <c r="G1" s="11" t="s">
        <v>1059</v>
      </c>
      <c r="H1" s="11" t="s">
        <v>1060</v>
      </c>
      <c r="I1" s="11" t="s">
        <v>1061</v>
      </c>
      <c r="J1" s="11" t="s">
        <v>1062</v>
      </c>
      <c r="K1" s="11" t="s">
        <v>1063</v>
      </c>
      <c r="L1" s="11" t="s">
        <v>1064</v>
      </c>
      <c r="M1" s="11" t="s">
        <v>1065</v>
      </c>
      <c r="N1" s="11" t="s">
        <v>1066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029</v>
      </c>
      <c r="C2" s="11" t="str">
        <f>SUBSTITUTE(LEFT(data!C98,49),",","")</f>
        <v>Harborview Medical Center</v>
      </c>
      <c r="D2" s="11" t="str">
        <f>LEFT(data!C99, 49)</f>
        <v>325 Ninth Avenue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98104</v>
      </c>
      <c r="H2" s="11" t="str">
        <f>LEFT(data!C103, 100)</f>
        <v>King</v>
      </c>
      <c r="I2" s="11" t="str">
        <f>LEFT(data!C104, 49)</f>
        <v>Sommer Kleweno-Walley</v>
      </c>
      <c r="J2" s="11" t="str">
        <f>LEFT(data!C105, 49)</f>
        <v>Jacqueline Cabe</v>
      </c>
      <c r="K2" s="11" t="str">
        <f>LEFT(data!C107, 49)</f>
        <v>206.744.3000</v>
      </c>
      <c r="L2" s="11" t="str">
        <f>LEFT(data!C108, 49)</f>
        <v/>
      </c>
      <c r="M2" s="11" t="str">
        <f>LEFT(data!C109, 49)</f>
        <v>Austin Wynn</v>
      </c>
      <c r="N2" s="11" t="str">
        <f>LEFT(data!C110, 49)</f>
        <v>auswynn@uw.edu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354F-B898-4730-B7B7-F70038EC4F5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1067</v>
      </c>
      <c r="B1" s="12" t="s">
        <v>1068</v>
      </c>
      <c r="C1" s="10" t="s">
        <v>1069</v>
      </c>
      <c r="D1" s="10" t="s">
        <v>1070</v>
      </c>
      <c r="E1" s="10" t="s">
        <v>1071</v>
      </c>
      <c r="F1" s="10" t="s">
        <v>1072</v>
      </c>
      <c r="G1" s="10" t="s">
        <v>1073</v>
      </c>
      <c r="H1" s="10" t="s">
        <v>1074</v>
      </c>
      <c r="I1" s="10" t="s">
        <v>1075</v>
      </c>
      <c r="J1" s="10" t="s">
        <v>1076</v>
      </c>
      <c r="K1" s="10" t="s">
        <v>1077</v>
      </c>
      <c r="L1" s="10" t="s">
        <v>1078</v>
      </c>
      <c r="M1" s="10" t="s">
        <v>1079</v>
      </c>
      <c r="N1" s="10" t="s">
        <v>1080</v>
      </c>
      <c r="O1" s="10" t="s">
        <v>1081</v>
      </c>
      <c r="P1" s="10" t="s">
        <v>1082</v>
      </c>
      <c r="Q1" s="10" t="s">
        <v>1083</v>
      </c>
      <c r="R1" s="10" t="s">
        <v>1084</v>
      </c>
      <c r="S1" s="10" t="s">
        <v>1085</v>
      </c>
      <c r="T1" s="10" t="s">
        <v>1086</v>
      </c>
      <c r="U1" s="10" t="s">
        <v>1087</v>
      </c>
      <c r="V1" s="10" t="s">
        <v>1088</v>
      </c>
      <c r="W1" s="10" t="s">
        <v>1089</v>
      </c>
      <c r="X1" s="10" t="s">
        <v>1090</v>
      </c>
      <c r="Y1" s="10" t="s">
        <v>1091</v>
      </c>
      <c r="Z1" s="10" t="s">
        <v>1092</v>
      </c>
      <c r="AA1" s="10" t="s">
        <v>1093</v>
      </c>
      <c r="AB1" s="10" t="s">
        <v>1094</v>
      </c>
      <c r="AC1" s="10" t="s">
        <v>1095</v>
      </c>
      <c r="AD1" s="10" t="s">
        <v>1096</v>
      </c>
      <c r="AE1" s="10" t="s">
        <v>1097</v>
      </c>
      <c r="AF1" s="10" t="s">
        <v>1098</v>
      </c>
      <c r="AG1" s="10" t="s">
        <v>1099</v>
      </c>
      <c r="AH1" s="10" t="s">
        <v>1100</v>
      </c>
      <c r="AI1" s="10" t="s">
        <v>1101</v>
      </c>
      <c r="AJ1" s="10" t="s">
        <v>1102</v>
      </c>
      <c r="AK1" s="10" t="s">
        <v>1103</v>
      </c>
      <c r="AL1" s="10" t="s">
        <v>1104</v>
      </c>
      <c r="AM1" s="10" t="s">
        <v>1105</v>
      </c>
      <c r="AN1" s="10" t="s">
        <v>1106</v>
      </c>
      <c r="AO1" s="10" t="s">
        <v>1107</v>
      </c>
      <c r="AP1" s="10" t="s">
        <v>1108</v>
      </c>
      <c r="AQ1" s="10" t="s">
        <v>1109</v>
      </c>
      <c r="AR1" s="10" t="s">
        <v>1110</v>
      </c>
      <c r="AS1" s="10" t="s">
        <v>1111</v>
      </c>
      <c r="AT1" s="10" t="s">
        <v>1112</v>
      </c>
      <c r="AU1" s="10" t="s">
        <v>1113</v>
      </c>
      <c r="AV1" s="10" t="s">
        <v>1114</v>
      </c>
      <c r="AW1" s="10" t="s">
        <v>1115</v>
      </c>
      <c r="AX1" s="10" t="s">
        <v>1116</v>
      </c>
      <c r="AY1" s="10" t="s">
        <v>1117</v>
      </c>
      <c r="AZ1" s="10" t="s">
        <v>1118</v>
      </c>
      <c r="BA1" s="10" t="s">
        <v>1119</v>
      </c>
      <c r="BB1" s="10" t="s">
        <v>1120</v>
      </c>
      <c r="BC1" s="10" t="s">
        <v>1121</v>
      </c>
      <c r="BD1" s="10" t="s">
        <v>1122</v>
      </c>
      <c r="BE1" s="10" t="s">
        <v>1123</v>
      </c>
      <c r="BF1" s="10" t="s">
        <v>1124</v>
      </c>
      <c r="BG1" s="10" t="s">
        <v>1125</v>
      </c>
      <c r="BH1" s="10" t="s">
        <v>1126</v>
      </c>
      <c r="BI1" s="10" t="s">
        <v>1127</v>
      </c>
      <c r="BJ1" s="10" t="s">
        <v>1128</v>
      </c>
      <c r="BK1" s="10" t="s">
        <v>1129</v>
      </c>
      <c r="BL1" s="10" t="s">
        <v>1130</v>
      </c>
      <c r="BM1" s="10" t="s">
        <v>1131</v>
      </c>
      <c r="BN1" s="10" t="s">
        <v>1132</v>
      </c>
      <c r="BO1" s="10" t="s">
        <v>1133</v>
      </c>
      <c r="BP1" s="10" t="s">
        <v>1134</v>
      </c>
      <c r="BQ1" s="10" t="s">
        <v>1135</v>
      </c>
      <c r="BR1" s="10" t="s">
        <v>1136</v>
      </c>
      <c r="BS1" s="10" t="s">
        <v>1137</v>
      </c>
      <c r="BT1" s="10" t="s">
        <v>1138</v>
      </c>
      <c r="BU1" s="10" t="s">
        <v>1139</v>
      </c>
      <c r="BV1" s="10" t="s">
        <v>1140</v>
      </c>
      <c r="BW1" s="10" t="s">
        <v>1141</v>
      </c>
      <c r="BX1" s="10" t="s">
        <v>1142</v>
      </c>
      <c r="BY1" s="10" t="s">
        <v>1143</v>
      </c>
      <c r="BZ1" s="10" t="s">
        <v>1144</v>
      </c>
      <c r="CA1" s="10" t="s">
        <v>1145</v>
      </c>
      <c r="CB1" s="10" t="s">
        <v>1146</v>
      </c>
      <c r="CC1" s="10" t="s">
        <v>1147</v>
      </c>
      <c r="CD1" s="10" t="s">
        <v>1148</v>
      </c>
      <c r="CE1" s="10" t="s">
        <v>1149</v>
      </c>
      <c r="CF1" s="10" t="s">
        <v>1150</v>
      </c>
    </row>
    <row r="2" spans="1:84" s="178" customFormat="1" ht="12.6" customHeight="1" x14ac:dyDescent="0.25">
      <c r="A2" s="12" t="str">
        <f>RIGHT(data!C97,3)</f>
        <v>029</v>
      </c>
      <c r="B2" s="209" t="str">
        <f>RIGHT(data!C96,4)</f>
        <v>2023</v>
      </c>
      <c r="C2" s="12" t="s">
        <v>1151</v>
      </c>
      <c r="D2" s="208">
        <f>ROUND(N(data!C181),0)</f>
        <v>32945390</v>
      </c>
      <c r="E2" s="208">
        <f>ROUND(N(data!C182),0)</f>
        <v>771570</v>
      </c>
      <c r="F2" s="208">
        <f>ROUND(N(data!C183),0)</f>
        <v>2590031</v>
      </c>
      <c r="G2" s="208">
        <f>ROUND(N(data!C184),0)</f>
        <v>75451405</v>
      </c>
      <c r="H2" s="208">
        <f>ROUND(N(data!C185),0)</f>
        <v>0</v>
      </c>
      <c r="I2" s="208">
        <f>ROUND(N(data!C186),0)</f>
        <v>44147337</v>
      </c>
      <c r="J2" s="208">
        <f>ROUND(N(data!C187)+N(data!C188),0)</f>
        <v>3121718</v>
      </c>
      <c r="K2" s="208">
        <f>ROUND(N(data!C191),0)</f>
        <v>-177055</v>
      </c>
      <c r="L2" s="208">
        <f>ROUND(N(data!C192),0)</f>
        <v>3398447</v>
      </c>
      <c r="M2" s="208">
        <f>ROUND(N(data!C195),0)</f>
        <v>9205975</v>
      </c>
      <c r="N2" s="208">
        <f>ROUND(N(data!C196),0)</f>
        <v>2070657</v>
      </c>
      <c r="O2" s="208">
        <f>ROUND(N(data!C199),0)</f>
        <v>2548359</v>
      </c>
      <c r="P2" s="208">
        <f>ROUND(N(data!C200),0)</f>
        <v>-107916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2432000</v>
      </c>
      <c r="U2" s="208">
        <f>ROUND(N(data!C211),0)</f>
        <v>0</v>
      </c>
      <c r="V2" s="208">
        <f>ROUND(N(data!D211),0)</f>
        <v>0</v>
      </c>
      <c r="W2" s="208">
        <f>ROUND(N(data!B212),0)</f>
        <v>7378000</v>
      </c>
      <c r="X2" s="208">
        <f>ROUND(N(data!C212),0)</f>
        <v>329000</v>
      </c>
      <c r="Y2" s="208">
        <f>ROUND(N(data!D212),0)</f>
        <v>0</v>
      </c>
      <c r="Z2" s="208">
        <f>ROUND(N(data!B213),0)</f>
        <v>459243110</v>
      </c>
      <c r="AA2" s="208">
        <f>ROUND(N(data!C213),0)</f>
        <v>7463274</v>
      </c>
      <c r="AB2" s="208">
        <f>ROUND(N(data!D213),0)</f>
        <v>0</v>
      </c>
      <c r="AC2" s="208">
        <f>ROUND(N(data!B214),0)</f>
        <v>124164792</v>
      </c>
      <c r="AD2" s="208">
        <f>ROUND(N(data!C214),0)</f>
        <v>2309000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198937000</v>
      </c>
      <c r="AJ2" s="208">
        <f>ROUND(N(data!C216),0)</f>
        <v>9155000</v>
      </c>
      <c r="AK2" s="208">
        <f>ROUND(N(data!D216),0)</f>
        <v>41549000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14158000</v>
      </c>
      <c r="AP2" s="208">
        <f>ROUND(N(data!C218),0)</f>
        <v>0</v>
      </c>
      <c r="AQ2" s="208">
        <f>ROUND(N(data!D218),0)</f>
        <v>0</v>
      </c>
      <c r="AR2" s="208">
        <f>ROUND(N(data!B219),0)</f>
        <v>12521413</v>
      </c>
      <c r="AS2" s="208">
        <f>ROUND(N(data!C219),0)</f>
        <v>24343000</v>
      </c>
      <c r="AT2" s="208">
        <f>ROUND(N(data!D219),0)</f>
        <v>10101274</v>
      </c>
      <c r="AU2" s="208">
        <v>0</v>
      </c>
      <c r="AV2" s="208">
        <v>0</v>
      </c>
      <c r="AW2" s="208">
        <v>0</v>
      </c>
      <c r="AX2" s="208">
        <f>ROUND(N(data!B225),0)</f>
        <v>4972000</v>
      </c>
      <c r="AY2" s="208">
        <f>ROUND(N(data!C225),0)</f>
        <v>335000</v>
      </c>
      <c r="AZ2" s="208">
        <f>ROUND(N(data!D225),0)</f>
        <v>0</v>
      </c>
      <c r="BA2" s="208">
        <f>ROUND(N(data!B226),0)</f>
        <v>258074000</v>
      </c>
      <c r="BB2" s="208">
        <f>ROUND(N(data!C226),0)</f>
        <v>14729000</v>
      </c>
      <c r="BC2" s="208">
        <f>ROUND(N(data!D226),0)</f>
        <v>0</v>
      </c>
      <c r="BD2" s="208">
        <f>ROUND(N(data!B227),0)</f>
        <v>116890000</v>
      </c>
      <c r="BE2" s="208">
        <f>ROUND(N(data!C227),0)</f>
        <v>1190000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163444000</v>
      </c>
      <c r="BK2" s="208">
        <f>ROUND(N(data!C229),0)</f>
        <v>11304000</v>
      </c>
      <c r="BL2" s="208">
        <f>ROUND(N(data!D229),0)</f>
        <v>41549000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8714000</v>
      </c>
      <c r="BQ2" s="208">
        <f>ROUND(N(data!C231),0)</f>
        <v>837000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821525554</v>
      </c>
      <c r="BW2" s="208">
        <f>ROUND(N(data!C240),0)</f>
        <v>766807306</v>
      </c>
      <c r="BX2" s="208">
        <f>ROUND(N(data!C241),0)</f>
        <v>459231327</v>
      </c>
      <c r="BY2" s="208">
        <f>ROUND(N(data!C242),0)</f>
        <v>20303278</v>
      </c>
      <c r="BZ2" s="208">
        <f>ROUND(N(data!C243),0)</f>
        <v>0</v>
      </c>
      <c r="CA2" s="208">
        <f>ROUND(N(data!C244),0)</f>
        <v>-35508992</v>
      </c>
      <c r="CB2" s="208">
        <f>ROUND(N(data!C247),0)</f>
        <v>0</v>
      </c>
      <c r="CC2" s="208">
        <f>ROUND(N(data!C249),0)</f>
        <v>36096861</v>
      </c>
      <c r="CD2" s="208">
        <f>ROUND(N(data!C250),0)</f>
        <v>73981021</v>
      </c>
      <c r="CE2" s="208">
        <f>ROUND(N(data!C254)+N(data!C255),0)</f>
        <v>0</v>
      </c>
      <c r="CF2" s="208">
        <f>ROUND(N(data!D237),0)</f>
        <v>39655219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93C7-784D-434D-89B5-689C7A539B51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1152</v>
      </c>
      <c r="B1" s="12" t="s">
        <v>1153</v>
      </c>
      <c r="C1" s="12" t="s">
        <v>1154</v>
      </c>
      <c r="D1" s="10" t="s">
        <v>1155</v>
      </c>
      <c r="E1" s="10" t="s">
        <v>1156</v>
      </c>
      <c r="F1" s="10" t="s">
        <v>1157</v>
      </c>
      <c r="G1" s="10" t="s">
        <v>1158</v>
      </c>
      <c r="H1" s="10" t="s">
        <v>1159</v>
      </c>
      <c r="I1" s="10" t="s">
        <v>1160</v>
      </c>
      <c r="J1" s="10" t="s">
        <v>1161</v>
      </c>
      <c r="K1" s="10" t="s">
        <v>1162</v>
      </c>
      <c r="L1" s="10" t="s">
        <v>1163</v>
      </c>
      <c r="M1" s="10" t="s">
        <v>1164</v>
      </c>
      <c r="N1" s="10" t="s">
        <v>1165</v>
      </c>
      <c r="O1" s="10" t="s">
        <v>1166</v>
      </c>
      <c r="P1" s="10" t="s">
        <v>1167</v>
      </c>
      <c r="Q1" s="10" t="s">
        <v>1168</v>
      </c>
      <c r="R1" s="10" t="s">
        <v>1169</v>
      </c>
      <c r="S1" s="10" t="s">
        <v>1170</v>
      </c>
      <c r="T1" s="10" t="s">
        <v>1171</v>
      </c>
      <c r="U1" s="10" t="s">
        <v>1172</v>
      </c>
      <c r="V1" s="10" t="s">
        <v>1173</v>
      </c>
      <c r="W1" s="10" t="s">
        <v>1174</v>
      </c>
      <c r="X1" s="10" t="s">
        <v>1175</v>
      </c>
      <c r="Y1" s="10" t="s">
        <v>1176</v>
      </c>
      <c r="Z1" s="10" t="s">
        <v>1177</v>
      </c>
      <c r="AA1" s="10" t="s">
        <v>1178</v>
      </c>
      <c r="AB1" s="10" t="s">
        <v>1179</v>
      </c>
      <c r="AC1" s="10" t="s">
        <v>1180</v>
      </c>
      <c r="AD1" s="10" t="s">
        <v>1181</v>
      </c>
      <c r="AE1" s="10" t="s">
        <v>1182</v>
      </c>
      <c r="AF1" s="10" t="s">
        <v>1183</v>
      </c>
      <c r="AG1" s="10" t="s">
        <v>1184</v>
      </c>
      <c r="AH1" s="10" t="s">
        <v>1185</v>
      </c>
      <c r="AI1" s="10" t="s">
        <v>1186</v>
      </c>
      <c r="AJ1" s="10" t="s">
        <v>1187</v>
      </c>
      <c r="AK1" s="10" t="s">
        <v>1188</v>
      </c>
      <c r="AL1" s="10" t="s">
        <v>1189</v>
      </c>
      <c r="AM1" s="10" t="s">
        <v>1190</v>
      </c>
      <c r="AN1" s="10" t="s">
        <v>1191</v>
      </c>
      <c r="AO1" s="10" t="s">
        <v>1192</v>
      </c>
      <c r="AP1" s="10" t="s">
        <v>1193</v>
      </c>
      <c r="AQ1" s="10" t="s">
        <v>1194</v>
      </c>
      <c r="AR1" s="10" t="s">
        <v>1195</v>
      </c>
      <c r="AS1" s="10" t="s">
        <v>1196</v>
      </c>
      <c r="AT1" s="10" t="s">
        <v>1197</v>
      </c>
      <c r="AU1" s="10" t="s">
        <v>1198</v>
      </c>
      <c r="AV1" s="10" t="s">
        <v>1199</v>
      </c>
      <c r="AW1" s="10" t="s">
        <v>1200</v>
      </c>
      <c r="AX1" s="10" t="s">
        <v>1201</v>
      </c>
      <c r="AY1" s="10" t="s">
        <v>1202</v>
      </c>
      <c r="AZ1" s="10" t="s">
        <v>1203</v>
      </c>
      <c r="BA1" s="10" t="s">
        <v>1204</v>
      </c>
      <c r="BB1" s="10" t="s">
        <v>1205</v>
      </c>
      <c r="BC1" s="10" t="s">
        <v>1206</v>
      </c>
      <c r="BD1" s="10" t="s">
        <v>1207</v>
      </c>
      <c r="BE1" s="10" t="s">
        <v>1208</v>
      </c>
      <c r="BF1" s="10" t="s">
        <v>1209</v>
      </c>
      <c r="BG1" s="10" t="s">
        <v>1210</v>
      </c>
      <c r="BH1" s="10" t="s">
        <v>1211</v>
      </c>
      <c r="BI1" s="10" t="s">
        <v>1212</v>
      </c>
      <c r="BJ1" s="10" t="s">
        <v>1213</v>
      </c>
      <c r="BK1" s="10" t="s">
        <v>1214</v>
      </c>
      <c r="BL1" s="10" t="s">
        <v>1215</v>
      </c>
      <c r="BM1" s="10" t="s">
        <v>1216</v>
      </c>
      <c r="BN1" s="10" t="s">
        <v>1217</v>
      </c>
      <c r="BO1" s="10" t="s">
        <v>1218</v>
      </c>
      <c r="BP1" s="10" t="s">
        <v>1219</v>
      </c>
      <c r="BQ1" s="10" t="s">
        <v>1220</v>
      </c>
      <c r="BR1" s="10" t="s">
        <v>1221</v>
      </c>
      <c r="BS1" s="10" t="s">
        <v>1222</v>
      </c>
    </row>
    <row r="2" spans="1:87" s="178" customFormat="1" ht="12.6" customHeight="1" x14ac:dyDescent="0.25">
      <c r="A2" s="12" t="str">
        <f>RIGHT(data!C97,3)</f>
        <v>029</v>
      </c>
      <c r="B2" s="12" t="str">
        <f>RIGHT(data!C96,4)</f>
        <v>2023</v>
      </c>
      <c r="C2" s="12" t="s">
        <v>1151</v>
      </c>
      <c r="D2" s="207">
        <f>ROUND(N(data!C127),0)</f>
        <v>16024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173137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89</v>
      </c>
      <c r="M2" s="207">
        <f>ROUND(N(data!C133),0)</f>
        <v>278</v>
      </c>
      <c r="N2" s="207">
        <f>ROUND(N(data!C134),0)</f>
        <v>0</v>
      </c>
      <c r="O2" s="207">
        <f>ROUND(N(data!C135),0)</f>
        <v>0</v>
      </c>
      <c r="P2" s="207">
        <f>ROUND(N(data!C136),0)</f>
        <v>0</v>
      </c>
      <c r="Q2" s="207">
        <f>ROUND(N(data!C137),0)</f>
        <v>30</v>
      </c>
      <c r="R2" s="207">
        <f>ROUND(N(data!C138),0)</f>
        <v>66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5471</v>
      </c>
      <c r="Z2" s="207">
        <f>ROUND(N(data!B155),0)</f>
        <v>64353</v>
      </c>
      <c r="AA2" s="207">
        <f>ROUND(N(data!B156),0)</f>
        <v>122782</v>
      </c>
      <c r="AB2" s="207">
        <f>ROUND(N(data!B157),0)</f>
        <v>740630443</v>
      </c>
      <c r="AC2" s="207">
        <f>ROUND(N(data!B158),0)</f>
        <v>338618058</v>
      </c>
      <c r="AD2" s="207">
        <f>ROUND(N(data!C154),0)</f>
        <v>5657</v>
      </c>
      <c r="AE2" s="207">
        <f>ROUND(N(data!C155),0)</f>
        <v>68503</v>
      </c>
      <c r="AF2" s="207">
        <f>ROUND(N(data!C156),0)</f>
        <v>114979</v>
      </c>
      <c r="AG2" s="207">
        <f>ROUND(N(data!C157),0)</f>
        <v>765375162</v>
      </c>
      <c r="AH2" s="207">
        <f>ROUND(N(data!C158),0)</f>
        <v>336131703</v>
      </c>
      <c r="AI2" s="207">
        <f>ROUND(N(data!D154),0)</f>
        <v>4896</v>
      </c>
      <c r="AJ2" s="207">
        <f>ROUND(N(data!D155),0)</f>
        <v>40281</v>
      </c>
      <c r="AK2" s="207">
        <f>ROUND(N(data!D156),0)</f>
        <v>170083</v>
      </c>
      <c r="AL2" s="207">
        <f>ROUND(N(data!D157),0)</f>
        <v>671543509</v>
      </c>
      <c r="AM2" s="207">
        <f>ROUND(N(data!D158),0)</f>
        <v>531409509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47E1-6E10-4918-9FCD-5CA13CC4A779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1223</v>
      </c>
      <c r="B1" s="12" t="s">
        <v>1224</v>
      </c>
      <c r="C1" s="12" t="s">
        <v>1225</v>
      </c>
      <c r="D1" s="10" t="s">
        <v>1226</v>
      </c>
      <c r="E1" s="10" t="s">
        <v>1227</v>
      </c>
      <c r="F1" s="10" t="s">
        <v>1228</v>
      </c>
      <c r="G1" s="10" t="s">
        <v>1229</v>
      </c>
      <c r="H1" s="10" t="s">
        <v>1230</v>
      </c>
      <c r="I1" s="10" t="s">
        <v>1231</v>
      </c>
      <c r="J1" s="10" t="s">
        <v>1232</v>
      </c>
      <c r="K1" s="10" t="s">
        <v>1233</v>
      </c>
      <c r="L1" s="10" t="s">
        <v>1234</v>
      </c>
      <c r="M1" s="10" t="s">
        <v>1235</v>
      </c>
      <c r="N1" s="10" t="s">
        <v>1236</v>
      </c>
      <c r="O1" s="10" t="s">
        <v>1237</v>
      </c>
      <c r="P1" s="10" t="s">
        <v>1238</v>
      </c>
      <c r="Q1" s="10" t="s">
        <v>1239</v>
      </c>
      <c r="R1" s="10" t="s">
        <v>1240</v>
      </c>
      <c r="S1" s="10" t="s">
        <v>1241</v>
      </c>
      <c r="T1" s="10" t="s">
        <v>1242</v>
      </c>
      <c r="U1" s="10" t="s">
        <v>1243</v>
      </c>
      <c r="V1" s="10" t="s">
        <v>1244</v>
      </c>
      <c r="W1" s="10" t="s">
        <v>1245</v>
      </c>
      <c r="X1" s="10" t="s">
        <v>1246</v>
      </c>
      <c r="Y1" s="10" t="s">
        <v>1247</v>
      </c>
      <c r="Z1" s="10" t="s">
        <v>1248</v>
      </c>
      <c r="AA1" s="10" t="s">
        <v>1249</v>
      </c>
      <c r="AB1" s="10" t="s">
        <v>1250</v>
      </c>
      <c r="AC1" s="10" t="s">
        <v>1251</v>
      </c>
      <c r="AD1" s="10" t="s">
        <v>1252</v>
      </c>
      <c r="AE1" s="10" t="s">
        <v>1253</v>
      </c>
      <c r="AF1" s="10" t="s">
        <v>1254</v>
      </c>
      <c r="AG1" s="10" t="s">
        <v>1255</v>
      </c>
      <c r="AH1" s="10" t="s">
        <v>1256</v>
      </c>
      <c r="AI1" s="10" t="s">
        <v>1257</v>
      </c>
      <c r="AJ1" s="10" t="s">
        <v>1258</v>
      </c>
      <c r="AK1" s="10" t="s">
        <v>1259</v>
      </c>
      <c r="AL1" s="10" t="s">
        <v>1260</v>
      </c>
      <c r="AM1" s="10" t="s">
        <v>1261</v>
      </c>
      <c r="AN1" s="10" t="s">
        <v>1262</v>
      </c>
      <c r="AO1" s="10" t="s">
        <v>1263</v>
      </c>
      <c r="AP1" s="10" t="s">
        <v>1264</v>
      </c>
      <c r="AQ1" s="10" t="s">
        <v>1265</v>
      </c>
      <c r="AR1" s="10" t="s">
        <v>1266</v>
      </c>
      <c r="AS1" s="10" t="s">
        <v>1267</v>
      </c>
      <c r="AT1" s="10" t="s">
        <v>1268</v>
      </c>
      <c r="AU1" s="10" t="s">
        <v>1269</v>
      </c>
      <c r="AV1" s="10" t="s">
        <v>1270</v>
      </c>
      <c r="AW1" s="10" t="s">
        <v>1271</v>
      </c>
      <c r="AX1" s="10" t="s">
        <v>1272</v>
      </c>
      <c r="AY1" s="10" t="s">
        <v>1273</v>
      </c>
      <c r="AZ1" s="10" t="s">
        <v>1274</v>
      </c>
      <c r="BA1" s="10" t="s">
        <v>1275</v>
      </c>
      <c r="BB1" s="10" t="s">
        <v>1276</v>
      </c>
      <c r="BC1" s="10" t="s">
        <v>1277</v>
      </c>
      <c r="BD1" s="10" t="s">
        <v>1278</v>
      </c>
      <c r="BE1" s="10" t="s">
        <v>1279</v>
      </c>
      <c r="BF1" s="10" t="s">
        <v>1280</v>
      </c>
      <c r="BG1" s="10" t="s">
        <v>1281</v>
      </c>
      <c r="BH1" s="10" t="s">
        <v>1282</v>
      </c>
      <c r="BI1" s="10" t="s">
        <v>1283</v>
      </c>
      <c r="BJ1" s="10" t="s">
        <v>1284</v>
      </c>
      <c r="BK1" s="10" t="s">
        <v>1285</v>
      </c>
      <c r="BL1" s="10" t="s">
        <v>1286</v>
      </c>
      <c r="BM1" s="10" t="s">
        <v>1287</v>
      </c>
      <c r="BN1" s="10" t="s">
        <v>1288</v>
      </c>
      <c r="BO1" s="10" t="s">
        <v>1289</v>
      </c>
      <c r="BP1" s="10" t="s">
        <v>1290</v>
      </c>
      <c r="BQ1" s="10" t="s">
        <v>1291</v>
      </c>
      <c r="BR1" s="10" t="s">
        <v>1292</v>
      </c>
      <c r="BS1" s="10" t="s">
        <v>1293</v>
      </c>
      <c r="BT1" s="10" t="s">
        <v>1294</v>
      </c>
      <c r="BU1" s="10" t="s">
        <v>1295</v>
      </c>
      <c r="BV1" s="10" t="s">
        <v>1296</v>
      </c>
      <c r="BW1" s="10" t="s">
        <v>1297</v>
      </c>
      <c r="BX1" s="10" t="s">
        <v>1298</v>
      </c>
      <c r="BY1" s="10" t="s">
        <v>1299</v>
      </c>
      <c r="BZ1" s="10" t="s">
        <v>1300</v>
      </c>
      <c r="CA1" s="10" t="s">
        <v>1301</v>
      </c>
      <c r="CB1" s="10" t="s">
        <v>1302</v>
      </c>
      <c r="CC1" s="10" t="s">
        <v>1303</v>
      </c>
      <c r="CD1" s="10" t="s">
        <v>1304</v>
      </c>
      <c r="CE1" s="10" t="s">
        <v>1305</v>
      </c>
      <c r="CF1" s="10" t="s">
        <v>1306</v>
      </c>
      <c r="CG1" s="10" t="s">
        <v>1307</v>
      </c>
      <c r="CH1" s="10" t="s">
        <v>1308</v>
      </c>
      <c r="CI1" s="10" t="s">
        <v>1309</v>
      </c>
      <c r="CJ1" s="10" t="s">
        <v>1310</v>
      </c>
      <c r="CK1" s="10" t="s">
        <v>1311</v>
      </c>
      <c r="CL1" s="10" t="s">
        <v>1312</v>
      </c>
      <c r="CM1" s="10" t="s">
        <v>1313</v>
      </c>
      <c r="CN1" s="10" t="s">
        <v>1314</v>
      </c>
      <c r="CO1" s="10" t="s">
        <v>1315</v>
      </c>
      <c r="CP1" s="10" t="s">
        <v>1316</v>
      </c>
      <c r="CQ1" s="206" t="s">
        <v>1317</v>
      </c>
      <c r="CR1" s="206" t="s">
        <v>1318</v>
      </c>
      <c r="CS1" s="206" t="s">
        <v>1319</v>
      </c>
      <c r="CT1" s="206" t="s">
        <v>1320</v>
      </c>
      <c r="CU1" s="206" t="s">
        <v>1321</v>
      </c>
      <c r="CV1" s="206" t="s">
        <v>1322</v>
      </c>
      <c r="CW1" s="206" t="s">
        <v>1323</v>
      </c>
      <c r="CX1" s="206" t="s">
        <v>1324</v>
      </c>
      <c r="CY1" s="206" t="s">
        <v>1325</v>
      </c>
      <c r="CZ1" s="206" t="s">
        <v>1326</v>
      </c>
      <c r="DA1" s="206" t="s">
        <v>1327</v>
      </c>
      <c r="DB1" s="206" t="s">
        <v>1328</v>
      </c>
      <c r="DC1" s="206" t="s">
        <v>1329</v>
      </c>
      <c r="DD1" s="206" t="s">
        <v>1330</v>
      </c>
      <c r="DE1" s="10" t="s">
        <v>1331</v>
      </c>
      <c r="DF1" s="10" t="s">
        <v>1332</v>
      </c>
      <c r="DG1" s="10" t="s">
        <v>1333</v>
      </c>
      <c r="DH1" s="10" t="s">
        <v>1334</v>
      </c>
    </row>
    <row r="2" spans="1:112" s="178" customFormat="1" ht="12.6" customHeight="1" x14ac:dyDescent="0.25">
      <c r="A2" s="208" t="str">
        <f>RIGHT(data!C97,3)</f>
        <v>029</v>
      </c>
      <c r="B2" s="209" t="str">
        <f>RIGHT(data!C96,4)</f>
        <v>2023</v>
      </c>
      <c r="C2" s="12" t="s">
        <v>1151</v>
      </c>
      <c r="D2" s="207">
        <f>ROUND(N(data!C181),0)</f>
        <v>32945390</v>
      </c>
      <c r="E2" s="207">
        <f>ROUND(N(data!C267),0)</f>
        <v>0</v>
      </c>
      <c r="F2" s="207">
        <f>ROUND(N(data!C268),0)</f>
        <v>206892135</v>
      </c>
      <c r="G2" s="207">
        <f>ROUND(N(data!C269),0)</f>
        <v>0</v>
      </c>
      <c r="H2" s="207">
        <f>ROUND(N(data!C270),0)</f>
        <v>43266117</v>
      </c>
      <c r="I2" s="207">
        <f>ROUND(N(data!C271),0)</f>
        <v>45554587</v>
      </c>
      <c r="J2" s="207">
        <f>ROUND(N(data!C272),0)</f>
        <v>0</v>
      </c>
      <c r="K2" s="207">
        <f>ROUND(N(data!C273),0)</f>
        <v>13417706</v>
      </c>
      <c r="L2" s="207">
        <f>ROUND(N(data!C274),0)</f>
        <v>0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265961058</v>
      </c>
      <c r="Q2" s="207">
        <f>ROUND(N(data!C283),0)</f>
        <v>2432000</v>
      </c>
      <c r="R2" s="207">
        <f>ROUND(N(data!C284),0)</f>
        <v>7707000</v>
      </c>
      <c r="S2" s="207">
        <f>ROUND(N(data!C285),0)</f>
        <v>466706385</v>
      </c>
      <c r="T2" s="207">
        <f>ROUND(N(data!C286),0)</f>
        <v>126473792</v>
      </c>
      <c r="U2" s="207">
        <f>ROUND(N(data!C287),0)</f>
        <v>0</v>
      </c>
      <c r="V2" s="207">
        <f>ROUND(N(data!C288),0)</f>
        <v>166543000</v>
      </c>
      <c r="W2" s="207">
        <f>ROUND(N(data!C289),0)</f>
        <v>14158000</v>
      </c>
      <c r="X2" s="207">
        <f>ROUND(N(data!C290),0)</f>
        <v>26763138</v>
      </c>
      <c r="Y2" s="207">
        <f>ROUND(N(data!C291),0)</f>
        <v>0</v>
      </c>
      <c r="Z2" s="207">
        <f>ROUND(N(data!C292),0)</f>
        <v>538940000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65768581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46942880</v>
      </c>
      <c r="AK2" s="207">
        <f>ROUND(N(data!C316),0)</f>
        <v>73243579</v>
      </c>
      <c r="AL2" s="207">
        <f>ROUND(N(data!C317),0)</f>
        <v>0</v>
      </c>
      <c r="AM2" s="207">
        <f>ROUND(N(data!C318),0)</f>
        <v>0</v>
      </c>
      <c r="AN2" s="207">
        <f>ROUND(N(data!C319),0)</f>
        <v>80403602</v>
      </c>
      <c r="AO2" s="207">
        <f>ROUND(N(data!C320),0)</f>
        <v>0</v>
      </c>
      <c r="AP2" s="207">
        <f>ROUND(N(data!C321),0)</f>
        <v>0</v>
      </c>
      <c r="AQ2" s="207">
        <f>ROUND(N(data!C322),0)</f>
        <v>14986072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35512962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20426328</v>
      </c>
      <c r="BB2" s="207">
        <f>ROUND(N(data!C337),0)</f>
        <v>0</v>
      </c>
      <c r="BC2" s="207">
        <f>ROUND(N(data!C338),0)</f>
        <v>151343832</v>
      </c>
      <c r="BD2" s="207">
        <f>ROUND(N(data!C339),0)</f>
        <v>0</v>
      </c>
      <c r="BE2" s="207">
        <f>ROUND(N(data!C343),0)</f>
        <v>746876077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1236.6400000000001</v>
      </c>
      <c r="BL2" s="207">
        <f>ROUND(N(data!C358),0)</f>
        <v>2177549114</v>
      </c>
      <c r="BM2" s="207">
        <f>ROUND(N(data!C359),0)</f>
        <v>1206159270</v>
      </c>
      <c r="BN2" s="207">
        <f>ROUND(N(data!C363),0)</f>
        <v>2032358473</v>
      </c>
      <c r="BO2" s="207">
        <f>ROUND(N(data!C364),0)</f>
        <v>110077882</v>
      </c>
      <c r="BP2" s="207">
        <f>ROUND(N(data!C365),0)</f>
        <v>0</v>
      </c>
      <c r="BQ2" s="207">
        <f>ROUND(N(data!D381),0)</f>
        <v>106943276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106943276</v>
      </c>
      <c r="CC2" s="207">
        <f>ROUND(N(data!C382),0)</f>
        <v>0</v>
      </c>
      <c r="CD2" s="207">
        <f>ROUND(N(data!C389),0)</f>
        <v>559661204</v>
      </c>
      <c r="CE2" s="207">
        <f>ROUND(N(data!C390),0)</f>
        <v>159027451</v>
      </c>
      <c r="CF2" s="207">
        <f>ROUND(N(data!C391),0)</f>
        <v>44421612</v>
      </c>
      <c r="CG2" s="207">
        <f>ROUND(N(data!C392),0)</f>
        <v>225718568</v>
      </c>
      <c r="CH2" s="207">
        <f>ROUND(N(data!C393),0)</f>
        <v>13410241</v>
      </c>
      <c r="CI2" s="207">
        <f>ROUND(N(data!C394),0)</f>
        <v>274724028</v>
      </c>
      <c r="CJ2" s="207">
        <f>ROUND(N(data!C395),0)</f>
        <v>41132454</v>
      </c>
      <c r="CK2" s="207">
        <f>ROUND(N(data!C396),0)</f>
        <v>3221393</v>
      </c>
      <c r="CL2" s="207">
        <f>ROUND(N(data!C397),0)</f>
        <v>11276632</v>
      </c>
      <c r="CM2" s="207">
        <f>ROUND(N(data!C398),0)</f>
        <v>2440443</v>
      </c>
      <c r="CN2" s="207">
        <f>ROUND(N(data!C399),0)</f>
        <v>0</v>
      </c>
      <c r="CO2" s="207">
        <f>ROUND(N(data!C362),0)</f>
        <v>39655219</v>
      </c>
      <c r="CP2" s="207">
        <f>ROUND(N(data!D415),0)</f>
        <v>2675034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2675034</v>
      </c>
      <c r="DE2" s="61">
        <f>ROUND(N(data!C419),0)</f>
        <v>0</v>
      </c>
      <c r="DF2" s="207">
        <f>ROUND(N(data!D420),0)</f>
        <v>49449013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E986-79C9-4B74-B09E-3826BE73215D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1335</v>
      </c>
      <c r="B1" s="12" t="s">
        <v>1336</v>
      </c>
      <c r="C1" s="10" t="s">
        <v>1337</v>
      </c>
      <c r="D1" s="12" t="s">
        <v>1338</v>
      </c>
      <c r="E1" s="10" t="s">
        <v>1339</v>
      </c>
      <c r="F1" s="10" t="s">
        <v>1340</v>
      </c>
      <c r="G1" s="10" t="s">
        <v>1341</v>
      </c>
      <c r="H1" s="10" t="s">
        <v>1342</v>
      </c>
      <c r="I1" s="10" t="s">
        <v>1343</v>
      </c>
      <c r="J1" s="10" t="s">
        <v>1344</v>
      </c>
      <c r="K1" s="10" t="s">
        <v>1345</v>
      </c>
      <c r="L1" s="10" t="s">
        <v>1346</v>
      </c>
      <c r="M1" s="10" t="s">
        <v>1347</v>
      </c>
      <c r="N1" s="10" t="s">
        <v>1348</v>
      </c>
      <c r="O1" s="10" t="s">
        <v>1349</v>
      </c>
      <c r="P1" s="10" t="s">
        <v>1317</v>
      </c>
      <c r="Q1" s="10" t="s">
        <v>1318</v>
      </c>
      <c r="R1" s="10" t="s">
        <v>1319</v>
      </c>
      <c r="S1" s="10" t="s">
        <v>1320</v>
      </c>
      <c r="T1" s="10" t="s">
        <v>1321</v>
      </c>
      <c r="U1" s="10" t="s">
        <v>1322</v>
      </c>
      <c r="V1" s="10" t="s">
        <v>1323</v>
      </c>
      <c r="W1" s="10" t="s">
        <v>1324</v>
      </c>
      <c r="X1" s="10" t="s">
        <v>1325</v>
      </c>
      <c r="Y1" s="10" t="s">
        <v>1326</v>
      </c>
      <c r="Z1" s="10" t="s">
        <v>1327</v>
      </c>
      <c r="AA1" s="10" t="s">
        <v>1328</v>
      </c>
      <c r="AB1" s="10" t="s">
        <v>1329</v>
      </c>
      <c r="AC1" s="10" t="s">
        <v>1330</v>
      </c>
      <c r="AD1" s="10" t="s">
        <v>1350</v>
      </c>
      <c r="AE1" s="10" t="s">
        <v>1351</v>
      </c>
      <c r="AF1" s="10" t="s">
        <v>1352</v>
      </c>
      <c r="AG1" s="10" t="s">
        <v>1353</v>
      </c>
      <c r="AH1" s="10" t="s">
        <v>1354</v>
      </c>
      <c r="AI1" s="10" t="s">
        <v>1355</v>
      </c>
      <c r="AJ1" s="10" t="s">
        <v>1356</v>
      </c>
      <c r="AK1" s="10" t="s">
        <v>1357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029</v>
      </c>
      <c r="B2" s="209" t="str">
        <f>RIGHT(data!$C$96,4)</f>
        <v>2023</v>
      </c>
      <c r="C2" s="12" t="str">
        <f>data!C$55</f>
        <v>6010</v>
      </c>
      <c r="D2" s="12" t="s">
        <v>1151</v>
      </c>
      <c r="E2" s="207">
        <f>ROUND(N(data!C59), 0)</f>
        <v>29389</v>
      </c>
      <c r="F2" s="314">
        <f>ROUND(N(data!C60), 2)</f>
        <v>247.68</v>
      </c>
      <c r="G2" s="207">
        <f>ROUND(N(data!C61), 0)</f>
        <v>51862791</v>
      </c>
      <c r="H2" s="207">
        <f>ROUND(N(data!C62), 0)</f>
        <v>12039943</v>
      </c>
      <c r="I2" s="207">
        <f>ROUND(N(data!C63), 0)</f>
        <v>1376</v>
      </c>
      <c r="J2" s="207">
        <f>ROUND(N(data!C64), 0)</f>
        <v>6479636</v>
      </c>
      <c r="K2" s="207">
        <f>ROUND(N(data!C65), 0)</f>
        <v>573</v>
      </c>
      <c r="L2" s="207">
        <f>ROUND(N(data!C66), 0)</f>
        <v>657536</v>
      </c>
      <c r="M2" s="207">
        <f>ROUND(N(data!C67), 0)</f>
        <v>314516</v>
      </c>
      <c r="N2" s="207">
        <f>ROUND(N(data!C68), 0)</f>
        <v>722</v>
      </c>
      <c r="O2" s="207">
        <f>ROUND(N(data!C69), 0)</f>
        <v>72712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72712</v>
      </c>
      <c r="AD2" s="207">
        <f>ROUND(N(data!C84), 0)</f>
        <v>2106</v>
      </c>
      <c r="AE2" s="207">
        <f>ROUND(N(data!C89), 0)</f>
        <v>326494333</v>
      </c>
      <c r="AF2" s="207">
        <f>ROUND(N(data!C87), 0)</f>
        <v>324909659</v>
      </c>
      <c r="AG2" s="207">
        <f>ROUND(N(data!C90), 0)</f>
        <v>55296</v>
      </c>
      <c r="AH2" s="207">
        <f>ROUND(N(data!C91), 0)</f>
        <v>163991</v>
      </c>
      <c r="AI2" s="207">
        <f>ROUND(N(data!C92), 0)</f>
        <v>13850</v>
      </c>
      <c r="AJ2" s="207">
        <f>ROUND(N(data!C93), 0)</f>
        <v>0</v>
      </c>
      <c r="AK2" s="314">
        <f>ROUND(N(data!C94), 2)</f>
        <v>365.49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029</v>
      </c>
      <c r="B3" s="209" t="str">
        <f>RIGHT(data!$C$96,4)</f>
        <v>2023</v>
      </c>
      <c r="C3" s="12" t="str">
        <f>data!D$55</f>
        <v>6030</v>
      </c>
      <c r="D3" s="12" t="s">
        <v>1151</v>
      </c>
      <c r="E3" s="207">
        <f>ROUND(N(data!D59), 0)</f>
        <v>100587</v>
      </c>
      <c r="F3" s="314">
        <f>ROUND(N(data!D60), 2)</f>
        <v>343.9</v>
      </c>
      <c r="G3" s="207">
        <f>ROUND(N(data!D61), 0)</f>
        <v>90844287</v>
      </c>
      <c r="H3" s="207">
        <f>ROUND(N(data!D62), 0)</f>
        <v>18816796</v>
      </c>
      <c r="I3" s="207">
        <f>ROUND(N(data!D63), 0)</f>
        <v>0</v>
      </c>
      <c r="J3" s="207">
        <f>ROUND(N(data!D64), 0)</f>
        <v>6234842</v>
      </c>
      <c r="K3" s="207">
        <f>ROUND(N(data!D65), 0)</f>
        <v>68</v>
      </c>
      <c r="L3" s="207">
        <f>ROUND(N(data!D66), 0)</f>
        <v>838309</v>
      </c>
      <c r="M3" s="207">
        <f>ROUND(N(data!D67), 0)</f>
        <v>230103</v>
      </c>
      <c r="N3" s="207">
        <f>ROUND(N(data!D68), 0)</f>
        <v>88</v>
      </c>
      <c r="O3" s="207">
        <f>ROUND(N(data!D69), 0)</f>
        <v>287852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287852</v>
      </c>
      <c r="AD3" s="207">
        <f>ROUND(N(data!D84), 0)</f>
        <v>0</v>
      </c>
      <c r="AE3" s="207">
        <f>ROUND(N(data!D89), 0)</f>
        <v>337016359</v>
      </c>
      <c r="AF3" s="207">
        <f>ROUND(N(data!D87), 0)</f>
        <v>320157244</v>
      </c>
      <c r="AG3" s="207">
        <f>ROUND(N(data!D90), 0)</f>
        <v>106912</v>
      </c>
      <c r="AH3" s="207">
        <f>ROUND(N(data!D91), 0)</f>
        <v>561274</v>
      </c>
      <c r="AI3" s="207">
        <f>ROUND(N(data!D92), 0)</f>
        <v>26777</v>
      </c>
      <c r="AJ3" s="207">
        <f>ROUND(N(data!D93), 0)</f>
        <v>0</v>
      </c>
      <c r="AK3" s="314">
        <f>ROUND(N(data!D94), 2)</f>
        <v>714.76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029</v>
      </c>
      <c r="B4" s="209" t="str">
        <f>RIGHT(data!$C$96,4)</f>
        <v>2023</v>
      </c>
      <c r="C4" s="12" t="str">
        <f>data!E$55</f>
        <v>6070</v>
      </c>
      <c r="D4" s="12" t="s">
        <v>1151</v>
      </c>
      <c r="E4" s="207">
        <f>ROUND(N(data!E59), 0)</f>
        <v>8721</v>
      </c>
      <c r="F4" s="314">
        <f>ROUND(N(data!E60), 2)</f>
        <v>14.55</v>
      </c>
      <c r="G4" s="207">
        <f>ROUND(N(data!E61), 0)</f>
        <v>7343076</v>
      </c>
      <c r="H4" s="207">
        <f>ROUND(N(data!E62), 0)</f>
        <v>957369</v>
      </c>
      <c r="I4" s="207">
        <f>ROUND(N(data!E63), 0)</f>
        <v>0</v>
      </c>
      <c r="J4" s="207">
        <f>ROUND(N(data!E64), 0)</f>
        <v>120481</v>
      </c>
      <c r="K4" s="207">
        <f>ROUND(N(data!E65), 0)</f>
        <v>0</v>
      </c>
      <c r="L4" s="207">
        <f>ROUND(N(data!E66), 0)</f>
        <v>346</v>
      </c>
      <c r="M4" s="207">
        <f>ROUND(N(data!E67), 0)</f>
        <v>0</v>
      </c>
      <c r="N4" s="207">
        <f>ROUND(N(data!E68), 0)</f>
        <v>0</v>
      </c>
      <c r="O4" s="207">
        <f>ROUND(N(data!E69), 0)</f>
        <v>12128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12128</v>
      </c>
      <c r="AD4" s="207">
        <f>ROUND(N(data!E84), 0)</f>
        <v>0</v>
      </c>
      <c r="AE4" s="207">
        <f>ROUND(N(data!E89), 0)</f>
        <v>34657771</v>
      </c>
      <c r="AF4" s="207">
        <f>ROUND(N(data!E87), 0)</f>
        <v>31930772</v>
      </c>
      <c r="AG4" s="207">
        <f>ROUND(N(data!E90), 0)</f>
        <v>2687</v>
      </c>
      <c r="AH4" s="207">
        <f>ROUND(N(data!E91), 0)</f>
        <v>48663</v>
      </c>
      <c r="AI4" s="207">
        <f>ROUND(N(data!E92), 0)</f>
        <v>673</v>
      </c>
      <c r="AJ4" s="207">
        <f>ROUND(N(data!E93), 0)</f>
        <v>0</v>
      </c>
      <c r="AK4" s="314">
        <f>ROUND(N(data!E94), 2)</f>
        <v>47.29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029</v>
      </c>
      <c r="B5" s="209" t="str">
        <f>RIGHT(data!$C$96,4)</f>
        <v>2023</v>
      </c>
      <c r="C5" s="12" t="str">
        <f>data!F$55</f>
        <v>6100</v>
      </c>
      <c r="D5" s="12" t="s">
        <v>1151</v>
      </c>
      <c r="E5" s="207">
        <f>ROUND(N(data!F59), 0)</f>
        <v>0</v>
      </c>
      <c r="F5" s="314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029</v>
      </c>
      <c r="B6" s="209" t="str">
        <f>RIGHT(data!$C$96,4)</f>
        <v>2023</v>
      </c>
      <c r="C6" s="12" t="str">
        <f>data!G$55</f>
        <v>6120</v>
      </c>
      <c r="D6" s="12" t="s">
        <v>1151</v>
      </c>
      <c r="E6" s="207">
        <f>ROUND(N(data!G59), 0)</f>
        <v>11419</v>
      </c>
      <c r="F6" s="314">
        <f>ROUND(N(data!G60), 2)</f>
        <v>32.5</v>
      </c>
      <c r="G6" s="207">
        <f>ROUND(N(data!G61), 0)</f>
        <v>9880237</v>
      </c>
      <c r="H6" s="207">
        <f>ROUND(N(data!G62), 0)</f>
        <v>2061110</v>
      </c>
      <c r="I6" s="207">
        <f>ROUND(N(data!G63), 0)</f>
        <v>0</v>
      </c>
      <c r="J6" s="207">
        <f>ROUND(N(data!G64), 0)</f>
        <v>444612</v>
      </c>
      <c r="K6" s="207">
        <f>ROUND(N(data!G65), 0)</f>
        <v>41</v>
      </c>
      <c r="L6" s="207">
        <f>ROUND(N(data!G66), 0)</f>
        <v>108651</v>
      </c>
      <c r="M6" s="207">
        <f>ROUND(N(data!G67), 0)</f>
        <v>26732</v>
      </c>
      <c r="N6" s="207">
        <f>ROUND(N(data!G68), 0)</f>
        <v>53</v>
      </c>
      <c r="O6" s="207">
        <f>ROUND(N(data!G69), 0)</f>
        <v>40567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40567</v>
      </c>
      <c r="AD6" s="207">
        <f>ROUND(N(data!G84), 0)</f>
        <v>0</v>
      </c>
      <c r="AE6" s="207">
        <f>ROUND(N(data!G89), 0)</f>
        <v>40874118</v>
      </c>
      <c r="AF6" s="207">
        <f>ROUND(N(data!G87), 0)</f>
        <v>40471801</v>
      </c>
      <c r="AG6" s="207">
        <f>ROUND(N(data!G90), 0)</f>
        <v>12696</v>
      </c>
      <c r="AH6" s="207">
        <f>ROUND(N(data!G91), 0)</f>
        <v>63718</v>
      </c>
      <c r="AI6" s="207">
        <f>ROUND(N(data!G92), 0)</f>
        <v>3180</v>
      </c>
      <c r="AJ6" s="207">
        <f>ROUND(N(data!G93), 0)</f>
        <v>0</v>
      </c>
      <c r="AK6" s="314">
        <f>ROUND(N(data!G94), 2)</f>
        <v>68.959999999999994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029</v>
      </c>
      <c r="B7" s="209" t="str">
        <f>RIGHT(data!$C$96,4)</f>
        <v>2023</v>
      </c>
      <c r="C7" s="12" t="str">
        <f>data!H$55</f>
        <v>6140</v>
      </c>
      <c r="D7" s="12" t="s">
        <v>1151</v>
      </c>
      <c r="E7" s="207">
        <f>ROUND(N(data!H59), 0)</f>
        <v>23021</v>
      </c>
      <c r="F7" s="314">
        <f>ROUND(N(data!H60), 2)</f>
        <v>66.739999999999995</v>
      </c>
      <c r="G7" s="207">
        <f>ROUND(N(data!H61), 0)</f>
        <v>14060454</v>
      </c>
      <c r="H7" s="207">
        <f>ROUND(N(data!H62), 0)</f>
        <v>4374685</v>
      </c>
      <c r="I7" s="207">
        <f>ROUND(N(data!H63), 0)</f>
        <v>0</v>
      </c>
      <c r="J7" s="207">
        <f>ROUND(N(data!H64), 0)</f>
        <v>227957</v>
      </c>
      <c r="K7" s="207">
        <f>ROUND(N(data!H65), 0)</f>
        <v>41</v>
      </c>
      <c r="L7" s="207">
        <f>ROUND(N(data!H66), 0)</f>
        <v>102062</v>
      </c>
      <c r="M7" s="207">
        <f>ROUND(N(data!H67), 0)</f>
        <v>63555</v>
      </c>
      <c r="N7" s="207">
        <f>ROUND(N(data!H68), 0)</f>
        <v>88</v>
      </c>
      <c r="O7" s="207">
        <f>ROUND(N(data!H69), 0)</f>
        <v>145403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145403</v>
      </c>
      <c r="AD7" s="207">
        <f>ROUND(N(data!H84), 0)</f>
        <v>0</v>
      </c>
      <c r="AE7" s="207">
        <f>ROUND(N(data!H89), 0)</f>
        <v>72626110</v>
      </c>
      <c r="AF7" s="207">
        <f>ROUND(N(data!H87), 0)</f>
        <v>72462791</v>
      </c>
      <c r="AG7" s="207">
        <f>ROUND(N(data!H90), 0)</f>
        <v>32044</v>
      </c>
      <c r="AH7" s="207">
        <f>ROUND(N(data!H91), 0)</f>
        <v>128457</v>
      </c>
      <c r="AI7" s="207">
        <f>ROUND(N(data!H92), 0)</f>
        <v>8026</v>
      </c>
      <c r="AJ7" s="207">
        <f>ROUND(N(data!H93), 0)</f>
        <v>0</v>
      </c>
      <c r="AK7" s="314">
        <f>ROUND(N(data!H94), 2)</f>
        <v>131.26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029</v>
      </c>
      <c r="B8" s="209" t="str">
        <f>RIGHT(data!$C$96,4)</f>
        <v>2023</v>
      </c>
      <c r="C8" s="12" t="str">
        <f>data!I$55</f>
        <v>6150</v>
      </c>
      <c r="D8" s="12" t="s">
        <v>1151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029</v>
      </c>
      <c r="B9" s="209" t="str">
        <f>RIGHT(data!$C$96,4)</f>
        <v>2023</v>
      </c>
      <c r="C9" s="12" t="str">
        <f>data!J$55</f>
        <v>6170</v>
      </c>
      <c r="D9" s="12" t="s">
        <v>1151</v>
      </c>
      <c r="E9" s="207">
        <f>ROUND(N(data!J59), 0)</f>
        <v>0</v>
      </c>
      <c r="F9" s="314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029</v>
      </c>
      <c r="B10" s="209" t="str">
        <f>RIGHT(data!$C$96,4)</f>
        <v>2023</v>
      </c>
      <c r="C10" s="12" t="str">
        <f>data!K$55</f>
        <v>6200</v>
      </c>
      <c r="D10" s="12" t="s">
        <v>1151</v>
      </c>
      <c r="E10" s="207">
        <f>ROUND(N(data!K59), 0)</f>
        <v>0</v>
      </c>
      <c r="F10" s="314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029</v>
      </c>
      <c r="B11" s="209" t="str">
        <f>RIGHT(data!$C$96,4)</f>
        <v>2023</v>
      </c>
      <c r="C11" s="12" t="str">
        <f>data!L$55</f>
        <v>6210</v>
      </c>
      <c r="D11" s="12" t="s">
        <v>1151</v>
      </c>
      <c r="E11" s="207">
        <f>ROUND(N(data!L59), 0)</f>
        <v>0</v>
      </c>
      <c r="F11" s="314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029</v>
      </c>
      <c r="B12" s="209" t="str">
        <f>RIGHT(data!$C$96,4)</f>
        <v>2023</v>
      </c>
      <c r="C12" s="12" t="str">
        <f>data!M$55</f>
        <v>6330</v>
      </c>
      <c r="D12" s="12" t="s">
        <v>1151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029</v>
      </c>
      <c r="B13" s="209" t="str">
        <f>RIGHT(data!$C$96,4)</f>
        <v>2023</v>
      </c>
      <c r="C13" s="12" t="str">
        <f>data!N$55</f>
        <v>6400</v>
      </c>
      <c r="D13" s="12" t="s">
        <v>1151</v>
      </c>
      <c r="E13" s="207">
        <f>ROUND(N(data!N59), 0)</f>
        <v>0</v>
      </c>
      <c r="F13" s="314">
        <f>ROUND(N(data!N60), 2)</f>
        <v>0</v>
      </c>
      <c r="G13" s="207">
        <f>ROUND(N(data!N61), 0)</f>
        <v>288223</v>
      </c>
      <c r="H13" s="207">
        <f>ROUND(N(data!N62), 0)</f>
        <v>101305</v>
      </c>
      <c r="I13" s="207">
        <f>ROUND(N(data!N63), 0)</f>
        <v>0</v>
      </c>
      <c r="J13" s="207">
        <f>ROUND(N(data!N64), 0)</f>
        <v>86493</v>
      </c>
      <c r="K13" s="207">
        <f>ROUND(N(data!N65), 0)</f>
        <v>0</v>
      </c>
      <c r="L13" s="207">
        <f>ROUND(N(data!N66), 0)</f>
        <v>3579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290115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4">
        <f>ROUND(N(data!N94), 2)</f>
        <v>3.72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029</v>
      </c>
      <c r="B14" s="209" t="str">
        <f>RIGHT(data!$C$96,4)</f>
        <v>2023</v>
      </c>
      <c r="C14" s="12" t="str">
        <f>data!O$55</f>
        <v>7010</v>
      </c>
      <c r="D14" s="12" t="s">
        <v>1151</v>
      </c>
      <c r="E14" s="207">
        <f>ROUND(N(data!O59), 0)</f>
        <v>0</v>
      </c>
      <c r="F14" s="314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029</v>
      </c>
      <c r="B15" s="209" t="str">
        <f>RIGHT(data!$C$96,4)</f>
        <v>2023</v>
      </c>
      <c r="C15" s="12" t="str">
        <f>data!P$55</f>
        <v>7020</v>
      </c>
      <c r="D15" s="12" t="s">
        <v>1151</v>
      </c>
      <c r="E15" s="207">
        <f>ROUND(N(data!P59), 0)</f>
        <v>2459115</v>
      </c>
      <c r="F15" s="314">
        <f>ROUND(N(data!P60), 2)</f>
        <v>93.05</v>
      </c>
      <c r="G15" s="207">
        <f>ROUND(N(data!P61), 0)</f>
        <v>23515197</v>
      </c>
      <c r="H15" s="207">
        <f>ROUND(N(data!P62), 0)</f>
        <v>6621216</v>
      </c>
      <c r="I15" s="207">
        <f>ROUND(N(data!P63), 0)</f>
        <v>0</v>
      </c>
      <c r="J15" s="207">
        <f>ROUND(N(data!P64), 0)</f>
        <v>53096089</v>
      </c>
      <c r="K15" s="207">
        <f>ROUND(N(data!P65), 0)</f>
        <v>0</v>
      </c>
      <c r="L15" s="207">
        <f>ROUND(N(data!P66), 0)</f>
        <v>1188286</v>
      </c>
      <c r="M15" s="207">
        <f>ROUND(N(data!P67), 0)</f>
        <v>3051421</v>
      </c>
      <c r="N15" s="207">
        <f>ROUND(N(data!P68), 0)</f>
        <v>39178</v>
      </c>
      <c r="O15" s="207">
        <f>ROUND(N(data!P69), 0)</f>
        <v>8169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8169</v>
      </c>
      <c r="AD15" s="207">
        <f>ROUND(N(data!P84), 0)</f>
        <v>0</v>
      </c>
      <c r="AE15" s="207">
        <f>ROUND(N(data!P89), 0)</f>
        <v>725856320</v>
      </c>
      <c r="AF15" s="207">
        <f>ROUND(N(data!P87), 0)</f>
        <v>537075936</v>
      </c>
      <c r="AG15" s="207">
        <f>ROUND(N(data!P90), 0)</f>
        <v>51073</v>
      </c>
      <c r="AH15" s="207">
        <f>ROUND(N(data!P91), 0)</f>
        <v>0</v>
      </c>
      <c r="AI15" s="207">
        <f>ROUND(N(data!P92), 0)</f>
        <v>12792</v>
      </c>
      <c r="AJ15" s="207">
        <f>ROUND(N(data!P93), 0)</f>
        <v>250380</v>
      </c>
      <c r="AK15" s="314">
        <f>ROUND(N(data!P94), 2)</f>
        <v>211.56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029</v>
      </c>
      <c r="B16" s="209" t="str">
        <f>RIGHT(data!$C$96,4)</f>
        <v>2023</v>
      </c>
      <c r="C16" s="12" t="str">
        <f>data!Q$55</f>
        <v>7030</v>
      </c>
      <c r="D16" s="12" t="s">
        <v>1151</v>
      </c>
      <c r="E16" s="207">
        <f>ROUND(N(data!Q59), 0)</f>
        <v>1049013</v>
      </c>
      <c r="F16" s="314">
        <f>ROUND(N(data!Q60), 2)</f>
        <v>55.53</v>
      </c>
      <c r="G16" s="207">
        <f>ROUND(N(data!Q61), 0)</f>
        <v>9526340</v>
      </c>
      <c r="H16" s="207">
        <f>ROUND(N(data!Q62), 0)</f>
        <v>3187017</v>
      </c>
      <c r="I16" s="207">
        <f>ROUND(N(data!Q63), 0)</f>
        <v>0</v>
      </c>
      <c r="J16" s="207">
        <f>ROUND(N(data!Q64), 0)</f>
        <v>872347</v>
      </c>
      <c r="K16" s="207">
        <f>ROUND(N(data!Q65), 0)</f>
        <v>0</v>
      </c>
      <c r="L16" s="207">
        <f>ROUND(N(data!Q66), 0)</f>
        <v>124925</v>
      </c>
      <c r="M16" s="207">
        <f>ROUND(N(data!Q67), 0)</f>
        <v>41707</v>
      </c>
      <c r="N16" s="207">
        <f>ROUND(N(data!Q68), 0)</f>
        <v>0</v>
      </c>
      <c r="O16" s="207">
        <f>ROUND(N(data!Q69), 0)</f>
        <v>26003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26003</v>
      </c>
      <c r="AD16" s="207">
        <f>ROUND(N(data!Q84), 0)</f>
        <v>0</v>
      </c>
      <c r="AE16" s="207">
        <f>ROUND(N(data!Q89), 0)</f>
        <v>27059329</v>
      </c>
      <c r="AF16" s="207">
        <f>ROUND(N(data!Q87), 0)</f>
        <v>14230919</v>
      </c>
      <c r="AG16" s="207">
        <f>ROUND(N(data!Q90), 0)</f>
        <v>14669</v>
      </c>
      <c r="AH16" s="207">
        <f>ROUND(N(data!Q91), 0)</f>
        <v>0</v>
      </c>
      <c r="AI16" s="207">
        <f>ROUND(N(data!Q92), 0)</f>
        <v>3674</v>
      </c>
      <c r="AJ16" s="207">
        <f>ROUND(N(data!Q93), 0)</f>
        <v>0</v>
      </c>
      <c r="AK16" s="314">
        <f>ROUND(N(data!Q94), 2)</f>
        <v>71.849999999999994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029</v>
      </c>
      <c r="B17" s="209" t="str">
        <f>RIGHT(data!$C$96,4)</f>
        <v>2023</v>
      </c>
      <c r="C17" s="12" t="str">
        <f>data!R$55</f>
        <v>7040</v>
      </c>
      <c r="D17" s="12" t="s">
        <v>1151</v>
      </c>
      <c r="E17" s="207">
        <f>ROUND(N(data!R59), 0)</f>
        <v>2867290</v>
      </c>
      <c r="F17" s="314">
        <f>ROUND(N(data!R60), 2)</f>
        <v>0</v>
      </c>
      <c r="G17" s="207">
        <f>ROUND(N(data!R61), 0)</f>
        <v>10728151</v>
      </c>
      <c r="H17" s="207">
        <f>ROUND(N(data!R62), 0)</f>
        <v>3305762</v>
      </c>
      <c r="I17" s="207">
        <f>ROUND(N(data!R63), 0)</f>
        <v>0</v>
      </c>
      <c r="J17" s="207">
        <f>ROUND(N(data!R64), 0)</f>
        <v>2538860</v>
      </c>
      <c r="K17" s="207">
        <f>ROUND(N(data!R65), 0)</f>
        <v>30</v>
      </c>
      <c r="L17" s="207">
        <f>ROUND(N(data!R66), 0)</f>
        <v>25938</v>
      </c>
      <c r="M17" s="207">
        <f>ROUND(N(data!R67), 0)</f>
        <v>155643</v>
      </c>
      <c r="N17" s="207">
        <f>ROUND(N(data!R68), 0)</f>
        <v>92765</v>
      </c>
      <c r="O17" s="207">
        <f>ROUND(N(data!R69), 0)</f>
        <v>4910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4910</v>
      </c>
      <c r="AD17" s="207">
        <f>ROUND(N(data!R84), 0)</f>
        <v>0</v>
      </c>
      <c r="AE17" s="207">
        <f>ROUND(N(data!R89), 0)</f>
        <v>121618278</v>
      </c>
      <c r="AF17" s="207">
        <f>ROUND(N(data!R87), 0)</f>
        <v>62672674</v>
      </c>
      <c r="AG17" s="207">
        <f>ROUND(N(data!R90), 0)</f>
        <v>7105</v>
      </c>
      <c r="AH17" s="207">
        <f>ROUND(N(data!R91), 0)</f>
        <v>0</v>
      </c>
      <c r="AI17" s="207">
        <f>ROUND(N(data!R92), 0)</f>
        <v>1780</v>
      </c>
      <c r="AJ17" s="207">
        <f>ROUND(N(data!R93), 0)</f>
        <v>0</v>
      </c>
      <c r="AK17" s="314">
        <f>ROUND(N(data!R94), 2)</f>
        <v>59.78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029</v>
      </c>
      <c r="B18" s="209" t="str">
        <f>RIGHT(data!$C$96,4)</f>
        <v>2023</v>
      </c>
      <c r="C18" s="12" t="str">
        <f>data!S$55</f>
        <v>7050</v>
      </c>
      <c r="D18" s="12" t="s">
        <v>1151</v>
      </c>
      <c r="E18" s="207">
        <f>ROUND(N(data!S59), 0)</f>
        <v>0</v>
      </c>
      <c r="F18" s="314">
        <f>ROUND(N(data!S60), 2)</f>
        <v>0.06</v>
      </c>
      <c r="G18" s="207">
        <f>ROUND(N(data!S61), 0)</f>
        <v>4813280</v>
      </c>
      <c r="H18" s="207">
        <f>ROUND(N(data!S62), 0)</f>
        <v>1216181</v>
      </c>
      <c r="I18" s="207">
        <f>ROUND(N(data!S63), 0)</f>
        <v>0</v>
      </c>
      <c r="J18" s="207">
        <f>ROUND(N(data!S64), 0)</f>
        <v>2093177</v>
      </c>
      <c r="K18" s="207">
        <f>ROUND(N(data!S65), 0)</f>
        <v>9670</v>
      </c>
      <c r="L18" s="207">
        <f>ROUND(N(data!S66), 0)</f>
        <v>3890833</v>
      </c>
      <c r="M18" s="207">
        <f>ROUND(N(data!S67), 0)</f>
        <v>201552</v>
      </c>
      <c r="N18" s="207">
        <f>ROUND(N(data!S68), 0)</f>
        <v>2450678</v>
      </c>
      <c r="O18" s="207">
        <f>ROUND(N(data!S69), 0)</f>
        <v>1194517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1194517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40470</v>
      </c>
      <c r="AH18" s="207">
        <f>ROUND(N(data!S91), 0)</f>
        <v>0</v>
      </c>
      <c r="AI18" s="207">
        <f>ROUND(N(data!S92), 0)</f>
        <v>10136</v>
      </c>
      <c r="AJ18" s="207">
        <f>ROUND(N(data!S93), 0)</f>
        <v>0</v>
      </c>
      <c r="AK18" s="314">
        <f>ROUND(N(data!S94), 2)</f>
        <v>60.23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029</v>
      </c>
      <c r="B19" s="209" t="str">
        <f>RIGHT(data!$C$96,4)</f>
        <v>2023</v>
      </c>
      <c r="C19" s="12" t="str">
        <f>data!T$55</f>
        <v>7060</v>
      </c>
      <c r="D19" s="12" t="s">
        <v>1151</v>
      </c>
      <c r="E19" s="207">
        <f>ROUND(N(data!T59), 0)</f>
        <v>0</v>
      </c>
      <c r="F19" s="314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029</v>
      </c>
      <c r="B20" s="209" t="str">
        <f>RIGHT(data!$C$96,4)</f>
        <v>2023</v>
      </c>
      <c r="C20" s="12" t="str">
        <f>data!U$55</f>
        <v>7070</v>
      </c>
      <c r="D20" s="12" t="s">
        <v>1151</v>
      </c>
      <c r="E20" s="207">
        <f>ROUND(N(data!U59), 0)</f>
        <v>1905284</v>
      </c>
      <c r="F20" s="314">
        <f>ROUND(N(data!U60), 2)</f>
        <v>0</v>
      </c>
      <c r="G20" s="207">
        <f>ROUND(N(data!U61), 0)</f>
        <v>12976669</v>
      </c>
      <c r="H20" s="207">
        <f>ROUND(N(data!U62), 0)</f>
        <v>4525495</v>
      </c>
      <c r="I20" s="207">
        <f>ROUND(N(data!U63), 0)</f>
        <v>250</v>
      </c>
      <c r="J20" s="207">
        <f>ROUND(N(data!U64), 0)</f>
        <v>8474050</v>
      </c>
      <c r="K20" s="207">
        <f>ROUND(N(data!U65), 0)</f>
        <v>1631</v>
      </c>
      <c r="L20" s="207">
        <f>ROUND(N(data!U66), 0)</f>
        <v>11973483</v>
      </c>
      <c r="M20" s="207">
        <f>ROUND(N(data!U67), 0)</f>
        <v>420165</v>
      </c>
      <c r="N20" s="207">
        <f>ROUND(N(data!U68), 0)</f>
        <v>10648</v>
      </c>
      <c r="O20" s="207">
        <f>ROUND(N(data!U69), 0)</f>
        <v>119796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119796</v>
      </c>
      <c r="AD20" s="207">
        <f>ROUND(N(data!U84), 0)</f>
        <v>115222</v>
      </c>
      <c r="AE20" s="207">
        <f>ROUND(N(data!U89), 0)</f>
        <v>233909945</v>
      </c>
      <c r="AF20" s="207">
        <f>ROUND(N(data!U87), 0)</f>
        <v>128832432</v>
      </c>
      <c r="AG20" s="207">
        <f>ROUND(N(data!U90), 0)</f>
        <v>54685</v>
      </c>
      <c r="AH20" s="207">
        <f>ROUND(N(data!U91), 0)</f>
        <v>0</v>
      </c>
      <c r="AI20" s="207">
        <f>ROUND(N(data!U92), 0)</f>
        <v>13697</v>
      </c>
      <c r="AJ20" s="207">
        <f>ROUND(N(data!U93), 0)</f>
        <v>1532</v>
      </c>
      <c r="AK20" s="314">
        <f>ROUND(N(data!U94), 2)</f>
        <v>147.26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029</v>
      </c>
      <c r="B21" s="209" t="str">
        <f>RIGHT(data!$C$96,4)</f>
        <v>2023</v>
      </c>
      <c r="C21" s="12" t="str">
        <f>data!V$55</f>
        <v>7110</v>
      </c>
      <c r="D21" s="12" t="s">
        <v>1151</v>
      </c>
      <c r="E21" s="207">
        <f>ROUND(N(data!V59), 0)</f>
        <v>67702</v>
      </c>
      <c r="F21" s="314">
        <f>ROUND(N(data!V60), 2)</f>
        <v>8.18</v>
      </c>
      <c r="G21" s="207">
        <f>ROUND(N(data!V61), 0)</f>
        <v>7230394</v>
      </c>
      <c r="H21" s="207">
        <f>ROUND(N(data!V62), 0)</f>
        <v>2342624</v>
      </c>
      <c r="I21" s="207">
        <f>ROUND(N(data!V63), 0)</f>
        <v>124395</v>
      </c>
      <c r="J21" s="207">
        <f>ROUND(N(data!V64), 0)</f>
        <v>1761430</v>
      </c>
      <c r="K21" s="207">
        <f>ROUND(N(data!V65), 0)</f>
        <v>2602</v>
      </c>
      <c r="L21" s="207">
        <f>ROUND(N(data!V66), 0)</f>
        <v>134462</v>
      </c>
      <c r="M21" s="207">
        <f>ROUND(N(data!V67), 0)</f>
        <v>367217</v>
      </c>
      <c r="N21" s="207">
        <f>ROUND(N(data!V68), 0)</f>
        <v>236309</v>
      </c>
      <c r="O21" s="207">
        <f>ROUND(N(data!V69), 0)</f>
        <v>19780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19780</v>
      </c>
      <c r="AD21" s="207">
        <f>ROUND(N(data!V84), 0)</f>
        <v>314</v>
      </c>
      <c r="AE21" s="207">
        <f>ROUND(N(data!V89), 0)</f>
        <v>92448337</v>
      </c>
      <c r="AF21" s="207">
        <f>ROUND(N(data!V87), 0)</f>
        <v>57036203</v>
      </c>
      <c r="AG21" s="207">
        <f>ROUND(N(data!V90), 0)</f>
        <v>19816</v>
      </c>
      <c r="AH21" s="207">
        <f>ROUND(N(data!V91), 0)</f>
        <v>0</v>
      </c>
      <c r="AI21" s="207">
        <f>ROUND(N(data!V92), 0)</f>
        <v>4963</v>
      </c>
      <c r="AJ21" s="207">
        <f>ROUND(N(data!V93), 0)</f>
        <v>26304</v>
      </c>
      <c r="AK21" s="314">
        <f>ROUND(N(data!V94), 2)</f>
        <v>61.4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029</v>
      </c>
      <c r="B22" s="209" t="str">
        <f>RIGHT(data!$C$96,4)</f>
        <v>2023</v>
      </c>
      <c r="C22" s="12" t="str">
        <f>data!W$55</f>
        <v>7120</v>
      </c>
      <c r="D22" s="12" t="s">
        <v>1151</v>
      </c>
      <c r="E22" s="207">
        <f>ROUND(N(data!W59), 0)</f>
        <v>91838</v>
      </c>
      <c r="F22" s="314">
        <f>ROUND(N(data!W60), 2)</f>
        <v>0</v>
      </c>
      <c r="G22" s="207">
        <f>ROUND(N(data!W61), 0)</f>
        <v>1728705</v>
      </c>
      <c r="H22" s="207">
        <f>ROUND(N(data!W62), 0)</f>
        <v>590567</v>
      </c>
      <c r="I22" s="207">
        <f>ROUND(N(data!W63), 0)</f>
        <v>0</v>
      </c>
      <c r="J22" s="207">
        <f>ROUND(N(data!W64), 0)</f>
        <v>187335</v>
      </c>
      <c r="K22" s="207">
        <f>ROUND(N(data!W65), 0)</f>
        <v>0</v>
      </c>
      <c r="L22" s="207">
        <f>ROUND(N(data!W66), 0)</f>
        <v>58025</v>
      </c>
      <c r="M22" s="207">
        <f>ROUND(N(data!W67), 0)</f>
        <v>335441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39120634</v>
      </c>
      <c r="AF22" s="207">
        <f>ROUND(N(data!W87), 0)</f>
        <v>14276736</v>
      </c>
      <c r="AG22" s="207">
        <f>ROUND(N(data!W90), 0)</f>
        <v>2089</v>
      </c>
      <c r="AH22" s="207">
        <f>ROUND(N(data!W91), 0)</f>
        <v>0</v>
      </c>
      <c r="AI22" s="207">
        <f>ROUND(N(data!W92), 0)</f>
        <v>523</v>
      </c>
      <c r="AJ22" s="207">
        <f>ROUND(N(data!W93), 0)</f>
        <v>0</v>
      </c>
      <c r="AK22" s="314">
        <f>ROUND(N(data!W94), 2)</f>
        <v>11.61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029</v>
      </c>
      <c r="B23" s="209" t="str">
        <f>RIGHT(data!$C$96,4)</f>
        <v>2023</v>
      </c>
      <c r="C23" s="12" t="str">
        <f>data!X$55</f>
        <v>7130</v>
      </c>
      <c r="D23" s="12" t="s">
        <v>1151</v>
      </c>
      <c r="E23" s="207">
        <f>ROUND(N(data!X59), 0)</f>
        <v>351825</v>
      </c>
      <c r="F23" s="314">
        <f>ROUND(N(data!X60), 2)</f>
        <v>0</v>
      </c>
      <c r="G23" s="207">
        <f>ROUND(N(data!X61), 0)</f>
        <v>4488089</v>
      </c>
      <c r="H23" s="207">
        <f>ROUND(N(data!X62), 0)</f>
        <v>954374</v>
      </c>
      <c r="I23" s="207">
        <f>ROUND(N(data!X63), 0)</f>
        <v>0</v>
      </c>
      <c r="J23" s="207">
        <f>ROUND(N(data!X64), 0)</f>
        <v>709181</v>
      </c>
      <c r="K23" s="207">
        <f>ROUND(N(data!X65), 0)</f>
        <v>315</v>
      </c>
      <c r="L23" s="207">
        <f>ROUND(N(data!X66), 0)</f>
        <v>70149</v>
      </c>
      <c r="M23" s="207">
        <f>ROUND(N(data!X67), 0)</f>
        <v>244701</v>
      </c>
      <c r="N23" s="207">
        <f>ROUND(N(data!X68), 0)</f>
        <v>0</v>
      </c>
      <c r="O23" s="207">
        <f>ROUND(N(data!X69), 0)</f>
        <v>16109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16109</v>
      </c>
      <c r="AD23" s="207">
        <f>ROUND(N(data!X84), 0)</f>
        <v>0</v>
      </c>
      <c r="AE23" s="207">
        <f>ROUND(N(data!X89), 0)</f>
        <v>207588935</v>
      </c>
      <c r="AF23" s="207">
        <f>ROUND(N(data!X87), 0)</f>
        <v>119102526</v>
      </c>
      <c r="AG23" s="207">
        <f>ROUND(N(data!X90), 0)</f>
        <v>2296</v>
      </c>
      <c r="AH23" s="207">
        <f>ROUND(N(data!X91), 0)</f>
        <v>0</v>
      </c>
      <c r="AI23" s="207">
        <f>ROUND(N(data!X92), 0)</f>
        <v>575</v>
      </c>
      <c r="AJ23" s="207">
        <f>ROUND(N(data!X93), 0)</f>
        <v>12668</v>
      </c>
      <c r="AK23" s="314">
        <f>ROUND(N(data!X94), 2)</f>
        <v>28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029</v>
      </c>
      <c r="B24" s="209" t="str">
        <f>RIGHT(data!$C$96,4)</f>
        <v>2023</v>
      </c>
      <c r="C24" s="12" t="str">
        <f>data!Y$55</f>
        <v>7140</v>
      </c>
      <c r="D24" s="12" t="s">
        <v>1151</v>
      </c>
      <c r="E24" s="207">
        <f>ROUND(N(data!Y59), 0)</f>
        <v>706039</v>
      </c>
      <c r="F24" s="314">
        <f>ROUND(N(data!Y60), 2)</f>
        <v>19.170000000000002</v>
      </c>
      <c r="G24" s="207">
        <f>ROUND(N(data!Y61), 0)</f>
        <v>19016491</v>
      </c>
      <c r="H24" s="207">
        <f>ROUND(N(data!Y62), 0)</f>
        <v>5933202</v>
      </c>
      <c r="I24" s="207">
        <f>ROUND(N(data!Y63), 0)</f>
        <v>2826</v>
      </c>
      <c r="J24" s="207">
        <f>ROUND(N(data!Y64), 0)</f>
        <v>7071374</v>
      </c>
      <c r="K24" s="207">
        <f>ROUND(N(data!Y65), 0)</f>
        <v>41</v>
      </c>
      <c r="L24" s="207">
        <f>ROUND(N(data!Y66), 0)</f>
        <v>180554</v>
      </c>
      <c r="M24" s="207">
        <f>ROUND(N(data!Y67), 0)</f>
        <v>1046932</v>
      </c>
      <c r="N24" s="207">
        <f>ROUND(N(data!Y68), 0)</f>
        <v>122228</v>
      </c>
      <c r="O24" s="207">
        <f>ROUND(N(data!Y69), 0)</f>
        <v>14657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14657</v>
      </c>
      <c r="AD24" s="207">
        <f>ROUND(N(data!Y84), 0)</f>
        <v>31161</v>
      </c>
      <c r="AE24" s="207">
        <f>ROUND(N(data!Y89), 0)</f>
        <v>176277121</v>
      </c>
      <c r="AF24" s="207">
        <f>ROUND(N(data!Y87), 0)</f>
        <v>102594722</v>
      </c>
      <c r="AG24" s="207">
        <f>ROUND(N(data!Y90), 0)</f>
        <v>35981</v>
      </c>
      <c r="AH24" s="207">
        <f>ROUND(N(data!Y91), 0)</f>
        <v>0</v>
      </c>
      <c r="AI24" s="207">
        <f>ROUND(N(data!Y92), 0)</f>
        <v>9012</v>
      </c>
      <c r="AJ24" s="207">
        <f>ROUND(N(data!Y93), 0)</f>
        <v>4442</v>
      </c>
      <c r="AK24" s="314">
        <f>ROUND(N(data!Y94), 2)</f>
        <v>169.02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029</v>
      </c>
      <c r="B25" s="209" t="str">
        <f>RIGHT(data!$C$96,4)</f>
        <v>2023</v>
      </c>
      <c r="C25" s="12" t="str">
        <f>data!Z$55</f>
        <v>7150</v>
      </c>
      <c r="D25" s="12" t="s">
        <v>1151</v>
      </c>
      <c r="E25" s="207">
        <f>ROUND(N(data!Z59), 0)</f>
        <v>9620</v>
      </c>
      <c r="F25" s="314">
        <f>ROUND(N(data!Z60), 2)</f>
        <v>3.71</v>
      </c>
      <c r="G25" s="207">
        <f>ROUND(N(data!Z61), 0)</f>
        <v>1147619</v>
      </c>
      <c r="H25" s="207">
        <f>ROUND(N(data!Z62), 0)</f>
        <v>372659</v>
      </c>
      <c r="I25" s="207">
        <f>ROUND(N(data!Z63), 0)</f>
        <v>0</v>
      </c>
      <c r="J25" s="207">
        <f>ROUND(N(data!Z64), 0)</f>
        <v>277713</v>
      </c>
      <c r="K25" s="207">
        <f>ROUND(N(data!Z65), 0)</f>
        <v>762</v>
      </c>
      <c r="L25" s="207">
        <f>ROUND(N(data!Z66), 0)</f>
        <v>5485</v>
      </c>
      <c r="M25" s="207">
        <f>ROUND(N(data!Z67), 0)</f>
        <v>168277</v>
      </c>
      <c r="N25" s="207">
        <f>ROUND(N(data!Z68), 0)</f>
        <v>44</v>
      </c>
      <c r="O25" s="207">
        <f>ROUND(N(data!Z69), 0)</f>
        <v>10107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10107</v>
      </c>
      <c r="AD25" s="207">
        <f>ROUND(N(data!Z84), 0)</f>
        <v>0</v>
      </c>
      <c r="AE25" s="207">
        <f>ROUND(N(data!Z89), 0)</f>
        <v>27069758</v>
      </c>
      <c r="AF25" s="207">
        <f>ROUND(N(data!Z87), 0)</f>
        <v>79433</v>
      </c>
      <c r="AG25" s="207">
        <f>ROUND(N(data!Z90), 0)</f>
        <v>2863</v>
      </c>
      <c r="AH25" s="207">
        <f>ROUND(N(data!Z91), 0)</f>
        <v>0</v>
      </c>
      <c r="AI25" s="207">
        <f>ROUND(N(data!Z92), 0)</f>
        <v>717</v>
      </c>
      <c r="AJ25" s="207">
        <f>ROUND(N(data!Z93), 0)</f>
        <v>0</v>
      </c>
      <c r="AK25" s="314">
        <f>ROUND(N(data!Z94), 2)</f>
        <v>8.68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029</v>
      </c>
      <c r="B26" s="209" t="str">
        <f>RIGHT(data!$C$96,4)</f>
        <v>2023</v>
      </c>
      <c r="C26" s="12" t="str">
        <f>data!AA$55</f>
        <v>7160</v>
      </c>
      <c r="D26" s="12" t="s">
        <v>1151</v>
      </c>
      <c r="E26" s="207">
        <f>ROUND(N(data!AA59), 0)</f>
        <v>16403</v>
      </c>
      <c r="F26" s="314">
        <f>ROUND(N(data!AA60), 2)</f>
        <v>0</v>
      </c>
      <c r="G26" s="207">
        <f>ROUND(N(data!AA61), 0)</f>
        <v>499522</v>
      </c>
      <c r="H26" s="207">
        <f>ROUND(N(data!AA62), 0)</f>
        <v>193982</v>
      </c>
      <c r="I26" s="207">
        <f>ROUND(N(data!AA63), 0)</f>
        <v>0</v>
      </c>
      <c r="J26" s="207">
        <f>ROUND(N(data!AA64), 0)</f>
        <v>205242</v>
      </c>
      <c r="K26" s="207">
        <f>ROUND(N(data!AA65), 0)</f>
        <v>0</v>
      </c>
      <c r="L26" s="207">
        <f>ROUND(N(data!AA66), 0)</f>
        <v>5</v>
      </c>
      <c r="M26" s="207">
        <f>ROUND(N(data!AA67), 0)</f>
        <v>244814</v>
      </c>
      <c r="N26" s="207">
        <f>ROUND(N(data!AA68), 0)</f>
        <v>44</v>
      </c>
      <c r="O26" s="207">
        <f>ROUND(N(data!AA69), 0)</f>
        <v>495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495</v>
      </c>
      <c r="AD26" s="207">
        <f>ROUND(N(data!AA84), 0)</f>
        <v>0</v>
      </c>
      <c r="AE26" s="207">
        <f>ROUND(N(data!AA89), 0)</f>
        <v>3645470</v>
      </c>
      <c r="AF26" s="207">
        <f>ROUND(N(data!AA87), 0)</f>
        <v>1137587</v>
      </c>
      <c r="AG26" s="207">
        <f>ROUND(N(data!AA90), 0)</f>
        <v>1694</v>
      </c>
      <c r="AH26" s="207">
        <f>ROUND(N(data!AA91), 0)</f>
        <v>0</v>
      </c>
      <c r="AI26" s="207">
        <f>ROUND(N(data!AA92), 0)</f>
        <v>424</v>
      </c>
      <c r="AJ26" s="207">
        <f>ROUND(N(data!AA93), 0)</f>
        <v>0</v>
      </c>
      <c r="AK26" s="314">
        <f>ROUND(N(data!AA94), 2)</f>
        <v>3.01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029</v>
      </c>
      <c r="B27" s="209" t="str">
        <f>RIGHT(data!$C$96,4)</f>
        <v>2023</v>
      </c>
      <c r="C27" s="12" t="str">
        <f>data!AB$55</f>
        <v>7170</v>
      </c>
      <c r="D27" s="12" t="s">
        <v>1151</v>
      </c>
      <c r="E27" s="207">
        <f>ROUND(N(data!AB59), 0)</f>
        <v>0</v>
      </c>
      <c r="F27" s="314">
        <f>ROUND(N(data!AB60), 2)</f>
        <v>0</v>
      </c>
      <c r="G27" s="207">
        <f>ROUND(N(data!AB61), 0)</f>
        <v>25136468</v>
      </c>
      <c r="H27" s="207">
        <f>ROUND(N(data!AB62), 0)</f>
        <v>9175821</v>
      </c>
      <c r="I27" s="207">
        <f>ROUND(N(data!AB63), 0)</f>
        <v>116823</v>
      </c>
      <c r="J27" s="207">
        <f>ROUND(N(data!AB64), 0)</f>
        <v>104346080</v>
      </c>
      <c r="K27" s="207">
        <f>ROUND(N(data!AB65), 0)</f>
        <v>12614</v>
      </c>
      <c r="L27" s="207">
        <f>ROUND(N(data!AB66), 0)</f>
        <v>7038464</v>
      </c>
      <c r="M27" s="207">
        <f>ROUND(N(data!AB67), 0)</f>
        <v>16303</v>
      </c>
      <c r="N27" s="207">
        <f>ROUND(N(data!AB68), 0)</f>
        <v>1293992</v>
      </c>
      <c r="O27" s="207">
        <f>ROUND(N(data!AB69), 0)</f>
        <v>367810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367810</v>
      </c>
      <c r="AD27" s="207">
        <f>ROUND(N(data!AB84), 0)</f>
        <v>39220692</v>
      </c>
      <c r="AE27" s="207">
        <f>ROUND(N(data!AB89), 0)</f>
        <v>364919643</v>
      </c>
      <c r="AF27" s="207">
        <f>ROUND(N(data!AB87), 0)</f>
        <v>163394571</v>
      </c>
      <c r="AG27" s="207">
        <f>ROUND(N(data!AB90), 0)</f>
        <v>22315</v>
      </c>
      <c r="AH27" s="207">
        <f>ROUND(N(data!AB91), 0)</f>
        <v>0</v>
      </c>
      <c r="AI27" s="207">
        <f>ROUND(N(data!AB92), 0)</f>
        <v>5589</v>
      </c>
      <c r="AJ27" s="207">
        <f>ROUND(N(data!AB93), 0)</f>
        <v>0</v>
      </c>
      <c r="AK27" s="314">
        <f>ROUND(N(data!AB94), 2)</f>
        <v>209.14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029</v>
      </c>
      <c r="B28" s="209" t="str">
        <f>RIGHT(data!$C$96,4)</f>
        <v>2023</v>
      </c>
      <c r="C28" s="12" t="str">
        <f>data!AC$55</f>
        <v>7180</v>
      </c>
      <c r="D28" s="12" t="s">
        <v>1151</v>
      </c>
      <c r="E28" s="207">
        <f>ROUND(N(data!AC59), 0)</f>
        <v>65855</v>
      </c>
      <c r="F28" s="314">
        <f>ROUND(N(data!AC60), 2)</f>
        <v>1.85</v>
      </c>
      <c r="G28" s="207">
        <f>ROUND(N(data!AC61), 0)</f>
        <v>9771260</v>
      </c>
      <c r="H28" s="207">
        <f>ROUND(N(data!AC62), 0)</f>
        <v>2345120</v>
      </c>
      <c r="I28" s="207">
        <f>ROUND(N(data!AC63), 0)</f>
        <v>0</v>
      </c>
      <c r="J28" s="207">
        <f>ROUND(N(data!AC64), 0)</f>
        <v>1074419</v>
      </c>
      <c r="K28" s="207">
        <f>ROUND(N(data!AC65), 0)</f>
        <v>0</v>
      </c>
      <c r="L28" s="207">
        <f>ROUND(N(data!AC66), 0)</f>
        <v>30021</v>
      </c>
      <c r="M28" s="207">
        <f>ROUND(N(data!AC67), 0)</f>
        <v>364325</v>
      </c>
      <c r="N28" s="207">
        <f>ROUND(N(data!AC68), 0)</f>
        <v>7345</v>
      </c>
      <c r="O28" s="207">
        <f>ROUND(N(data!AC69), 0)</f>
        <v>11590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11590</v>
      </c>
      <c r="AD28" s="207">
        <f>ROUND(N(data!AC84), 0)</f>
        <v>5748</v>
      </c>
      <c r="AE28" s="207">
        <f>ROUND(N(data!AC89), 0)</f>
        <v>25074805</v>
      </c>
      <c r="AF28" s="207">
        <f>ROUND(N(data!AC87), 0)</f>
        <v>20778528</v>
      </c>
      <c r="AG28" s="207">
        <f>ROUND(N(data!AC90), 0)</f>
        <v>3706</v>
      </c>
      <c r="AH28" s="207">
        <f>ROUND(N(data!AC91), 0)</f>
        <v>0</v>
      </c>
      <c r="AI28" s="207">
        <f>ROUND(N(data!AC92), 0)</f>
        <v>928</v>
      </c>
      <c r="AJ28" s="207">
        <f>ROUND(N(data!AC93), 0)</f>
        <v>0</v>
      </c>
      <c r="AK28" s="314">
        <f>ROUND(N(data!AC94), 2)</f>
        <v>73.06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029</v>
      </c>
      <c r="B29" s="209" t="str">
        <f>RIGHT(data!$C$96,4)</f>
        <v>2023</v>
      </c>
      <c r="C29" s="12" t="str">
        <f>data!AD$55</f>
        <v>7190</v>
      </c>
      <c r="D29" s="12" t="s">
        <v>1151</v>
      </c>
      <c r="E29" s="207">
        <f>ROUND(N(data!AD59), 0)</f>
        <v>0</v>
      </c>
      <c r="F29" s="314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3747</v>
      </c>
      <c r="K29" s="207">
        <f>ROUND(N(data!AD65), 0)</f>
        <v>0</v>
      </c>
      <c r="L29" s="207">
        <f>ROUND(N(data!AD66), 0)</f>
        <v>2182655</v>
      </c>
      <c r="M29" s="207">
        <f>ROUND(N(data!AD67), 0)</f>
        <v>69411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12633290</v>
      </c>
      <c r="AF29" s="207">
        <f>ROUND(N(data!AD87), 0)</f>
        <v>12248081</v>
      </c>
      <c r="AG29" s="207">
        <f>ROUND(N(data!AD90), 0)</f>
        <v>1602</v>
      </c>
      <c r="AH29" s="207">
        <f>ROUND(N(data!AD91), 0)</f>
        <v>0</v>
      </c>
      <c r="AI29" s="207">
        <f>ROUND(N(data!AD92), 0)</f>
        <v>401</v>
      </c>
      <c r="AJ29" s="207">
        <f>ROUND(N(data!AD93), 0)</f>
        <v>0</v>
      </c>
      <c r="AK29" s="31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029</v>
      </c>
      <c r="B30" s="209" t="str">
        <f>RIGHT(data!$C$96,4)</f>
        <v>2023</v>
      </c>
      <c r="C30" s="12" t="str">
        <f>data!AE$55</f>
        <v>7200</v>
      </c>
      <c r="D30" s="12" t="s">
        <v>1151</v>
      </c>
      <c r="E30" s="207">
        <f>ROUND(N(data!AE59), 0)</f>
        <v>149086</v>
      </c>
      <c r="F30" s="314">
        <f>ROUND(N(data!AE60), 2)</f>
        <v>0</v>
      </c>
      <c r="G30" s="207">
        <f>ROUND(N(data!AE61), 0)</f>
        <v>9530945</v>
      </c>
      <c r="H30" s="207">
        <f>ROUND(N(data!AE62), 0)</f>
        <v>3324672</v>
      </c>
      <c r="I30" s="207">
        <f>ROUND(N(data!AE63), 0)</f>
        <v>0</v>
      </c>
      <c r="J30" s="207">
        <f>ROUND(N(data!AE64), 0)</f>
        <v>160206</v>
      </c>
      <c r="K30" s="207">
        <f>ROUND(N(data!AE65), 0)</f>
        <v>0</v>
      </c>
      <c r="L30" s="207">
        <f>ROUND(N(data!AE66), 0)</f>
        <v>18215</v>
      </c>
      <c r="M30" s="207">
        <f>ROUND(N(data!AE67), 0)</f>
        <v>22679</v>
      </c>
      <c r="N30" s="207">
        <f>ROUND(N(data!AE68), 0)</f>
        <v>88</v>
      </c>
      <c r="O30" s="207">
        <f>ROUND(N(data!AE69), 0)</f>
        <v>1195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1195</v>
      </c>
      <c r="AD30" s="207">
        <f>ROUND(N(data!AE84), 0)</f>
        <v>0</v>
      </c>
      <c r="AE30" s="207">
        <f>ROUND(N(data!AE89), 0)</f>
        <v>35175545</v>
      </c>
      <c r="AF30" s="207">
        <f>ROUND(N(data!AE87), 0)</f>
        <v>25911614</v>
      </c>
      <c r="AG30" s="207">
        <f>ROUND(N(data!AE90), 0)</f>
        <v>13117</v>
      </c>
      <c r="AH30" s="207">
        <f>ROUND(N(data!AE91), 0)</f>
        <v>0</v>
      </c>
      <c r="AI30" s="207">
        <f>ROUND(N(data!AE92), 0)</f>
        <v>3285</v>
      </c>
      <c r="AJ30" s="207">
        <f>ROUND(N(data!AE93), 0)</f>
        <v>8070</v>
      </c>
      <c r="AK30" s="314">
        <f>ROUND(N(data!AE94), 2)</f>
        <v>87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029</v>
      </c>
      <c r="B31" s="209" t="str">
        <f>RIGHT(data!$C$96,4)</f>
        <v>2023</v>
      </c>
      <c r="C31" s="12" t="str">
        <f>data!AF$55</f>
        <v>7220</v>
      </c>
      <c r="D31" s="12" t="s">
        <v>1151</v>
      </c>
      <c r="E31" s="207">
        <f>ROUND(N(data!AF59), 0)</f>
        <v>22019</v>
      </c>
      <c r="F31" s="314">
        <f>ROUND(N(data!AF60), 2)</f>
        <v>4.38</v>
      </c>
      <c r="G31" s="207">
        <f>ROUND(N(data!AF61), 0)</f>
        <v>7945642</v>
      </c>
      <c r="H31" s="207">
        <f>ROUND(N(data!AF62), 0)</f>
        <v>2791609</v>
      </c>
      <c r="I31" s="207">
        <f>ROUND(N(data!AF63), 0)</f>
        <v>281520</v>
      </c>
      <c r="J31" s="207">
        <f>ROUND(N(data!AF64), 0)</f>
        <v>56874</v>
      </c>
      <c r="K31" s="207">
        <f>ROUND(N(data!AF65), 0)</f>
        <v>568</v>
      </c>
      <c r="L31" s="207">
        <f>ROUND(N(data!AF66), 0)</f>
        <v>94459</v>
      </c>
      <c r="M31" s="207">
        <f>ROUND(N(data!AF67), 0)</f>
        <v>0</v>
      </c>
      <c r="N31" s="207">
        <f>ROUND(N(data!AF68), 0)</f>
        <v>1375</v>
      </c>
      <c r="O31" s="207">
        <f>ROUND(N(data!AF69), 0)</f>
        <v>95462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95462</v>
      </c>
      <c r="AD31" s="207">
        <f>ROUND(N(data!AF84), 0)</f>
        <v>7140205</v>
      </c>
      <c r="AE31" s="207">
        <f>ROUND(N(data!AF89), 0)</f>
        <v>9050066</v>
      </c>
      <c r="AF31" s="207">
        <f>ROUND(N(data!AF87), 0)</f>
        <v>61195</v>
      </c>
      <c r="AG31" s="207">
        <f>ROUND(N(data!AF90), 0)</f>
        <v>16763</v>
      </c>
      <c r="AH31" s="207">
        <f>ROUND(N(data!AF91), 0)</f>
        <v>0</v>
      </c>
      <c r="AI31" s="207">
        <f>ROUND(N(data!AF92), 0)</f>
        <v>4198</v>
      </c>
      <c r="AJ31" s="207">
        <f>ROUND(N(data!AF93), 0)</f>
        <v>0</v>
      </c>
      <c r="AK31" s="314">
        <f>ROUND(N(data!AF94), 2)</f>
        <v>80.3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029</v>
      </c>
      <c r="B32" s="209" t="str">
        <f>RIGHT(data!$C$96,4)</f>
        <v>2023</v>
      </c>
      <c r="C32" s="12" t="str">
        <f>data!AG$55</f>
        <v>7230</v>
      </c>
      <c r="D32" s="12" t="s">
        <v>1151</v>
      </c>
      <c r="E32" s="207">
        <f>ROUND(N(data!AG59), 0)</f>
        <v>54312</v>
      </c>
      <c r="F32" s="314">
        <f>ROUND(N(data!AG60), 2)</f>
        <v>85.04</v>
      </c>
      <c r="G32" s="207">
        <f>ROUND(N(data!AG61), 0)</f>
        <v>30944758</v>
      </c>
      <c r="H32" s="207">
        <f>ROUND(N(data!AG62), 0)</f>
        <v>7374513</v>
      </c>
      <c r="I32" s="207">
        <f>ROUND(N(data!AG63), 0)</f>
        <v>42769</v>
      </c>
      <c r="J32" s="207">
        <f>ROUND(N(data!AG64), 0)</f>
        <v>4224856</v>
      </c>
      <c r="K32" s="207">
        <f>ROUND(N(data!AG65), 0)</f>
        <v>0</v>
      </c>
      <c r="L32" s="207">
        <f>ROUND(N(data!AG66), 0)</f>
        <v>474966</v>
      </c>
      <c r="M32" s="207">
        <f>ROUND(N(data!AG67), 0)</f>
        <v>300351</v>
      </c>
      <c r="N32" s="207">
        <f>ROUND(N(data!AG68), 0)</f>
        <v>88</v>
      </c>
      <c r="O32" s="207">
        <f>ROUND(N(data!AG69), 0)</f>
        <v>179198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179198</v>
      </c>
      <c r="AD32" s="207">
        <f>ROUND(N(data!AG84), 0)</f>
        <v>298654</v>
      </c>
      <c r="AE32" s="207">
        <f>ROUND(N(data!AG89), 0)</f>
        <v>265269887</v>
      </c>
      <c r="AF32" s="207">
        <f>ROUND(N(data!AG87), 0)</f>
        <v>98438433</v>
      </c>
      <c r="AG32" s="207">
        <f>ROUND(N(data!AG90), 0)</f>
        <v>26332</v>
      </c>
      <c r="AH32" s="207">
        <f>ROUND(N(data!AG91), 0)</f>
        <v>0</v>
      </c>
      <c r="AI32" s="207">
        <f>ROUND(N(data!AG92), 0)</f>
        <v>6595</v>
      </c>
      <c r="AJ32" s="207">
        <f>ROUND(N(data!AG93), 0)</f>
        <v>0</v>
      </c>
      <c r="AK32" s="314">
        <f>ROUND(N(data!AG94), 2)</f>
        <v>194.19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029</v>
      </c>
      <c r="B33" s="209" t="str">
        <f>RIGHT(data!$C$96,4)</f>
        <v>2023</v>
      </c>
      <c r="C33" s="12" t="str">
        <f>data!AH$55</f>
        <v>7240</v>
      </c>
      <c r="D33" s="12" t="s">
        <v>1151</v>
      </c>
      <c r="E33" s="207">
        <f>ROUND(N(data!AH59), 0)</f>
        <v>0</v>
      </c>
      <c r="F33" s="314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125298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985</v>
      </c>
      <c r="AH33" s="207">
        <f>ROUND(N(data!AH91), 0)</f>
        <v>0</v>
      </c>
      <c r="AI33" s="207">
        <f>ROUND(N(data!AH92), 0)</f>
        <v>247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029</v>
      </c>
      <c r="B34" s="209" t="str">
        <f>RIGHT(data!$C$96,4)</f>
        <v>2023</v>
      </c>
      <c r="C34" s="12" t="str">
        <f>data!AI$55</f>
        <v>7250</v>
      </c>
      <c r="D34" s="12" t="s">
        <v>1151</v>
      </c>
      <c r="E34" s="207">
        <f>ROUND(N(data!AI59), 0)</f>
        <v>0</v>
      </c>
      <c r="F34" s="314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029</v>
      </c>
      <c r="B35" s="209" t="str">
        <f>RIGHT(data!$C$96,4)</f>
        <v>2023</v>
      </c>
      <c r="C35" s="12" t="str">
        <f>data!AJ$55</f>
        <v>7260</v>
      </c>
      <c r="D35" s="12" t="s">
        <v>1151</v>
      </c>
      <c r="E35" s="207">
        <f>ROUND(N(data!AJ59), 0)</f>
        <v>359656</v>
      </c>
      <c r="F35" s="314">
        <f>ROUND(N(data!AJ60), 2)</f>
        <v>153.54</v>
      </c>
      <c r="G35" s="207">
        <f>ROUND(N(data!AJ61), 0)</f>
        <v>70814026</v>
      </c>
      <c r="H35" s="207">
        <f>ROUND(N(data!AJ62), 0)</f>
        <v>24218639</v>
      </c>
      <c r="I35" s="207">
        <f>ROUND(N(data!AJ63), 0)</f>
        <v>247844</v>
      </c>
      <c r="J35" s="207">
        <f>ROUND(N(data!AJ64), 0)</f>
        <v>9165557</v>
      </c>
      <c r="K35" s="207">
        <f>ROUND(N(data!AJ65), 0)</f>
        <v>38393</v>
      </c>
      <c r="L35" s="207">
        <f>ROUND(N(data!AJ66), 0)</f>
        <v>2496393</v>
      </c>
      <c r="M35" s="207">
        <f>ROUND(N(data!AJ67), 0)</f>
        <v>1517643</v>
      </c>
      <c r="N35" s="207">
        <f>ROUND(N(data!AJ68), 0)</f>
        <v>809136</v>
      </c>
      <c r="O35" s="207">
        <f>ROUND(N(data!AJ69), 0)</f>
        <v>230998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230998</v>
      </c>
      <c r="AD35" s="207">
        <f>ROUND(N(data!AJ84), 0)</f>
        <v>19594262</v>
      </c>
      <c r="AE35" s="207">
        <f>ROUND(N(data!AJ89), 0)</f>
        <v>184235211</v>
      </c>
      <c r="AF35" s="207">
        <f>ROUND(N(data!AJ87), 0)</f>
        <v>10974627</v>
      </c>
      <c r="AG35" s="207">
        <f>ROUND(N(data!AJ90), 0)</f>
        <v>295447</v>
      </c>
      <c r="AH35" s="207">
        <f>ROUND(N(data!AJ91), 0)</f>
        <v>0</v>
      </c>
      <c r="AI35" s="207">
        <f>ROUND(N(data!AJ92), 0)</f>
        <v>73999</v>
      </c>
      <c r="AJ35" s="207">
        <f>ROUND(N(data!AJ93), 0)</f>
        <v>51575</v>
      </c>
      <c r="AK35" s="314">
        <f>ROUND(N(data!AJ94), 2)</f>
        <v>675.47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029</v>
      </c>
      <c r="B36" s="209" t="str">
        <f>RIGHT(data!$C$96,4)</f>
        <v>2023</v>
      </c>
      <c r="C36" s="12" t="str">
        <f>data!AK$55</f>
        <v>7310</v>
      </c>
      <c r="D36" s="12" t="s">
        <v>1151</v>
      </c>
      <c r="E36" s="207">
        <f>ROUND(N(data!AK59), 0)</f>
        <v>77940</v>
      </c>
      <c r="F36" s="314">
        <f>ROUND(N(data!AK60), 2)</f>
        <v>0</v>
      </c>
      <c r="G36" s="207">
        <f>ROUND(N(data!AK61), 0)</f>
        <v>3451618</v>
      </c>
      <c r="H36" s="207">
        <f>ROUND(N(data!AK62), 0)</f>
        <v>1160979</v>
      </c>
      <c r="I36" s="207">
        <f>ROUND(N(data!AK63), 0)</f>
        <v>0</v>
      </c>
      <c r="J36" s="207">
        <f>ROUND(N(data!AK64), 0)</f>
        <v>28581</v>
      </c>
      <c r="K36" s="207">
        <f>ROUND(N(data!AK65), 0)</f>
        <v>-83</v>
      </c>
      <c r="L36" s="207">
        <f>ROUND(N(data!AK66), 0)</f>
        <v>433</v>
      </c>
      <c r="M36" s="207">
        <f>ROUND(N(data!AK67), 0)</f>
        <v>30377</v>
      </c>
      <c r="N36" s="207">
        <f>ROUND(N(data!AK68), 0)</f>
        <v>44</v>
      </c>
      <c r="O36" s="207">
        <f>ROUND(N(data!AK69), 0)</f>
        <v>4301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4301</v>
      </c>
      <c r="AD36" s="207">
        <f>ROUND(N(data!AK84), 0)</f>
        <v>402386</v>
      </c>
      <c r="AE36" s="207">
        <f>ROUND(N(data!AK89), 0)</f>
        <v>15344702</v>
      </c>
      <c r="AF36" s="207">
        <f>ROUND(N(data!AK87), 0)</f>
        <v>15275121</v>
      </c>
      <c r="AG36" s="207">
        <f>ROUND(N(data!AK90), 0)</f>
        <v>6637</v>
      </c>
      <c r="AH36" s="207">
        <f>ROUND(N(data!AK91), 0)</f>
        <v>0</v>
      </c>
      <c r="AI36" s="207">
        <f>ROUND(N(data!AK92), 0)</f>
        <v>1662</v>
      </c>
      <c r="AJ36" s="207">
        <f>ROUND(N(data!AK93), 0)</f>
        <v>0</v>
      </c>
      <c r="AK36" s="314">
        <f>ROUND(N(data!AK94), 2)</f>
        <v>32.03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029</v>
      </c>
      <c r="B37" s="209" t="str">
        <f>RIGHT(data!$C$96,4)</f>
        <v>2023</v>
      </c>
      <c r="C37" s="12" t="str">
        <f>data!AL$55</f>
        <v>7320</v>
      </c>
      <c r="D37" s="12" t="s">
        <v>1151</v>
      </c>
      <c r="E37" s="207">
        <f>ROUND(N(data!AL59), 0)</f>
        <v>0</v>
      </c>
      <c r="F37" s="314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029</v>
      </c>
      <c r="B38" s="209" t="str">
        <f>RIGHT(data!$C$96,4)</f>
        <v>2023</v>
      </c>
      <c r="C38" s="12" t="str">
        <f>data!AM$55</f>
        <v>7330</v>
      </c>
      <c r="D38" s="12" t="s">
        <v>1151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029</v>
      </c>
      <c r="B39" s="209" t="str">
        <f>RIGHT(data!$C$96,4)</f>
        <v>2023</v>
      </c>
      <c r="C39" s="12" t="str">
        <f>data!AN$55</f>
        <v>7340</v>
      </c>
      <c r="D39" s="12" t="s">
        <v>1151</v>
      </c>
      <c r="E39" s="207">
        <f>ROUND(N(data!AN59), 0)</f>
        <v>0</v>
      </c>
      <c r="F39" s="314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029</v>
      </c>
      <c r="B40" s="209" t="str">
        <f>RIGHT(data!$C$96,4)</f>
        <v>2023</v>
      </c>
      <c r="C40" s="12" t="str">
        <f>data!AO$55</f>
        <v>7350</v>
      </c>
      <c r="D40" s="12" t="s">
        <v>1151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029</v>
      </c>
      <c r="B41" s="209" t="str">
        <f>RIGHT(data!$C$96,4)</f>
        <v>2023</v>
      </c>
      <c r="C41" s="12" t="str">
        <f>data!AP$55</f>
        <v>7380</v>
      </c>
      <c r="D41" s="12" t="s">
        <v>1151</v>
      </c>
      <c r="E41" s="207">
        <f>ROUND(N(data!AP59), 0)</f>
        <v>0</v>
      </c>
      <c r="F41" s="314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029</v>
      </c>
      <c r="B42" s="209" t="str">
        <f>RIGHT(data!$C$96,4)</f>
        <v>2023</v>
      </c>
      <c r="C42" s="12" t="str">
        <f>data!AQ$55</f>
        <v>7390</v>
      </c>
      <c r="D42" s="12" t="s">
        <v>1151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029</v>
      </c>
      <c r="B43" s="209" t="str">
        <f>RIGHT(data!$C$96,4)</f>
        <v>2023</v>
      </c>
      <c r="C43" s="12" t="str">
        <f>data!AR$55</f>
        <v>7400</v>
      </c>
      <c r="D43" s="12" t="s">
        <v>1151</v>
      </c>
      <c r="E43" s="207">
        <f>ROUND(N(data!AR59), 0)</f>
        <v>0</v>
      </c>
      <c r="F43" s="314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029</v>
      </c>
      <c r="B44" s="209" t="str">
        <f>RIGHT(data!$C$96,4)</f>
        <v>2023</v>
      </c>
      <c r="C44" s="12" t="str">
        <f>data!AS$55</f>
        <v>7410</v>
      </c>
      <c r="D44" s="12" t="s">
        <v>1151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029</v>
      </c>
      <c r="B45" s="209" t="str">
        <f>RIGHT(data!$C$96,4)</f>
        <v>2023</v>
      </c>
      <c r="C45" s="12" t="str">
        <f>data!AT$55</f>
        <v>7420</v>
      </c>
      <c r="D45" s="12" t="s">
        <v>1151</v>
      </c>
      <c r="E45" s="207">
        <f>ROUND(N(data!AT59), 0)</f>
        <v>0</v>
      </c>
      <c r="F45" s="314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029</v>
      </c>
      <c r="B46" s="209" t="str">
        <f>RIGHT(data!$C$96,4)</f>
        <v>2023</v>
      </c>
      <c r="C46" s="12" t="str">
        <f>data!AU$55</f>
        <v>7430</v>
      </c>
      <c r="D46" s="12" t="s">
        <v>1151</v>
      </c>
      <c r="E46" s="207">
        <f>ROUND(N(data!AU59), 0)</f>
        <v>1525</v>
      </c>
      <c r="F46" s="314">
        <f>ROUND(N(data!AU60), 2)</f>
        <v>3.81</v>
      </c>
      <c r="G46" s="207">
        <f>ROUND(N(data!AU61), 0)</f>
        <v>888095</v>
      </c>
      <c r="H46" s="207">
        <f>ROUND(N(data!AU62), 0)</f>
        <v>311288</v>
      </c>
      <c r="I46" s="207">
        <f>ROUND(N(data!AU63), 0)</f>
        <v>0</v>
      </c>
      <c r="J46" s="207">
        <f>ROUND(N(data!AU64), 0)</f>
        <v>2984</v>
      </c>
      <c r="K46" s="207">
        <f>ROUND(N(data!AU65), 0)</f>
        <v>0</v>
      </c>
      <c r="L46" s="207">
        <f>ROUND(N(data!AU66), 0)</f>
        <v>47592</v>
      </c>
      <c r="M46" s="207">
        <f>ROUND(N(data!AU67), 0)</f>
        <v>0</v>
      </c>
      <c r="N46" s="207">
        <f>ROUND(N(data!AU68), 0)</f>
        <v>0</v>
      </c>
      <c r="O46" s="207">
        <f>ROUND(N(data!AU69), 0)</f>
        <v>2607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2607</v>
      </c>
      <c r="AD46" s="207">
        <f>ROUND(N(data!AU84), 0)</f>
        <v>1067876</v>
      </c>
      <c r="AE46" s="207">
        <f>ROUND(N(data!AU89), 0)</f>
        <v>459423</v>
      </c>
      <c r="AF46" s="207">
        <f>ROUND(N(data!AU87), 0)</f>
        <v>759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99</v>
      </c>
      <c r="AK46" s="314">
        <f>ROUND(N(data!AU94), 2)</f>
        <v>8.52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029</v>
      </c>
      <c r="B47" s="209" t="str">
        <f>RIGHT(data!$C$96,4)</f>
        <v>2023</v>
      </c>
      <c r="C47" s="12" t="str">
        <f>data!AV$55</f>
        <v>7490</v>
      </c>
      <c r="D47" s="12" t="s">
        <v>1151</v>
      </c>
      <c r="E47" s="207">
        <f>ROUND(N(data!AV59), 0)</f>
        <v>0</v>
      </c>
      <c r="F47" s="314">
        <f>ROUND(N(data!AV60), 2)</f>
        <v>9.39</v>
      </c>
      <c r="G47" s="207">
        <f>ROUND(N(data!AV61), 0)</f>
        <v>4507921</v>
      </c>
      <c r="H47" s="207">
        <f>ROUND(N(data!AV62), 0)</f>
        <v>1569061</v>
      </c>
      <c r="I47" s="207">
        <f>ROUND(N(data!AV63), 0)</f>
        <v>20025</v>
      </c>
      <c r="J47" s="207">
        <f>ROUND(N(data!AV64), 0)</f>
        <v>268836</v>
      </c>
      <c r="K47" s="207">
        <f>ROUND(N(data!AV65), 0)</f>
        <v>510</v>
      </c>
      <c r="L47" s="207">
        <f>ROUND(N(data!AV66), 0)</f>
        <v>7876588</v>
      </c>
      <c r="M47" s="207">
        <f>ROUND(N(data!AV67), 0)</f>
        <v>1017</v>
      </c>
      <c r="N47" s="207">
        <f>ROUND(N(data!AV68), 0)</f>
        <v>30108</v>
      </c>
      <c r="O47" s="207">
        <f>ROUND(N(data!AV69), 0)</f>
        <v>-197651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-197651</v>
      </c>
      <c r="AD47" s="207">
        <f>ROUND(N(data!AV84), 0)</f>
        <v>6407448</v>
      </c>
      <c r="AE47" s="207">
        <f>ROUND(N(data!AV89), 0)</f>
        <v>5282996</v>
      </c>
      <c r="AF47" s="207">
        <f>ROUND(N(data!AV87), 0)</f>
        <v>3494749</v>
      </c>
      <c r="AG47" s="207">
        <f>ROUND(N(data!AV90), 0)</f>
        <v>3845</v>
      </c>
      <c r="AH47" s="207">
        <f>ROUND(N(data!AV91), 0)</f>
        <v>0</v>
      </c>
      <c r="AI47" s="207">
        <f>ROUND(N(data!AV92), 0)</f>
        <v>963</v>
      </c>
      <c r="AJ47" s="207">
        <f>ROUND(N(data!AV93), 0)</f>
        <v>29</v>
      </c>
      <c r="AK47" s="314">
        <f>ROUND(N(data!AV94), 2)</f>
        <v>46.74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029</v>
      </c>
      <c r="B48" s="209" t="str">
        <f>RIGHT(data!$C$96,4)</f>
        <v>2023</v>
      </c>
      <c r="C48" s="12" t="str">
        <f>data!AW$55</f>
        <v>8200</v>
      </c>
      <c r="D48" s="12" t="s">
        <v>1151</v>
      </c>
      <c r="E48" s="207">
        <f>ROUND(N(data!AW59), 0)</f>
        <v>0</v>
      </c>
      <c r="F48" s="314">
        <f>ROUND(N(data!AW60), 2)</f>
        <v>0</v>
      </c>
      <c r="G48" s="207">
        <f>ROUND(N(data!AW61), 0)</f>
        <v>241703</v>
      </c>
      <c r="H48" s="207">
        <f>ROUND(N(data!AW62), 0)</f>
        <v>58250</v>
      </c>
      <c r="I48" s="207">
        <f>ROUND(N(data!AW63), 0)</f>
        <v>0</v>
      </c>
      <c r="J48" s="207">
        <f>ROUND(N(data!AW64), 0)</f>
        <v>618052</v>
      </c>
      <c r="K48" s="207">
        <f>ROUND(N(data!AW65), 0)</f>
        <v>0</v>
      </c>
      <c r="L48" s="207">
        <f>ROUND(N(data!AW66), 0)</f>
        <v>33259921</v>
      </c>
      <c r="M48" s="207">
        <f>ROUND(N(data!AW67), 0)</f>
        <v>0</v>
      </c>
      <c r="N48" s="207">
        <f>ROUND(N(data!AW68), 0)</f>
        <v>0</v>
      </c>
      <c r="O48" s="207">
        <f>ROUND(N(data!AW69), 0)</f>
        <v>19042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19042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029</v>
      </c>
      <c r="B49" s="209" t="str">
        <f>RIGHT(data!$C$96,4)</f>
        <v>2023</v>
      </c>
      <c r="C49" s="12" t="str">
        <f>data!AX$55</f>
        <v>8310</v>
      </c>
      <c r="D49" s="12" t="s">
        <v>1151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029</v>
      </c>
      <c r="B50" s="209" t="str">
        <f>RIGHT(data!$C$96,4)</f>
        <v>2023</v>
      </c>
      <c r="C50" s="12" t="str">
        <f>data!AY$55</f>
        <v>8320</v>
      </c>
      <c r="D50" s="12" t="s">
        <v>1151</v>
      </c>
      <c r="E50" s="207">
        <f>ROUND(N(data!AY59), 0)</f>
        <v>743434</v>
      </c>
      <c r="F50" s="314">
        <f>ROUND(N(data!AY60), 2)</f>
        <v>0</v>
      </c>
      <c r="G50" s="207">
        <f>ROUND(N(data!AY61), 0)</f>
        <v>8117459</v>
      </c>
      <c r="H50" s="207">
        <f>ROUND(N(data!AY62), 0)</f>
        <v>2952632</v>
      </c>
      <c r="I50" s="207">
        <f>ROUND(N(data!AY63), 0)</f>
        <v>0</v>
      </c>
      <c r="J50" s="207">
        <f>ROUND(N(data!AY64), 0)</f>
        <v>6832823</v>
      </c>
      <c r="K50" s="207">
        <f>ROUND(N(data!AY65), 0)</f>
        <v>0</v>
      </c>
      <c r="L50" s="207">
        <f>ROUND(N(data!AY66), 0)</f>
        <v>516945</v>
      </c>
      <c r="M50" s="207">
        <f>ROUND(N(data!AY67), 0)</f>
        <v>130925</v>
      </c>
      <c r="N50" s="207">
        <f>ROUND(N(data!AY68), 0)</f>
        <v>88</v>
      </c>
      <c r="O50" s="207">
        <f>ROUND(N(data!AY69), 0)</f>
        <v>-754798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-754798</v>
      </c>
      <c r="AD50" s="207">
        <f>ROUND(N(data!AY84), 0)</f>
        <v>4387597</v>
      </c>
      <c r="AE50" s="207">
        <f>ROUND(N(data!AY89), 0)</f>
        <v>0</v>
      </c>
      <c r="AF50" s="207">
        <f>ROUND(N(data!AY87), 0)</f>
        <v>0</v>
      </c>
      <c r="AG50" s="207">
        <f>ROUND(N(data!AY90), 0)</f>
        <v>29757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029</v>
      </c>
      <c r="B51" s="209" t="str">
        <f>RIGHT(data!$C$96,4)</f>
        <v>2023</v>
      </c>
      <c r="C51" s="12" t="str">
        <f>data!AZ$55</f>
        <v>8330</v>
      </c>
      <c r="D51" s="12" t="s">
        <v>1151</v>
      </c>
      <c r="E51" s="207">
        <f>ROUND(N(data!AZ59), 0)</f>
        <v>0</v>
      </c>
      <c r="F51" s="314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029</v>
      </c>
      <c r="B52" s="209" t="str">
        <f>RIGHT(data!$C$96,4)</f>
        <v>2023</v>
      </c>
      <c r="C52" s="12" t="str">
        <f>data!BA$55</f>
        <v>8350</v>
      </c>
      <c r="D52" s="12" t="s">
        <v>1151</v>
      </c>
      <c r="E52" s="207">
        <f>ROUND(N(data!BA59), 0)</f>
        <v>0</v>
      </c>
      <c r="F52" s="314">
        <f>ROUND(N(data!BA60), 2)</f>
        <v>0</v>
      </c>
      <c r="G52" s="207">
        <f>ROUND(N(data!BA61), 0)</f>
        <v>527543</v>
      </c>
      <c r="H52" s="207">
        <f>ROUND(N(data!BA62), 0)</f>
        <v>193830</v>
      </c>
      <c r="I52" s="207">
        <f>ROUND(N(data!BA63), 0)</f>
        <v>0</v>
      </c>
      <c r="J52" s="207">
        <f>ROUND(N(data!BA64), 0)</f>
        <v>641131</v>
      </c>
      <c r="K52" s="207">
        <f>ROUND(N(data!BA65), 0)</f>
        <v>0</v>
      </c>
      <c r="L52" s="207">
        <f>ROUND(N(data!BA66), 0)</f>
        <v>-116723</v>
      </c>
      <c r="M52" s="207">
        <f>ROUND(N(data!BA67), 0)</f>
        <v>0</v>
      </c>
      <c r="N52" s="207">
        <f>ROUND(N(data!BA68), 0)</f>
        <v>44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6263</v>
      </c>
      <c r="AH52" s="207">
        <f>ROUND(N(data!BA91), 0)</f>
        <v>0</v>
      </c>
      <c r="AI52" s="207">
        <f>ROUND(N(data!BA92), 0)</f>
        <v>1569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029</v>
      </c>
      <c r="B53" s="209" t="str">
        <f>RIGHT(data!$C$96,4)</f>
        <v>2023</v>
      </c>
      <c r="C53" s="12" t="str">
        <f>data!BB$55</f>
        <v>8360</v>
      </c>
      <c r="D53" s="12" t="s">
        <v>1151</v>
      </c>
      <c r="E53" s="207">
        <f>ROUND(N(data!BB59), 0)</f>
        <v>0</v>
      </c>
      <c r="F53" s="314">
        <f>ROUND(N(data!BB60), 2)</f>
        <v>1.01</v>
      </c>
      <c r="G53" s="207">
        <f>ROUND(N(data!BB61), 0)</f>
        <v>10175190</v>
      </c>
      <c r="H53" s="207">
        <f>ROUND(N(data!BB62), 0)</f>
        <v>3752087</v>
      </c>
      <c r="I53" s="207">
        <f>ROUND(N(data!BB63), 0)</f>
        <v>288506</v>
      </c>
      <c r="J53" s="207">
        <f>ROUND(N(data!BB64), 0)</f>
        <v>166316</v>
      </c>
      <c r="K53" s="207">
        <f>ROUND(N(data!BB65), 0)</f>
        <v>0</v>
      </c>
      <c r="L53" s="207">
        <f>ROUND(N(data!BB66), 0)</f>
        <v>9387348</v>
      </c>
      <c r="M53" s="207">
        <f>ROUND(N(data!BB67), 0)</f>
        <v>0</v>
      </c>
      <c r="N53" s="207">
        <f>ROUND(N(data!BB68), 0)</f>
        <v>88</v>
      </c>
      <c r="O53" s="207">
        <f>ROUND(N(data!BB69), 0)</f>
        <v>145360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145360</v>
      </c>
      <c r="AD53" s="207">
        <f>ROUND(N(data!BB84), 0)</f>
        <v>2453885</v>
      </c>
      <c r="AE53" s="207">
        <f>ROUND(N(data!BB89), 0)</f>
        <v>0</v>
      </c>
      <c r="AF53" s="207">
        <f>ROUND(N(data!BB87), 0)</f>
        <v>0</v>
      </c>
      <c r="AG53" s="207">
        <f>ROUND(N(data!BB90), 0)</f>
        <v>8881</v>
      </c>
      <c r="AH53" s="207">
        <f>ROUND(N(data!BB91), 0)</f>
        <v>0</v>
      </c>
      <c r="AI53" s="207">
        <f>ROUND(N(data!BB92), 0)</f>
        <v>2224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029</v>
      </c>
      <c r="B54" s="209" t="str">
        <f>RIGHT(data!$C$96,4)</f>
        <v>2023</v>
      </c>
      <c r="C54" s="12" t="str">
        <f>data!BC$55</f>
        <v>8370</v>
      </c>
      <c r="D54" s="12" t="s">
        <v>1151</v>
      </c>
      <c r="E54" s="207">
        <f>ROUND(N(data!BC59), 0)</f>
        <v>0</v>
      </c>
      <c r="F54" s="314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029</v>
      </c>
      <c r="B55" s="209" t="str">
        <f>RIGHT(data!$C$96,4)</f>
        <v>2023</v>
      </c>
      <c r="C55" s="12" t="str">
        <f>data!BD$55</f>
        <v>8420</v>
      </c>
      <c r="D55" s="12" t="s">
        <v>1151</v>
      </c>
      <c r="E55" s="207">
        <f>ROUND(N(data!BD59), 0)</f>
        <v>0</v>
      </c>
      <c r="F55" s="314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3743388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5247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029</v>
      </c>
      <c r="B56" s="209" t="str">
        <f>RIGHT(data!$C$96,4)</f>
        <v>2023</v>
      </c>
      <c r="C56" s="12" t="str">
        <f>data!BE$55</f>
        <v>8430</v>
      </c>
      <c r="D56" s="12" t="s">
        <v>1151</v>
      </c>
      <c r="E56" s="207">
        <f>ROUND(N(data!BE59), 0)</f>
        <v>1163875</v>
      </c>
      <c r="F56" s="314">
        <f>ROUND(N(data!BE60), 2)</f>
        <v>0</v>
      </c>
      <c r="G56" s="207">
        <f>ROUND(N(data!BE61), 0)</f>
        <v>7857587</v>
      </c>
      <c r="H56" s="207">
        <f>ROUND(N(data!BE62), 0)</f>
        <v>2995004</v>
      </c>
      <c r="I56" s="207">
        <f>ROUND(N(data!BE63), 0)</f>
        <v>0</v>
      </c>
      <c r="J56" s="207">
        <f>ROUND(N(data!BE64), 0)</f>
        <v>2579082</v>
      </c>
      <c r="K56" s="207">
        <f>ROUND(N(data!BE65), 0)</f>
        <v>5421710</v>
      </c>
      <c r="L56" s="207">
        <f>ROUND(N(data!BE66), 0)</f>
        <v>8962414</v>
      </c>
      <c r="M56" s="207">
        <f>ROUND(N(data!BE67), 0)</f>
        <v>2158814</v>
      </c>
      <c r="N56" s="207">
        <f>ROUND(N(data!BE68), 0)</f>
        <v>101760</v>
      </c>
      <c r="O56" s="207">
        <f>ROUND(N(data!BE69), 0)</f>
        <v>83643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83643</v>
      </c>
      <c r="AD56" s="207">
        <f>ROUND(N(data!BE84), 0)</f>
        <v>173268</v>
      </c>
      <c r="AE56" s="207">
        <f>ROUND(N(data!BE89), 0)</f>
        <v>0</v>
      </c>
      <c r="AF56" s="207">
        <f>ROUND(N(data!BE87), 0)</f>
        <v>0</v>
      </c>
      <c r="AG56" s="207">
        <f>ROUND(N(data!BE90), 0)</f>
        <v>230968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029</v>
      </c>
      <c r="B57" s="209" t="str">
        <f>RIGHT(data!$C$96,4)</f>
        <v>2023</v>
      </c>
      <c r="C57" s="12" t="str">
        <f>data!BF$55</f>
        <v>8460</v>
      </c>
      <c r="D57" s="12" t="s">
        <v>1151</v>
      </c>
      <c r="E57" s="207">
        <f>ROUND(N(data!BF59), 0)</f>
        <v>0</v>
      </c>
      <c r="F57" s="314">
        <f>ROUND(N(data!BF60), 2)</f>
        <v>0.01</v>
      </c>
      <c r="G57" s="207">
        <f>ROUND(N(data!BF61), 0)</f>
        <v>12056936</v>
      </c>
      <c r="H57" s="207">
        <f>ROUND(N(data!BF62), 0)</f>
        <v>4380295</v>
      </c>
      <c r="I57" s="207">
        <f>ROUND(N(data!BF63), 0)</f>
        <v>0</v>
      </c>
      <c r="J57" s="207">
        <f>ROUND(N(data!BF64), 0)</f>
        <v>1572543</v>
      </c>
      <c r="K57" s="207">
        <f>ROUND(N(data!BF65), 0)</f>
        <v>698773</v>
      </c>
      <c r="L57" s="207">
        <f>ROUND(N(data!BF66), 0)</f>
        <v>371784</v>
      </c>
      <c r="M57" s="207">
        <f>ROUND(N(data!BF67), 0)</f>
        <v>52147</v>
      </c>
      <c r="N57" s="207">
        <f>ROUND(N(data!BF68), 0)</f>
        <v>49921</v>
      </c>
      <c r="O57" s="207">
        <f>ROUND(N(data!BF69), 0)</f>
        <v>5270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5270</v>
      </c>
      <c r="AD57" s="207">
        <f>ROUND(N(data!BF84), 0)</f>
        <v>305</v>
      </c>
      <c r="AE57" s="207">
        <f>ROUND(N(data!BF89), 0)</f>
        <v>0</v>
      </c>
      <c r="AF57" s="207">
        <f>ROUND(N(data!BF87), 0)</f>
        <v>0</v>
      </c>
      <c r="AG57" s="207">
        <f>ROUND(N(data!BF90), 0)</f>
        <v>31772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029</v>
      </c>
      <c r="B58" s="209" t="str">
        <f>RIGHT(data!$C$96,4)</f>
        <v>2023</v>
      </c>
      <c r="C58" s="12" t="str">
        <f>data!BG$55</f>
        <v>8470</v>
      </c>
      <c r="D58" s="12" t="s">
        <v>1151</v>
      </c>
      <c r="E58" s="207">
        <f>ROUND(N(data!BG59), 0)</f>
        <v>0</v>
      </c>
      <c r="F58" s="314">
        <f>ROUND(N(data!BG60), 2)</f>
        <v>0</v>
      </c>
      <c r="G58" s="207">
        <f>ROUND(N(data!BG61), 0)</f>
        <v>34566</v>
      </c>
      <c r="H58" s="207">
        <f>ROUND(N(data!BG62), 0)</f>
        <v>10181</v>
      </c>
      <c r="I58" s="207">
        <f>ROUND(N(data!BG63), 0)</f>
        <v>0</v>
      </c>
      <c r="J58" s="207">
        <f>ROUND(N(data!BG64), 0)</f>
        <v>813</v>
      </c>
      <c r="K58" s="207">
        <f>ROUND(N(data!BG65), 0)</f>
        <v>20043</v>
      </c>
      <c r="L58" s="207">
        <f>ROUND(N(data!BG66), 0)</f>
        <v>746006</v>
      </c>
      <c r="M58" s="207">
        <f>ROUND(N(data!BG67), 0)</f>
        <v>5843</v>
      </c>
      <c r="N58" s="207">
        <f>ROUND(N(data!BG68), 0)</f>
        <v>132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8899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029</v>
      </c>
      <c r="B59" s="209" t="str">
        <f>RIGHT(data!$C$96,4)</f>
        <v>2023</v>
      </c>
      <c r="C59" s="12" t="str">
        <f>data!BH$55</f>
        <v>8480</v>
      </c>
      <c r="D59" s="12" t="s">
        <v>1151</v>
      </c>
      <c r="E59" s="207">
        <f>ROUND(N(data!BH59), 0)</f>
        <v>0</v>
      </c>
      <c r="F59" s="314">
        <f>ROUND(N(data!BH60), 2)</f>
        <v>0</v>
      </c>
      <c r="G59" s="207">
        <f>ROUND(N(data!BH61), 0)</f>
        <v>975105</v>
      </c>
      <c r="H59" s="207">
        <f>ROUND(N(data!BH62), 0)</f>
        <v>345565</v>
      </c>
      <c r="I59" s="207">
        <f>ROUND(N(data!BH63), 0)</f>
        <v>0</v>
      </c>
      <c r="J59" s="207">
        <f>ROUND(N(data!BH64), 0)</f>
        <v>586717</v>
      </c>
      <c r="K59" s="207">
        <f>ROUND(N(data!BH65), 0)</f>
        <v>192195</v>
      </c>
      <c r="L59" s="207">
        <f>ROUND(N(data!BH66), 0)</f>
        <v>83654422</v>
      </c>
      <c r="M59" s="207">
        <f>ROUND(N(data!BH67), 0)</f>
        <v>907256</v>
      </c>
      <c r="N59" s="207">
        <f>ROUND(N(data!BH68), 0)</f>
        <v>1893429</v>
      </c>
      <c r="O59" s="207">
        <f>ROUND(N(data!BH69), 0)</f>
        <v>47953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47953</v>
      </c>
      <c r="AD59" s="207">
        <f>ROUND(N(data!BH84), 0)</f>
        <v>6451239</v>
      </c>
      <c r="AE59" s="207">
        <f>ROUND(N(data!BH89), 0)</f>
        <v>0</v>
      </c>
      <c r="AF59" s="207">
        <f>ROUND(N(data!BH87), 0)</f>
        <v>0</v>
      </c>
      <c r="AG59" s="207">
        <f>ROUND(N(data!BH90), 0)</f>
        <v>114056</v>
      </c>
      <c r="AH59" s="207">
        <f>ROUND(N(data!BH91), 0)</f>
        <v>0</v>
      </c>
      <c r="AI59" s="207">
        <f>ROUND(N(data!BH92), 0)</f>
        <v>28567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029</v>
      </c>
      <c r="B60" s="209" t="str">
        <f>RIGHT(data!$C$96,4)</f>
        <v>2023</v>
      </c>
      <c r="C60" s="12" t="str">
        <f>data!BI$55</f>
        <v>8490</v>
      </c>
      <c r="D60" s="12" t="s">
        <v>1151</v>
      </c>
      <c r="E60" s="207">
        <f>ROUND(N(data!BI59), 0)</f>
        <v>0</v>
      </c>
      <c r="F60" s="314">
        <f>ROUND(N(data!BI60), 2)</f>
        <v>0.2</v>
      </c>
      <c r="G60" s="207">
        <f>ROUND(N(data!BI61), 0)</f>
        <v>526605</v>
      </c>
      <c r="H60" s="207">
        <f>ROUND(N(data!BI62), 0)</f>
        <v>185975</v>
      </c>
      <c r="I60" s="207">
        <f>ROUND(N(data!BI63), 0)</f>
        <v>4431</v>
      </c>
      <c r="J60" s="207">
        <f>ROUND(N(data!BI64), 0)</f>
        <v>277232</v>
      </c>
      <c r="K60" s="207">
        <f>ROUND(N(data!BI65), 0)</f>
        <v>87</v>
      </c>
      <c r="L60" s="207">
        <f>ROUND(N(data!BI66), 0)</f>
        <v>26106</v>
      </c>
      <c r="M60" s="207">
        <f>ROUND(N(data!BI67), 0)</f>
        <v>0</v>
      </c>
      <c r="N60" s="207">
        <f>ROUND(N(data!BI68), 0)</f>
        <v>917</v>
      </c>
      <c r="O60" s="207">
        <f>ROUND(N(data!BI69), 0)</f>
        <v>11255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11255</v>
      </c>
      <c r="AD60" s="207">
        <f>ROUND(N(data!BI84), 0)</f>
        <v>878004</v>
      </c>
      <c r="AE60" s="207">
        <f>ROUND(N(data!BI89), 0)</f>
        <v>0</v>
      </c>
      <c r="AF60" s="207">
        <f>ROUND(N(data!BI87), 0)</f>
        <v>0</v>
      </c>
      <c r="AG60" s="207">
        <f>ROUND(N(data!BI90), 0)</f>
        <v>29133</v>
      </c>
      <c r="AH60" s="207">
        <f>ROUND(N(data!BI91), 0)</f>
        <v>0</v>
      </c>
      <c r="AI60" s="207">
        <f>ROUND(N(data!BI92), 0)</f>
        <v>7297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029</v>
      </c>
      <c r="B61" s="209" t="str">
        <f>RIGHT(data!$C$96,4)</f>
        <v>2023</v>
      </c>
      <c r="C61" s="12" t="str">
        <f>data!BJ$55</f>
        <v>8510</v>
      </c>
      <c r="D61" s="12" t="s">
        <v>1151</v>
      </c>
      <c r="E61" s="207">
        <f>ROUND(N(data!BJ59), 0)</f>
        <v>0</v>
      </c>
      <c r="F61" s="314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495660</v>
      </c>
      <c r="J61" s="207">
        <f>ROUND(N(data!BJ64), 0)</f>
        <v>17</v>
      </c>
      <c r="K61" s="207">
        <f>ROUND(N(data!BJ65), 0)</f>
        <v>0</v>
      </c>
      <c r="L61" s="207">
        <f>ROUND(N(data!BJ66), 0)</f>
        <v>11578019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6285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029</v>
      </c>
      <c r="B62" s="209" t="str">
        <f>RIGHT(data!$C$96,4)</f>
        <v>2023</v>
      </c>
      <c r="C62" s="12" t="str">
        <f>data!BK$55</f>
        <v>8530</v>
      </c>
      <c r="D62" s="12" t="s">
        <v>1151</v>
      </c>
      <c r="E62" s="207">
        <f>ROUND(N(data!BK59), 0)</f>
        <v>0</v>
      </c>
      <c r="F62" s="314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24976470</v>
      </c>
      <c r="M62" s="207">
        <f>ROUND(N(data!BK67), 0)</f>
        <v>0</v>
      </c>
      <c r="N62" s="207">
        <f>ROUND(N(data!BK68), 0)</f>
        <v>0</v>
      </c>
      <c r="O62" s="207">
        <f>ROUND(N(data!BK69), 0)</f>
        <v>-1696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-1696</v>
      </c>
      <c r="AD62" s="207">
        <f>ROUND(N(data!BK84), 0)</f>
        <v>205716</v>
      </c>
      <c r="AE62" s="207">
        <f>ROUND(N(data!BK89), 0)</f>
        <v>0</v>
      </c>
      <c r="AF62" s="207">
        <f>ROUND(N(data!BK87), 0)</f>
        <v>0</v>
      </c>
      <c r="AG62" s="207">
        <f>ROUND(N(data!BK90), 0)</f>
        <v>7476</v>
      </c>
      <c r="AH62" s="207">
        <f>ROUND(N(data!BK91), 0)</f>
        <v>0</v>
      </c>
      <c r="AI62" s="207">
        <f>ROUND(N(data!BK92), 0)</f>
        <v>1872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029</v>
      </c>
      <c r="B63" s="209" t="str">
        <f>RIGHT(data!$C$96,4)</f>
        <v>2023</v>
      </c>
      <c r="C63" s="12" t="str">
        <f>data!BL$55</f>
        <v>8560</v>
      </c>
      <c r="D63" s="12" t="s">
        <v>1151</v>
      </c>
      <c r="E63" s="207">
        <f>ROUND(N(data!BL59), 0)</f>
        <v>0</v>
      </c>
      <c r="F63" s="314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6101695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2949</v>
      </c>
      <c r="AH63" s="207">
        <f>ROUND(N(data!BL91), 0)</f>
        <v>0</v>
      </c>
      <c r="AI63" s="207">
        <f>ROUND(N(data!BL92), 0)</f>
        <v>738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029</v>
      </c>
      <c r="B64" s="209" t="str">
        <f>RIGHT(data!$C$96,4)</f>
        <v>2023</v>
      </c>
      <c r="C64" s="12" t="str">
        <f>data!BM$55</f>
        <v>8590</v>
      </c>
      <c r="D64" s="12" t="s">
        <v>1151</v>
      </c>
      <c r="E64" s="207">
        <f>ROUND(N(data!BM59), 0)</f>
        <v>0</v>
      </c>
      <c r="F64" s="314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514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029</v>
      </c>
      <c r="B65" s="209" t="str">
        <f>RIGHT(data!$C$96,4)</f>
        <v>2023</v>
      </c>
      <c r="C65" s="12" t="str">
        <f>data!BN$55</f>
        <v>8610</v>
      </c>
      <c r="D65" s="12" t="s">
        <v>1151</v>
      </c>
      <c r="E65" s="207">
        <f>ROUND(N(data!BN59), 0)</f>
        <v>0</v>
      </c>
      <c r="F65" s="314">
        <f>ROUND(N(data!BN60), 2)</f>
        <v>1.01</v>
      </c>
      <c r="G65" s="207">
        <f>ROUND(N(data!BN61), 0)</f>
        <v>6634277</v>
      </c>
      <c r="H65" s="207">
        <f>ROUND(N(data!BN62), 0)</f>
        <v>2170268</v>
      </c>
      <c r="I65" s="207">
        <f>ROUND(N(data!BN63), 0)</f>
        <v>2840656</v>
      </c>
      <c r="J65" s="207">
        <f>ROUND(N(data!BN64), 0)</f>
        <v>3280163</v>
      </c>
      <c r="K65" s="207">
        <f>ROUND(N(data!BN65), 0)</f>
        <v>82</v>
      </c>
      <c r="L65" s="207">
        <f>ROUND(N(data!BN66), 0)</f>
        <v>6625050</v>
      </c>
      <c r="M65" s="207">
        <f>ROUND(N(data!BN67), 0)</f>
        <v>0</v>
      </c>
      <c r="N65" s="207">
        <f>ROUND(N(data!BN68), 0)</f>
        <v>470</v>
      </c>
      <c r="O65" s="207">
        <f>ROUND(N(data!BN69), 0)</f>
        <v>914045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914045</v>
      </c>
      <c r="AD65" s="207">
        <f>ROUND(N(data!BN84), 0)</f>
        <v>-38250</v>
      </c>
      <c r="AE65" s="207">
        <f>ROUND(N(data!BN89), 0)</f>
        <v>0</v>
      </c>
      <c r="AF65" s="207">
        <f>ROUND(N(data!BN87), 0)</f>
        <v>0</v>
      </c>
      <c r="AG65" s="207">
        <f>ROUND(N(data!BN90), 0)</f>
        <v>6255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029</v>
      </c>
      <c r="B66" s="209" t="str">
        <f>RIGHT(data!$C$96,4)</f>
        <v>2023</v>
      </c>
      <c r="C66" s="12" t="str">
        <f>data!BO$55</f>
        <v>8620</v>
      </c>
      <c r="D66" s="12" t="s">
        <v>1151</v>
      </c>
      <c r="E66" s="207">
        <f>ROUND(N(data!BO59), 0)</f>
        <v>0</v>
      </c>
      <c r="F66" s="314">
        <f>ROUND(N(data!BO60), 2)</f>
        <v>6.77</v>
      </c>
      <c r="G66" s="207">
        <f>ROUND(N(data!BO61), 0)</f>
        <v>1382466</v>
      </c>
      <c r="H66" s="207">
        <f>ROUND(N(data!BO62), 0)</f>
        <v>504567</v>
      </c>
      <c r="I66" s="207">
        <f>ROUND(N(data!BO63), 0)</f>
        <v>0</v>
      </c>
      <c r="J66" s="207">
        <f>ROUND(N(data!BO64), 0)</f>
        <v>55137</v>
      </c>
      <c r="K66" s="207">
        <f>ROUND(N(data!BO65), 0)</f>
        <v>0</v>
      </c>
      <c r="L66" s="207">
        <f>ROUND(N(data!BO66), 0)</f>
        <v>3053</v>
      </c>
      <c r="M66" s="207">
        <f>ROUND(N(data!BO67), 0)</f>
        <v>0</v>
      </c>
      <c r="N66" s="207">
        <f>ROUND(N(data!BO68), 0)</f>
        <v>115</v>
      </c>
      <c r="O66" s="207">
        <f>ROUND(N(data!BO69), 0)</f>
        <v>109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109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1460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029</v>
      </c>
      <c r="B67" s="209" t="str">
        <f>RIGHT(data!$C$96,4)</f>
        <v>2023</v>
      </c>
      <c r="C67" s="12" t="str">
        <f>data!BP$55</f>
        <v>8630</v>
      </c>
      <c r="D67" s="12" t="s">
        <v>1151</v>
      </c>
      <c r="E67" s="207">
        <f>ROUND(N(data!BP59), 0)</f>
        <v>0</v>
      </c>
      <c r="F67" s="314">
        <f>ROUND(N(data!BP60), 2)</f>
        <v>0</v>
      </c>
      <c r="G67" s="207">
        <f>ROUND(N(data!BP61), 0)</f>
        <v>653970</v>
      </c>
      <c r="H67" s="207">
        <f>ROUND(N(data!BP62), 0)</f>
        <v>224448</v>
      </c>
      <c r="I67" s="207">
        <f>ROUND(N(data!BP63), 0)</f>
        <v>0</v>
      </c>
      <c r="J67" s="207">
        <f>ROUND(N(data!BP64), 0)</f>
        <v>1107</v>
      </c>
      <c r="K67" s="207">
        <f>ROUND(N(data!BP65), 0)</f>
        <v>0</v>
      </c>
      <c r="L67" s="207">
        <f>ROUND(N(data!BP66), 0)</f>
        <v>358541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1209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029</v>
      </c>
      <c r="B68" s="209" t="str">
        <f>RIGHT(data!$C$96,4)</f>
        <v>2023</v>
      </c>
      <c r="C68" s="12" t="str">
        <f>data!BQ$55</f>
        <v>8640</v>
      </c>
      <c r="D68" s="12" t="s">
        <v>1151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029</v>
      </c>
      <c r="B69" s="209" t="str">
        <f>RIGHT(data!$C$96,4)</f>
        <v>2023</v>
      </c>
      <c r="C69" s="12" t="str">
        <f>data!BR$55</f>
        <v>8650</v>
      </c>
      <c r="D69" s="12" t="s">
        <v>1151</v>
      </c>
      <c r="E69" s="207">
        <f>ROUND(N(data!BR59), 0)</f>
        <v>0</v>
      </c>
      <c r="F69" s="314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7690620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7012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029</v>
      </c>
      <c r="B70" s="209" t="str">
        <f>RIGHT(data!$C$96,4)</f>
        <v>2023</v>
      </c>
      <c r="C70" s="12" t="str">
        <f>data!BS$55</f>
        <v>8660</v>
      </c>
      <c r="D70" s="12" t="s">
        <v>1151</v>
      </c>
      <c r="E70" s="207">
        <f>ROUND(N(data!BS59), 0)</f>
        <v>0</v>
      </c>
      <c r="F70" s="314">
        <f>ROUND(N(data!BS60), 2)</f>
        <v>0</v>
      </c>
      <c r="G70" s="207">
        <f>ROUND(N(data!BS61), 0)</f>
        <v>165653</v>
      </c>
      <c r="H70" s="207">
        <f>ROUND(N(data!BS62), 0)</f>
        <v>52678</v>
      </c>
      <c r="I70" s="207">
        <f>ROUND(N(data!BS63), 0)</f>
        <v>8533</v>
      </c>
      <c r="J70" s="207">
        <f>ROUND(N(data!BS64), 0)</f>
        <v>13975</v>
      </c>
      <c r="K70" s="207">
        <f>ROUND(N(data!BS65), 0)</f>
        <v>0</v>
      </c>
      <c r="L70" s="207">
        <f>ROUND(N(data!BS66), 0)</f>
        <v>52927</v>
      </c>
      <c r="M70" s="207">
        <f>ROUND(N(data!BS67), 0)</f>
        <v>0</v>
      </c>
      <c r="N70" s="207">
        <f>ROUND(N(data!BS68), 0)</f>
        <v>44</v>
      </c>
      <c r="O70" s="207">
        <f>ROUND(N(data!BS69), 0)</f>
        <v>1865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1865</v>
      </c>
      <c r="AD70" s="207">
        <f>ROUND(N(data!BS84), 0)</f>
        <v>25776</v>
      </c>
      <c r="AE70" s="207">
        <f>ROUND(N(data!BS89), 0)</f>
        <v>0</v>
      </c>
      <c r="AF70" s="207">
        <f>ROUND(N(data!BS87), 0)</f>
        <v>0</v>
      </c>
      <c r="AG70" s="207">
        <f>ROUND(N(data!BS90), 0)</f>
        <v>654</v>
      </c>
      <c r="AH70" s="207">
        <f>ROUND(N(data!BS91), 0)</f>
        <v>0</v>
      </c>
      <c r="AI70" s="207">
        <f>ROUND(N(data!BS92), 0)</f>
        <v>164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029</v>
      </c>
      <c r="B71" s="209" t="str">
        <f>RIGHT(data!$C$96,4)</f>
        <v>2023</v>
      </c>
      <c r="C71" s="12" t="str">
        <f>data!BT$55</f>
        <v>8670</v>
      </c>
      <c r="D71" s="12" t="s">
        <v>1151</v>
      </c>
      <c r="E71" s="207">
        <f>ROUND(N(data!BT59), 0)</f>
        <v>0</v>
      </c>
      <c r="F71" s="314">
        <f>ROUND(N(data!BT60), 2)</f>
        <v>0</v>
      </c>
      <c r="G71" s="207">
        <f>ROUND(N(data!BT61), 0)</f>
        <v>639123</v>
      </c>
      <c r="H71" s="207">
        <f>ROUND(N(data!BT62), 0)</f>
        <v>191669</v>
      </c>
      <c r="I71" s="207">
        <f>ROUND(N(data!BT63), 0)</f>
        <v>0</v>
      </c>
      <c r="J71" s="207">
        <f>ROUND(N(data!BT64), 0)</f>
        <v>3697</v>
      </c>
      <c r="K71" s="207">
        <f>ROUND(N(data!BT65), 0)</f>
        <v>0</v>
      </c>
      <c r="L71" s="207">
        <f>ROUND(N(data!BT66), 0)</f>
        <v>4574</v>
      </c>
      <c r="M71" s="207">
        <f>ROUND(N(data!BT67), 0)</f>
        <v>0</v>
      </c>
      <c r="N71" s="207">
        <f>ROUND(N(data!BT68), 0)</f>
        <v>44</v>
      </c>
      <c r="O71" s="207">
        <f>ROUND(N(data!BT69), 0)</f>
        <v>11860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11860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1057</v>
      </c>
      <c r="AH71" s="207">
        <f>ROUND(N(data!BT91), 0)</f>
        <v>0</v>
      </c>
      <c r="AI71" s="207">
        <f>ROUND(N(data!BT92), 0)</f>
        <v>265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029</v>
      </c>
      <c r="B72" s="209" t="str">
        <f>RIGHT(data!$C$96,4)</f>
        <v>2023</v>
      </c>
      <c r="C72" s="12" t="str">
        <f>data!BU$55</f>
        <v>8680</v>
      </c>
      <c r="D72" s="12" t="s">
        <v>1151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029</v>
      </c>
      <c r="B73" s="209" t="str">
        <f>RIGHT(data!$C$96,4)</f>
        <v>2023</v>
      </c>
      <c r="C73" s="12" t="str">
        <f>data!BV$55</f>
        <v>8690</v>
      </c>
      <c r="D73" s="12" t="s">
        <v>1151</v>
      </c>
      <c r="E73" s="207">
        <f>ROUND(N(data!BV59), 0)</f>
        <v>0</v>
      </c>
      <c r="F73" s="314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7003211</v>
      </c>
      <c r="M73" s="207">
        <f>ROUND(N(data!BV67), 0)</f>
        <v>10161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27109</v>
      </c>
      <c r="AH73" s="207">
        <f>ROUND(N(data!BV91), 0)</f>
        <v>0</v>
      </c>
      <c r="AI73" s="207">
        <f>ROUND(N(data!BV92), 0)</f>
        <v>6790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029</v>
      </c>
      <c r="B74" s="209" t="str">
        <f>RIGHT(data!$C$96,4)</f>
        <v>2023</v>
      </c>
      <c r="C74" s="12" t="str">
        <f>data!BW$55</f>
        <v>8700</v>
      </c>
      <c r="D74" s="12" t="s">
        <v>1151</v>
      </c>
      <c r="E74" s="207">
        <f>ROUND(N(data!BW59), 0)</f>
        <v>0</v>
      </c>
      <c r="F74" s="314">
        <f>ROUND(N(data!BW60), 2)</f>
        <v>0.03</v>
      </c>
      <c r="G74" s="207">
        <f>ROUND(N(data!BW61), 0)</f>
        <v>24119448</v>
      </c>
      <c r="H74" s="207">
        <f>ROUND(N(data!BW62), 0)</f>
        <v>7116838</v>
      </c>
      <c r="I74" s="207">
        <f>ROUND(N(data!BW63), 0)</f>
        <v>39854564</v>
      </c>
      <c r="J74" s="207">
        <f>ROUND(N(data!BW64), 0)</f>
        <v>20268</v>
      </c>
      <c r="K74" s="207">
        <f>ROUND(N(data!BW65), 0)</f>
        <v>12048</v>
      </c>
      <c r="L74" s="207">
        <f>ROUND(N(data!BW66), 0)</f>
        <v>1347829</v>
      </c>
      <c r="M74" s="207">
        <f>ROUND(N(data!BW67), 0)</f>
        <v>0</v>
      </c>
      <c r="N74" s="207">
        <f>ROUND(N(data!BW68), 0)</f>
        <v>491</v>
      </c>
      <c r="O74" s="207">
        <f>ROUND(N(data!BW69), 0)</f>
        <v>35932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35932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128460</v>
      </c>
      <c r="AH74" s="207">
        <f>ROUND(N(data!BW91), 0)</f>
        <v>0</v>
      </c>
      <c r="AI74" s="207">
        <f>ROUND(N(data!BW92), 0)</f>
        <v>32174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029</v>
      </c>
      <c r="B75" s="209" t="str">
        <f>RIGHT(data!$C$96,4)</f>
        <v>2023</v>
      </c>
      <c r="C75" s="12" t="str">
        <f>data!BX$55</f>
        <v>8710</v>
      </c>
      <c r="D75" s="12" t="s">
        <v>1151</v>
      </c>
      <c r="E75" s="207">
        <f>ROUND(N(data!BX59), 0)</f>
        <v>0</v>
      </c>
      <c r="F75" s="314">
        <f>ROUND(N(data!BX60), 2)</f>
        <v>20.05</v>
      </c>
      <c r="G75" s="207">
        <f>ROUND(N(data!BX61), 0)</f>
        <v>7400536</v>
      </c>
      <c r="H75" s="207">
        <f>ROUND(N(data!BX62), 0)</f>
        <v>2513962</v>
      </c>
      <c r="I75" s="207">
        <f>ROUND(N(data!BX63), 0)</f>
        <v>0</v>
      </c>
      <c r="J75" s="207">
        <f>ROUND(N(data!BX64), 0)</f>
        <v>180097</v>
      </c>
      <c r="K75" s="207">
        <f>ROUND(N(data!BX65), 0)</f>
        <v>1128</v>
      </c>
      <c r="L75" s="207">
        <f>ROUND(N(data!BX66), 0)</f>
        <v>136245</v>
      </c>
      <c r="M75" s="207">
        <f>ROUND(N(data!BX67), 0)</f>
        <v>0</v>
      </c>
      <c r="N75" s="207">
        <f>ROUND(N(data!BX68), 0)</f>
        <v>44</v>
      </c>
      <c r="O75" s="207">
        <f>ROUND(N(data!BX69), 0)</f>
        <v>805203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805203</v>
      </c>
      <c r="AD75" s="207">
        <f>ROUND(N(data!BX84), 0)</f>
        <v>309650</v>
      </c>
      <c r="AE75" s="207">
        <f>ROUND(N(data!BX89), 0)</f>
        <v>0</v>
      </c>
      <c r="AF75" s="207">
        <f>ROUND(N(data!BX87), 0)</f>
        <v>0</v>
      </c>
      <c r="AG75" s="207">
        <f>ROUND(N(data!BX90), 0)</f>
        <v>9435</v>
      </c>
      <c r="AH75" s="207">
        <f>ROUND(N(data!BX91), 0)</f>
        <v>0</v>
      </c>
      <c r="AI75" s="207">
        <f>ROUND(N(data!BX92), 0)</f>
        <v>2363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029</v>
      </c>
      <c r="B76" s="209" t="str">
        <f>RIGHT(data!$C$96,4)</f>
        <v>2023</v>
      </c>
      <c r="C76" s="12" t="str">
        <f>data!BY$55</f>
        <v>8720</v>
      </c>
      <c r="D76" s="12" t="s">
        <v>1151</v>
      </c>
      <c r="E76" s="207">
        <f>ROUND(N(data!BY59), 0)</f>
        <v>0</v>
      </c>
      <c r="F76" s="314">
        <f>ROUND(N(data!BY60), 2)</f>
        <v>35.979999999999997</v>
      </c>
      <c r="G76" s="207">
        <f>ROUND(N(data!BY61), 0)</f>
        <v>12796949</v>
      </c>
      <c r="H76" s="207">
        <f>ROUND(N(data!BY62), 0)</f>
        <v>4286730</v>
      </c>
      <c r="I76" s="207">
        <f>ROUND(N(data!BY63), 0)</f>
        <v>13160</v>
      </c>
      <c r="J76" s="207">
        <f>ROUND(N(data!BY64), 0)</f>
        <v>42723</v>
      </c>
      <c r="K76" s="207">
        <f>ROUND(N(data!BY65), 0)</f>
        <v>209</v>
      </c>
      <c r="L76" s="207">
        <f>ROUND(N(data!BY66), 0)</f>
        <v>6599</v>
      </c>
      <c r="M76" s="207">
        <f>ROUND(N(data!BY67), 0)</f>
        <v>0</v>
      </c>
      <c r="N76" s="207">
        <f>ROUND(N(data!BY68), 0)</f>
        <v>265</v>
      </c>
      <c r="O76" s="207">
        <f>ROUND(N(data!BY69), 0)</f>
        <v>56739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56739</v>
      </c>
      <c r="AD76" s="207">
        <f>ROUND(N(data!BY84), 0)</f>
        <v>838</v>
      </c>
      <c r="AE76" s="207">
        <f>ROUND(N(data!BY89), 0)</f>
        <v>0</v>
      </c>
      <c r="AF76" s="207">
        <f>ROUND(N(data!BY87), 0)</f>
        <v>0</v>
      </c>
      <c r="AG76" s="207">
        <f>ROUND(N(data!BY90), 0)</f>
        <v>3635</v>
      </c>
      <c r="AH76" s="207">
        <f>ROUND(N(data!BY91), 0)</f>
        <v>0</v>
      </c>
      <c r="AI76" s="207">
        <f>ROUND(N(data!BY92), 0)</f>
        <v>910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029</v>
      </c>
      <c r="B77" s="209" t="str">
        <f>RIGHT(data!$C$96,4)</f>
        <v>2023</v>
      </c>
      <c r="C77" s="12" t="str">
        <f>data!BZ$55</f>
        <v>8730</v>
      </c>
      <c r="D77" s="12" t="s">
        <v>1151</v>
      </c>
      <c r="E77" s="207">
        <f>ROUND(N(data!BZ59), 0)</f>
        <v>0</v>
      </c>
      <c r="F77" s="314">
        <f>ROUND(N(data!BZ60), 2)</f>
        <v>23.27</v>
      </c>
      <c r="G77" s="207">
        <f>ROUND(N(data!BZ61), 0)</f>
        <v>10958633</v>
      </c>
      <c r="H77" s="207">
        <f>ROUND(N(data!BZ62), 0)</f>
        <v>1983559</v>
      </c>
      <c r="I77" s="207">
        <f>ROUND(N(data!BZ63), 0)</f>
        <v>0</v>
      </c>
      <c r="J77" s="207">
        <f>ROUND(N(data!BZ64), 0)</f>
        <v>4652</v>
      </c>
      <c r="K77" s="207">
        <f>ROUND(N(data!BZ65), 0)</f>
        <v>0</v>
      </c>
      <c r="L77" s="207">
        <f>ROUND(N(data!BZ66), 0)</f>
        <v>0</v>
      </c>
      <c r="M77" s="207">
        <f>ROUND(N(data!BZ67), 0)</f>
        <v>1776</v>
      </c>
      <c r="N77" s="207">
        <f>ROUND(N(data!BZ68), 0)</f>
        <v>0</v>
      </c>
      <c r="O77" s="207">
        <f>ROUND(N(data!BZ69), 0)</f>
        <v>-545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-545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1806</v>
      </c>
      <c r="AH77" s="207">
        <f>ROUND(N(data!BZ91), 0)</f>
        <v>0</v>
      </c>
      <c r="AI77" s="207">
        <f>ROUND(N(data!BZ92), 0)</f>
        <v>452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029</v>
      </c>
      <c r="B78" s="209" t="str">
        <f>RIGHT(data!$C$96,4)</f>
        <v>2023</v>
      </c>
      <c r="C78" s="12" t="str">
        <f>data!CA$55</f>
        <v>8740</v>
      </c>
      <c r="D78" s="12" t="s">
        <v>1151</v>
      </c>
      <c r="E78" s="207">
        <f>ROUND(N(data!CA59), 0)</f>
        <v>0</v>
      </c>
      <c r="F78" s="314">
        <f>ROUND(N(data!CA60), 2)</f>
        <v>0.61</v>
      </c>
      <c r="G78" s="207">
        <f>ROUND(N(data!CA61), 0)</f>
        <v>3553817</v>
      </c>
      <c r="H78" s="207">
        <f>ROUND(N(data!CA62), 0)</f>
        <v>1154839</v>
      </c>
      <c r="I78" s="207">
        <f>ROUND(N(data!CA63), 0)</f>
        <v>350</v>
      </c>
      <c r="J78" s="207">
        <f>ROUND(N(data!CA64), 0)</f>
        <v>158583</v>
      </c>
      <c r="K78" s="207">
        <f>ROUND(N(data!CA65), 0)</f>
        <v>4603</v>
      </c>
      <c r="L78" s="207">
        <f>ROUND(N(data!CA66), 0)</f>
        <v>237094</v>
      </c>
      <c r="M78" s="207">
        <f>ROUND(N(data!CA67), 0)</f>
        <v>9014</v>
      </c>
      <c r="N78" s="207">
        <f>ROUND(N(data!CA68), 0)</f>
        <v>955</v>
      </c>
      <c r="O78" s="207">
        <f>ROUND(N(data!CA69), 0)</f>
        <v>1096250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1096250</v>
      </c>
      <c r="AD78" s="207">
        <f>ROUND(N(data!CA84), 0)</f>
        <v>71568</v>
      </c>
      <c r="AE78" s="207">
        <f>ROUND(N(data!CA89), 0)</f>
        <v>0</v>
      </c>
      <c r="AF78" s="207">
        <f>ROUND(N(data!CA87), 0)</f>
        <v>0</v>
      </c>
      <c r="AG78" s="207">
        <f>ROUND(N(data!CA90), 0)</f>
        <v>17395</v>
      </c>
      <c r="AH78" s="207">
        <f>ROUND(N(data!CA91), 0)</f>
        <v>0</v>
      </c>
      <c r="AI78" s="207">
        <f>ROUND(N(data!CA92), 0)</f>
        <v>4357</v>
      </c>
      <c r="AJ78" s="207">
        <f>ROUND(N(data!CA93), 0)</f>
        <v>3790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029</v>
      </c>
      <c r="B79" s="209" t="str">
        <f>RIGHT(data!$C$96,4)</f>
        <v>2023</v>
      </c>
      <c r="C79" s="12" t="str">
        <f>data!CB$55</f>
        <v>8770</v>
      </c>
      <c r="D79" s="12" t="s">
        <v>1151</v>
      </c>
      <c r="E79" s="207">
        <f>ROUND(N(data!CB59), 0)</f>
        <v>0</v>
      </c>
      <c r="F79" s="314">
        <f>ROUND(N(data!CB60), 2)</f>
        <v>4.62</v>
      </c>
      <c r="G79" s="207">
        <f>ROUND(N(data!CB61), 0)</f>
        <v>918245</v>
      </c>
      <c r="H79" s="207">
        <f>ROUND(N(data!CB62), 0)</f>
        <v>306192</v>
      </c>
      <c r="I79" s="207">
        <f>ROUND(N(data!CB63), 0)</f>
        <v>0</v>
      </c>
      <c r="J79" s="207">
        <f>ROUND(N(data!CB64), 0)</f>
        <v>56425</v>
      </c>
      <c r="K79" s="207">
        <f>ROUND(N(data!CB65), 0)</f>
        <v>0</v>
      </c>
      <c r="L79" s="207">
        <f>ROUND(N(data!CB66), 0)</f>
        <v>3012</v>
      </c>
      <c r="M79" s="207">
        <f>ROUND(N(data!CB67), 0)</f>
        <v>0</v>
      </c>
      <c r="N79" s="207">
        <f>ROUND(N(data!CB68), 0)</f>
        <v>0</v>
      </c>
      <c r="O79" s="207">
        <f>ROUND(N(data!CB69), 0)</f>
        <v>51832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51832</v>
      </c>
      <c r="AD79" s="207">
        <f>ROUND(N(data!CB84), 0)</f>
        <v>181305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029</v>
      </c>
      <c r="B80" s="209" t="str">
        <f>RIGHT(data!$C$96,4)</f>
        <v>2023</v>
      </c>
      <c r="C80" s="12" t="str">
        <f>data!CC$55</f>
        <v>8790</v>
      </c>
      <c r="D80" s="12" t="s">
        <v>1151</v>
      </c>
      <c r="E80" s="207">
        <f>ROUND(N(data!CC59), 0)</f>
        <v>0</v>
      </c>
      <c r="F80" s="314">
        <f>ROUND(N(data!CC60), 2)</f>
        <v>0</v>
      </c>
      <c r="G80" s="207">
        <f>ROUND(N(data!CC61), 0)</f>
        <v>16985135</v>
      </c>
      <c r="H80" s="207">
        <f>ROUND(N(data!CC62), 0)</f>
        <v>3781896</v>
      </c>
      <c r="I80" s="207">
        <f>ROUND(N(data!CC63), 0)</f>
        <v>77925</v>
      </c>
      <c r="J80" s="207">
        <f>ROUND(N(data!CC64), 0)</f>
        <v>-1586459</v>
      </c>
      <c r="K80" s="207">
        <f>ROUND(N(data!CC65), 0)</f>
        <v>6991587</v>
      </c>
      <c r="L80" s="207">
        <f>ROUND(N(data!CC66), 0)</f>
        <v>28299767</v>
      </c>
      <c r="M80" s="207">
        <f>ROUND(N(data!CC67), 0)</f>
        <v>28621636</v>
      </c>
      <c r="N80" s="207">
        <f>ROUND(N(data!CC68), 0)</f>
        <v>-3922437</v>
      </c>
      <c r="O80" s="207">
        <f>ROUND(N(data!CC69), 0)</f>
        <v>27240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27240</v>
      </c>
      <c r="AD80" s="207">
        <f>ROUND(N(data!CC84), 0)</f>
        <v>20726212</v>
      </c>
      <c r="AE80" s="207">
        <f>ROUND(N(data!CC89), 0)</f>
        <v>0</v>
      </c>
      <c r="AF80" s="207">
        <f>ROUND(N(data!CC87), 0)</f>
        <v>0</v>
      </c>
      <c r="AG80" s="207">
        <f>ROUND(N(data!CC90), 0)</f>
        <v>143136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2B47-F058-4FCC-97BA-4A712D23ABF2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696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697</v>
      </c>
      <c r="G3" s="10"/>
      <c r="J3" s="108"/>
    </row>
    <row r="4" spans="2:10" x14ac:dyDescent="0.25">
      <c r="B4" s="107"/>
      <c r="F4" s="10" t="s">
        <v>698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699</v>
      </c>
      <c r="G8" s="10"/>
      <c r="J8" s="108"/>
    </row>
    <row r="9" spans="2:10" x14ac:dyDescent="0.25">
      <c r="B9" s="104"/>
      <c r="C9" s="105"/>
      <c r="D9" s="105"/>
      <c r="E9" s="105"/>
      <c r="F9" s="112" t="s">
        <v>700</v>
      </c>
      <c r="G9" s="112"/>
      <c r="H9" s="105"/>
      <c r="I9" s="105"/>
      <c r="J9" s="106"/>
    </row>
    <row r="10" spans="2:10" x14ac:dyDescent="0.25">
      <c r="B10" s="107"/>
      <c r="F10" s="10" t="s">
        <v>701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702</v>
      </c>
      <c r="G12" s="10"/>
      <c r="J12" s="108"/>
    </row>
    <row r="13" spans="2:10" x14ac:dyDescent="0.25">
      <c r="B13" s="107"/>
      <c r="F13" s="10" t="s">
        <v>703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704</v>
      </c>
      <c r="J16" s="108"/>
    </row>
    <row r="17" spans="2:10" x14ac:dyDescent="0.25">
      <c r="B17" s="104"/>
      <c r="C17" s="113" t="s">
        <v>705</v>
      </c>
      <c r="D17" s="113"/>
      <c r="E17" s="105" t="str">
        <f>+data!C98</f>
        <v>Harborview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706</v>
      </c>
      <c r="D18" s="62"/>
      <c r="E18" s="11" t="str">
        <f>+"H-"&amp;data!C97</f>
        <v>H-029</v>
      </c>
      <c r="F18" s="10"/>
      <c r="G18" s="10"/>
      <c r="J18" s="108"/>
    </row>
    <row r="19" spans="2:10" x14ac:dyDescent="0.25">
      <c r="B19" s="107"/>
      <c r="C19" s="62" t="s">
        <v>707</v>
      </c>
      <c r="D19" s="62"/>
      <c r="E19" s="11" t="str">
        <f>+data!C99</f>
        <v>325 Ninth Avenue</v>
      </c>
      <c r="F19" s="10"/>
      <c r="G19" s="10"/>
      <c r="J19" s="108"/>
    </row>
    <row r="20" spans="2:10" x14ac:dyDescent="0.25">
      <c r="B20" s="107"/>
      <c r="C20" s="62" t="s">
        <v>708</v>
      </c>
      <c r="D20" s="62"/>
      <c r="E20" s="11" t="str">
        <f>+data!C100</f>
        <v>Seattle</v>
      </c>
      <c r="F20" s="10"/>
      <c r="G20" s="10"/>
      <c r="J20" s="108"/>
    </row>
    <row r="21" spans="2:10" x14ac:dyDescent="0.25">
      <c r="B21" s="107"/>
      <c r="C21" s="62" t="s">
        <v>709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710</v>
      </c>
      <c r="G26" s="115"/>
      <c r="H26" s="115"/>
      <c r="I26" s="115"/>
      <c r="J26" s="117"/>
    </row>
    <row r="27" spans="2:10" x14ac:dyDescent="0.25">
      <c r="B27" s="118" t="s">
        <v>711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712</v>
      </c>
      <c r="J29" s="108"/>
    </row>
    <row r="30" spans="2:10" x14ac:dyDescent="0.25">
      <c r="B30" s="121" t="s">
        <v>713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714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715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716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717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715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716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A2FA-02E2-4219-BD30-DA08EF8B394A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718</v>
      </c>
    </row>
    <row r="3" spans="1:13" x14ac:dyDescent="0.25">
      <c r="A3" s="63"/>
    </row>
    <row r="4" spans="1:13" x14ac:dyDescent="0.25">
      <c r="A4" s="158" t="s">
        <v>719</v>
      </c>
    </row>
    <row r="5" spans="1:13" x14ac:dyDescent="0.25">
      <c r="A5" s="158" t="s">
        <v>720</v>
      </c>
    </row>
    <row r="6" spans="1:13" x14ac:dyDescent="0.25">
      <c r="A6" s="158" t="s">
        <v>721</v>
      </c>
    </row>
    <row r="7" spans="1:13" x14ac:dyDescent="0.25">
      <c r="A7" s="158"/>
    </row>
    <row r="8" spans="1:13" x14ac:dyDescent="0.25">
      <c r="A8" s="2" t="s">
        <v>722</v>
      </c>
    </row>
    <row r="9" spans="1:13" x14ac:dyDescent="0.25">
      <c r="A9" s="158" t="s">
        <v>27</v>
      </c>
    </row>
    <row r="12" spans="1:13" x14ac:dyDescent="0.25">
      <c r="A12" s="1" t="str">
        <f>data!C97</f>
        <v>029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25">
      <c r="A13" s="2"/>
      <c r="B13" s="241" t="s">
        <v>723</v>
      </c>
      <c r="C13" s="241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41" t="s">
        <v>362</v>
      </c>
      <c r="C14" s="241" t="s">
        <v>362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4" t="s">
        <v>732</v>
      </c>
    </row>
    <row r="15" spans="1:13" x14ac:dyDescent="0.25">
      <c r="A15" s="1" t="s">
        <v>733</v>
      </c>
      <c r="B15" s="241">
        <f>ROUND(N('Prior Year'!C85), 0)</f>
        <v>71427698</v>
      </c>
      <c r="C15" s="241">
        <f>data!C85</f>
        <v>71427697.960000008</v>
      </c>
      <c r="D15" s="241">
        <f>ROUND(N('Prior Year'!C59), 0)</f>
        <v>29389</v>
      </c>
      <c r="E15" s="1">
        <f>data!C59</f>
        <v>29389</v>
      </c>
      <c r="F15" s="216">
        <f t="shared" ref="F15:F59" si="0">IF(B15=0,"",IF(D15=0,"",B15/D15))</f>
        <v>2430.4228793085849</v>
      </c>
      <c r="G15" s="216">
        <f t="shared" ref="G15:G29" si="1">IF(C15=0,"",IF(E15=0,"",C15/E15))</f>
        <v>2430.4228779475316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41">
        <f>ROUND(N('Prior Year'!D85), 0)</f>
        <v>117252345</v>
      </c>
      <c r="C16" s="241">
        <f>data!D85</f>
        <v>117252345.25999999</v>
      </c>
      <c r="D16" s="241">
        <f>ROUND(N('Prior Year'!D59), 0)</f>
        <v>100587</v>
      </c>
      <c r="E16" s="1">
        <f>data!D59</f>
        <v>100587</v>
      </c>
      <c r="F16" s="216">
        <f t="shared" si="0"/>
        <v>1165.6809030988099</v>
      </c>
      <c r="G16" s="216">
        <f t="shared" si="1"/>
        <v>1165.6809056836369</v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735</v>
      </c>
      <c r="B17" s="241">
        <f>ROUND(N('Prior Year'!E85), 0)</f>
        <v>8433400</v>
      </c>
      <c r="C17" s="241">
        <f>data!E85</f>
        <v>8433400.1500000004</v>
      </c>
      <c r="D17" s="241">
        <f>ROUND(N('Prior Year'!E59), 0)</f>
        <v>8721</v>
      </c>
      <c r="E17" s="1">
        <f>data!E59</f>
        <v>8721</v>
      </c>
      <c r="F17" s="216">
        <f t="shared" si="0"/>
        <v>967.02213048962278</v>
      </c>
      <c r="G17" s="216">
        <f t="shared" si="1"/>
        <v>967.02214768948522</v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736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737</v>
      </c>
      <c r="B19" s="241">
        <f>ROUND(N('Prior Year'!G85), 0)</f>
        <v>12562003</v>
      </c>
      <c r="C19" s="241">
        <f>data!G85</f>
        <v>12562003.479999999</v>
      </c>
      <c r="D19" s="241">
        <f>ROUND(N('Prior Year'!G59), 0)</f>
        <v>11419</v>
      </c>
      <c r="E19" s="1">
        <f>data!G59</f>
        <v>11419</v>
      </c>
      <c r="F19" s="216">
        <f t="shared" si="0"/>
        <v>1100.0965933969699</v>
      </c>
      <c r="G19" s="216">
        <f t="shared" si="1"/>
        <v>1100.0966354321743</v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738</v>
      </c>
      <c r="B20" s="241">
        <f>ROUND(N('Prior Year'!H85), 0)</f>
        <v>18974245</v>
      </c>
      <c r="C20" s="241">
        <f>data!H85</f>
        <v>18974245.010000002</v>
      </c>
      <c r="D20" s="241">
        <f>ROUND(N('Prior Year'!H59), 0)</f>
        <v>23021</v>
      </c>
      <c r="E20" s="1">
        <f>data!H59</f>
        <v>23021</v>
      </c>
      <c r="F20" s="216">
        <f t="shared" si="0"/>
        <v>824.21463012032495</v>
      </c>
      <c r="G20" s="216">
        <f t="shared" si="1"/>
        <v>824.21463055471099</v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739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740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741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742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743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189485</v>
      </c>
      <c r="C26" s="241">
        <f>data!N85</f>
        <v>189484.79999999993</v>
      </c>
      <c r="D26" s="241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1" t="str">
        <f t="shared" si="3"/>
        <v/>
      </c>
      <c r="M26" s="7"/>
    </row>
    <row r="27" spans="1:13" x14ac:dyDescent="0.25">
      <c r="A27" s="1" t="s">
        <v>745</v>
      </c>
      <c r="B27" s="241">
        <f>ROUND(N('Prior Year'!O85), 0)</f>
        <v>0</v>
      </c>
      <c r="C27" s="241">
        <f>data!O85</f>
        <v>0</v>
      </c>
      <c r="D27" s="241">
        <f>ROUND(N('Prior Year'!O59), 0)</f>
        <v>0</v>
      </c>
      <c r="E27" s="1">
        <f>data!O59</f>
        <v>0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746</v>
      </c>
      <c r="B28" s="241">
        <f>ROUND(N('Prior Year'!P85), 0)</f>
        <v>87519556</v>
      </c>
      <c r="C28" s="241">
        <f>data!P85</f>
        <v>87519555.729999989</v>
      </c>
      <c r="D28" s="241">
        <f>ROUND(N('Prior Year'!P59), 0)</f>
        <v>2459115</v>
      </c>
      <c r="E28" s="1">
        <f>data!P59</f>
        <v>2459115</v>
      </c>
      <c r="F28" s="216">
        <f t="shared" si="0"/>
        <v>35.58985895332264</v>
      </c>
      <c r="G28" s="216">
        <f t="shared" si="1"/>
        <v>35.58985884352704</v>
      </c>
      <c r="H28" s="6" t="str">
        <f t="shared" si="2"/>
        <v/>
      </c>
      <c r="I28" s="241" t="str">
        <f t="shared" si="3"/>
        <v/>
      </c>
      <c r="M28" s="7"/>
    </row>
    <row r="29" spans="1:13" x14ac:dyDescent="0.25">
      <c r="A29" s="1" t="s">
        <v>747</v>
      </c>
      <c r="B29" s="241">
        <f>ROUND(N('Prior Year'!Q85), 0)</f>
        <v>13778339</v>
      </c>
      <c r="C29" s="241">
        <f>data!Q85</f>
        <v>13778339.370000001</v>
      </c>
      <c r="D29" s="241">
        <f>ROUND(N('Prior Year'!Q59), 0)</f>
        <v>1049013</v>
      </c>
      <c r="E29" s="1">
        <f>data!Q59</f>
        <v>1049013</v>
      </c>
      <c r="F29" s="216">
        <f t="shared" si="0"/>
        <v>13.134574118719215</v>
      </c>
      <c r="G29" s="216">
        <f t="shared" si="1"/>
        <v>13.134574471431717</v>
      </c>
      <c r="H29" s="6" t="str">
        <f t="shared" si="2"/>
        <v/>
      </c>
      <c r="I29" s="241" t="str">
        <f t="shared" si="3"/>
        <v/>
      </c>
      <c r="M29" s="7"/>
    </row>
    <row r="30" spans="1:13" x14ac:dyDescent="0.25">
      <c r="A30" s="1" t="s">
        <v>748</v>
      </c>
      <c r="B30" s="241">
        <f>ROUND(N('Prior Year'!R85), 0)</f>
        <v>16852059</v>
      </c>
      <c r="C30" s="241">
        <f>data!R85</f>
        <v>16852059.420000002</v>
      </c>
      <c r="D30" s="241">
        <f>ROUND(N('Prior Year'!R59), 0)</f>
        <v>2867290</v>
      </c>
      <c r="E30" s="1">
        <f>data!R59</f>
        <v>2867290</v>
      </c>
      <c r="F30" s="216">
        <f t="shared" si="0"/>
        <v>5.8773472512372313</v>
      </c>
      <c r="G30" s="216">
        <f>IFERROR(IF(C30=0,"",IF(E30=0,"",C30/E30)),"")</f>
        <v>5.877347397717009</v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749</v>
      </c>
      <c r="B31" s="241">
        <f>ROUND(N('Prior Year'!S85), 0)</f>
        <v>15869889</v>
      </c>
      <c r="C31" s="241">
        <f>data!S85</f>
        <v>15869888.630000001</v>
      </c>
      <c r="D31" s="241" t="s">
        <v>750</v>
      </c>
      <c r="E31" s="4" t="s">
        <v>750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751</v>
      </c>
      <c r="B32" s="241">
        <f>ROUND(N('Prior Year'!T85), 0)</f>
        <v>0</v>
      </c>
      <c r="C32" s="241">
        <f>data!T85</f>
        <v>0</v>
      </c>
      <c r="D32" s="241" t="s">
        <v>750</v>
      </c>
      <c r="E32" s="4" t="s">
        <v>750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752</v>
      </c>
      <c r="B33" s="241">
        <f>ROUND(N('Prior Year'!U85), 0)</f>
        <v>38386963</v>
      </c>
      <c r="C33" s="241">
        <f>data!U85</f>
        <v>38386963.310000002</v>
      </c>
      <c r="D33" s="241">
        <f>ROUND(N('Prior Year'!U59), 0)</f>
        <v>1905284</v>
      </c>
      <c r="E33" s="1">
        <f>data!U59</f>
        <v>1905284</v>
      </c>
      <c r="F33" s="216">
        <f t="shared" si="0"/>
        <v>20.147633108764886</v>
      </c>
      <c r="G33" s="216">
        <f t="shared" ref="G33:G69" si="5">IF(C33=0,"",IF(E33=0,"",C33/E33))</f>
        <v>20.147633271470291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753</v>
      </c>
      <c r="B34" s="241">
        <f>ROUND(N('Prior Year'!V85), 0)</f>
        <v>12218900</v>
      </c>
      <c r="C34" s="241">
        <f>data!V85</f>
        <v>12218899.5</v>
      </c>
      <c r="D34" s="241">
        <f>ROUND(N('Prior Year'!V59), 0)</f>
        <v>67702</v>
      </c>
      <c r="E34" s="1">
        <f>data!V59</f>
        <v>67702</v>
      </c>
      <c r="F34" s="216">
        <f t="shared" si="0"/>
        <v>180.48063572715725</v>
      </c>
      <c r="G34" s="216">
        <f t="shared" si="5"/>
        <v>180.48062834185106</v>
      </c>
      <c r="H34" s="6" t="str">
        <f t="shared" si="6"/>
        <v/>
      </c>
      <c r="I34" s="241" t="str">
        <f t="shared" si="3"/>
        <v/>
      </c>
      <c r="M34" s="7"/>
    </row>
    <row r="35" spans="1:13" x14ac:dyDescent="0.25">
      <c r="A35" s="1" t="s">
        <v>754</v>
      </c>
      <c r="B35" s="241">
        <f>ROUND(N('Prior Year'!W85), 0)</f>
        <v>2900074</v>
      </c>
      <c r="C35" s="241">
        <f>data!W85</f>
        <v>2900073.79</v>
      </c>
      <c r="D35" s="241">
        <f>ROUND(N('Prior Year'!W59), 0)</f>
        <v>91838</v>
      </c>
      <c r="E35" s="1">
        <f>data!W59</f>
        <v>91838</v>
      </c>
      <c r="F35" s="216">
        <f t="shared" si="0"/>
        <v>31.578148478843179</v>
      </c>
      <c r="G35" s="216">
        <f t="shared" si="5"/>
        <v>31.57814619220802</v>
      </c>
      <c r="H35" s="6" t="str">
        <f t="shared" si="6"/>
        <v/>
      </c>
      <c r="I35" s="241" t="str">
        <f t="shared" si="3"/>
        <v/>
      </c>
      <c r="M35" s="7"/>
    </row>
    <row r="36" spans="1:13" x14ac:dyDescent="0.25">
      <c r="A36" s="1" t="s">
        <v>755</v>
      </c>
      <c r="B36" s="241">
        <f>ROUND(N('Prior Year'!X85), 0)</f>
        <v>6482919</v>
      </c>
      <c r="C36" s="241">
        <f>data!X85</f>
        <v>6482918.7300000004</v>
      </c>
      <c r="D36" s="241">
        <f>ROUND(N('Prior Year'!X59), 0)</f>
        <v>351825</v>
      </c>
      <c r="E36" s="1">
        <f>data!X59</f>
        <v>351825</v>
      </c>
      <c r="F36" s="216">
        <f t="shared" si="0"/>
        <v>18.426544446813047</v>
      </c>
      <c r="G36" s="216">
        <f t="shared" si="5"/>
        <v>18.426543679386061</v>
      </c>
      <c r="H36" s="6" t="str">
        <f t="shared" si="6"/>
        <v/>
      </c>
      <c r="I36" s="241" t="str">
        <f t="shared" si="3"/>
        <v/>
      </c>
      <c r="M36" s="7"/>
    </row>
    <row r="37" spans="1:13" x14ac:dyDescent="0.25">
      <c r="A37" s="1" t="s">
        <v>756</v>
      </c>
      <c r="B37" s="241">
        <f>ROUND(N('Prior Year'!Y85), 0)</f>
        <v>33357144</v>
      </c>
      <c r="C37" s="241">
        <f>data!Y85</f>
        <v>33357143.82</v>
      </c>
      <c r="D37" s="241">
        <f>ROUND(N('Prior Year'!Y59), 0)</f>
        <v>706039</v>
      </c>
      <c r="E37" s="1">
        <f>data!Y59</f>
        <v>706039</v>
      </c>
      <c r="F37" s="216">
        <f t="shared" si="0"/>
        <v>47.245469442906128</v>
      </c>
      <c r="G37" s="216">
        <f t="shared" si="5"/>
        <v>47.245469187962705</v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757</v>
      </c>
      <c r="B38" s="241">
        <f>ROUND(N('Prior Year'!Z85), 0)</f>
        <v>1982666</v>
      </c>
      <c r="C38" s="241">
        <f>data!Z85</f>
        <v>1982665.51</v>
      </c>
      <c r="D38" s="241">
        <f>ROUND(N('Prior Year'!Z59), 0)</f>
        <v>9620</v>
      </c>
      <c r="E38" s="1">
        <f>data!Z59</f>
        <v>9620</v>
      </c>
      <c r="F38" s="216">
        <f t="shared" si="0"/>
        <v>206.09833679833679</v>
      </c>
      <c r="G38" s="216">
        <f t="shared" si="5"/>
        <v>206.09828586278587</v>
      </c>
      <c r="H38" s="6" t="str">
        <f t="shared" si="6"/>
        <v/>
      </c>
      <c r="I38" s="241" t="str">
        <f t="shared" si="3"/>
        <v/>
      </c>
      <c r="M38" s="7"/>
    </row>
    <row r="39" spans="1:13" x14ac:dyDescent="0.25">
      <c r="A39" s="1" t="s">
        <v>758</v>
      </c>
      <c r="B39" s="241">
        <f>ROUND(N('Prior Year'!AA85), 0)</f>
        <v>1144104</v>
      </c>
      <c r="C39" s="241">
        <f>data!AA85</f>
        <v>1144103.6900000002</v>
      </c>
      <c r="D39" s="241">
        <f>ROUND(N('Prior Year'!AA59), 0)</f>
        <v>16403</v>
      </c>
      <c r="E39" s="1">
        <f>data!AA59</f>
        <v>16403</v>
      </c>
      <c r="F39" s="216">
        <f t="shared" si="0"/>
        <v>69.749679936596962</v>
      </c>
      <c r="G39" s="216">
        <f t="shared" si="5"/>
        <v>69.749661037615084</v>
      </c>
      <c r="H39" s="6" t="str">
        <f t="shared" si="6"/>
        <v/>
      </c>
      <c r="I39" s="241" t="str">
        <f t="shared" si="3"/>
        <v/>
      </c>
      <c r="M39" s="7"/>
    </row>
    <row r="40" spans="1:13" x14ac:dyDescent="0.25">
      <c r="A40" s="1" t="s">
        <v>759</v>
      </c>
      <c r="B40" s="241">
        <f>ROUND(N('Prior Year'!AB85), 0)</f>
        <v>108283685</v>
      </c>
      <c r="C40" s="241">
        <f>data!AB85</f>
        <v>108283684.64000002</v>
      </c>
      <c r="D40" s="241" t="s">
        <v>750</v>
      </c>
      <c r="E40" s="4" t="s">
        <v>750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760</v>
      </c>
      <c r="B41" s="241">
        <f>ROUND(N('Prior Year'!AC85), 0)</f>
        <v>13598332</v>
      </c>
      <c r="C41" s="241">
        <f>data!AC85</f>
        <v>13598331.590000002</v>
      </c>
      <c r="D41" s="241">
        <f>ROUND(N('Prior Year'!AC59), 0)</f>
        <v>65855</v>
      </c>
      <c r="E41" s="1">
        <f>data!AC59</f>
        <v>65855</v>
      </c>
      <c r="F41" s="216">
        <f t="shared" si="0"/>
        <v>206.48898337256094</v>
      </c>
      <c r="G41" s="216">
        <f t="shared" si="5"/>
        <v>206.48897714676184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761</v>
      </c>
      <c r="B42" s="241">
        <f>ROUND(N('Prior Year'!AD85), 0)</f>
        <v>2255813</v>
      </c>
      <c r="C42" s="241">
        <f>data!AD85</f>
        <v>2255813.15</v>
      </c>
      <c r="D42" s="241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762</v>
      </c>
      <c r="B43" s="241">
        <f>ROUND(N('Prior Year'!AE85), 0)</f>
        <v>13058000</v>
      </c>
      <c r="C43" s="241">
        <f>data!AE85</f>
        <v>13057999.68</v>
      </c>
      <c r="D43" s="241">
        <f>ROUND(N('Prior Year'!AE59), 0)</f>
        <v>149086</v>
      </c>
      <c r="E43" s="1">
        <f>data!AE59</f>
        <v>149086</v>
      </c>
      <c r="F43" s="216">
        <f t="shared" si="0"/>
        <v>87.587030304656366</v>
      </c>
      <c r="G43" s="216">
        <f t="shared" si="5"/>
        <v>87.587028158244237</v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763</v>
      </c>
      <c r="B44" s="241">
        <f>ROUND(N('Prior Year'!AF85), 0)</f>
        <v>4127304</v>
      </c>
      <c r="C44" s="241">
        <f>data!AF85</f>
        <v>4127303.63</v>
      </c>
      <c r="D44" s="241">
        <f>ROUND(N('Prior Year'!AF59), 0)</f>
        <v>22019</v>
      </c>
      <c r="E44" s="1">
        <f>data!AF59</f>
        <v>22019</v>
      </c>
      <c r="F44" s="216">
        <f t="shared" si="0"/>
        <v>187.44284481584086</v>
      </c>
      <c r="G44" s="216">
        <f t="shared" si="5"/>
        <v>187.4428280121713</v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764</v>
      </c>
      <c r="B45" s="241">
        <f>ROUND(N('Prior Year'!AG85), 0)</f>
        <v>43242845</v>
      </c>
      <c r="C45" s="241">
        <f>data!AG85</f>
        <v>43242845.120000005</v>
      </c>
      <c r="D45" s="241">
        <f>ROUND(N('Prior Year'!AG59), 0)</f>
        <v>54312</v>
      </c>
      <c r="E45" s="1">
        <f>data!AG59</f>
        <v>54312</v>
      </c>
      <c r="F45" s="216">
        <f t="shared" si="0"/>
        <v>796.19319855648848</v>
      </c>
      <c r="G45" s="216">
        <f t="shared" si="5"/>
        <v>796.19320076594499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765</v>
      </c>
      <c r="B46" s="241">
        <f>ROUND(N('Prior Year'!AH85), 0)</f>
        <v>125298</v>
      </c>
      <c r="C46" s="241">
        <f>data!AH85</f>
        <v>125297.67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766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41">
        <f>ROUND(N('Prior Year'!AJ85), 0)</f>
        <v>89944367</v>
      </c>
      <c r="C48" s="241">
        <f>data!AJ85</f>
        <v>89944367.269999981</v>
      </c>
      <c r="D48" s="241">
        <f>ROUND(N('Prior Year'!AJ59), 0)</f>
        <v>359656</v>
      </c>
      <c r="E48" s="1">
        <f>data!AJ59</f>
        <v>359656</v>
      </c>
      <c r="F48" s="216">
        <f t="shared" si="0"/>
        <v>250.08443345863824</v>
      </c>
      <c r="G48" s="216">
        <f t="shared" si="5"/>
        <v>250.08443420935555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768</v>
      </c>
      <c r="B49" s="241">
        <f>ROUND(N('Prior Year'!AK85), 0)</f>
        <v>4273864</v>
      </c>
      <c r="C49" s="241">
        <f>data!AK85</f>
        <v>4273863.7700000005</v>
      </c>
      <c r="D49" s="241">
        <f>ROUND(N('Prior Year'!AK59), 0)</f>
        <v>77940</v>
      </c>
      <c r="E49" s="1">
        <f>data!AK59</f>
        <v>77940</v>
      </c>
      <c r="F49" s="216">
        <f t="shared" si="0"/>
        <v>54.835309212214526</v>
      </c>
      <c r="G49" s="216">
        <f t="shared" si="5"/>
        <v>54.835306261226592</v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769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770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771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772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773</v>
      </c>
      <c r="B54" s="241">
        <f>ROUND(N('Prior Year'!AP85), 0)</f>
        <v>0</v>
      </c>
      <c r="C54" s="241">
        <f>data!AP85</f>
        <v>0</v>
      </c>
      <c r="D54" s="241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774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775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776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25">
      <c r="A58" s="1" t="s">
        <v>777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778</v>
      </c>
      <c r="B59" s="241">
        <f>ROUND(N('Prior Year'!AU85), 0)</f>
        <v>184691</v>
      </c>
      <c r="C59" s="241">
        <f>data!AU85</f>
        <v>184690.58999999985</v>
      </c>
      <c r="D59" s="241">
        <f>ROUND(N('Prior Year'!AU59), 0)</f>
        <v>1525</v>
      </c>
      <c r="E59" s="1">
        <f>data!AU59</f>
        <v>1525</v>
      </c>
      <c r="F59" s="216">
        <f t="shared" si="0"/>
        <v>121.10885245901639</v>
      </c>
      <c r="G59" s="216">
        <f t="shared" si="5"/>
        <v>121.10858360655727</v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779</v>
      </c>
      <c r="B60" s="241">
        <f>ROUND(N('Prior Year'!AV85), 0)</f>
        <v>7668967</v>
      </c>
      <c r="C60" s="241">
        <f>data!AV85</f>
        <v>7668967.4400000013</v>
      </c>
      <c r="D60" s="241" t="s">
        <v>750</v>
      </c>
      <c r="E60" s="4" t="s">
        <v>750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780</v>
      </c>
      <c r="B61" s="241">
        <f>ROUND(N('Prior Year'!AW85), 0)</f>
        <v>34196968</v>
      </c>
      <c r="C61" s="241">
        <f>data!AW85</f>
        <v>34196968.350000001</v>
      </c>
      <c r="D61" s="241" t="s">
        <v>750</v>
      </c>
      <c r="E61" s="4" t="s">
        <v>750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781</v>
      </c>
      <c r="B62" s="241">
        <f>ROUND(N('Prior Year'!AX85), 0)</f>
        <v>0</v>
      </c>
      <c r="C62" s="241">
        <f>data!AX85</f>
        <v>0</v>
      </c>
      <c r="D62" s="241" t="s">
        <v>750</v>
      </c>
      <c r="E62" s="4" t="s">
        <v>750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782</v>
      </c>
      <c r="B63" s="241">
        <f>ROUND(N('Prior Year'!AY85), 0)</f>
        <v>13408478</v>
      </c>
      <c r="C63" s="241">
        <f>data!AY85</f>
        <v>13408477.670000002</v>
      </c>
      <c r="D63" s="241">
        <f>ROUND(N('Prior Year'!AY59), 0)</f>
        <v>743434</v>
      </c>
      <c r="E63" s="1">
        <f>data!AY59</f>
        <v>743434</v>
      </c>
      <c r="F63" s="216">
        <f>IF(B63=0,"",IF(D63=0,"",B63/D63))</f>
        <v>18.035868685048033</v>
      </c>
      <c r="G63" s="216">
        <f t="shared" si="5"/>
        <v>18.03586824116196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25">
      <c r="A64" s="1" t="s">
        <v>783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784</v>
      </c>
      <c r="B65" s="241">
        <f>ROUND(N('Prior Year'!BA85), 0)</f>
        <v>1245825</v>
      </c>
      <c r="C65" s="241">
        <f>data!BA85</f>
        <v>1245824.9000000001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785</v>
      </c>
      <c r="B66" s="241">
        <f>ROUND(N('Prior Year'!BB85), 0)</f>
        <v>21461011</v>
      </c>
      <c r="C66" s="241">
        <f>data!BB85</f>
        <v>21461010.760000002</v>
      </c>
      <c r="D66" s="241" t="s">
        <v>750</v>
      </c>
      <c r="E66" s="4" t="s">
        <v>750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786</v>
      </c>
      <c r="B67" s="241">
        <f>ROUND(N('Prior Year'!BC85), 0)</f>
        <v>0</v>
      </c>
      <c r="C67" s="241">
        <f>data!BC85</f>
        <v>0</v>
      </c>
      <c r="D67" s="241" t="s">
        <v>750</v>
      </c>
      <c r="E67" s="4" t="s">
        <v>750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787</v>
      </c>
      <c r="B68" s="241">
        <f>ROUND(N('Prior Year'!BD85), 0)</f>
        <v>3743388</v>
      </c>
      <c r="C68" s="241">
        <f>data!BD85</f>
        <v>3743388.14</v>
      </c>
      <c r="D68" s="241" t="s">
        <v>750</v>
      </c>
      <c r="E68" s="4" t="s">
        <v>750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788</v>
      </c>
      <c r="B69" s="241">
        <f>ROUND(N('Prior Year'!BE85), 0)</f>
        <v>29986746</v>
      </c>
      <c r="C69" s="241">
        <f>data!BE85</f>
        <v>29986745.890000004</v>
      </c>
      <c r="D69" s="241">
        <f>ROUND(N('Prior Year'!BE59), 0)</f>
        <v>1163875</v>
      </c>
      <c r="E69" s="1">
        <f>data!BE59</f>
        <v>1163875</v>
      </c>
      <c r="F69" s="216">
        <f>IF(B69=0,"",IF(D69=0,"",B69/D69))</f>
        <v>25.764576092793469</v>
      </c>
      <c r="G69" s="216">
        <f t="shared" si="5"/>
        <v>25.764575998281607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789</v>
      </c>
      <c r="B70" s="241">
        <f>ROUND(N('Prior Year'!BF85), 0)</f>
        <v>19187365</v>
      </c>
      <c r="C70" s="241">
        <f>data!BF85</f>
        <v>19187364.729999993</v>
      </c>
      <c r="D70" s="241" t="s">
        <v>750</v>
      </c>
      <c r="E70" s="4" t="s">
        <v>750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790</v>
      </c>
      <c r="B71" s="241">
        <f>ROUND(N('Prior Year'!BG85), 0)</f>
        <v>817584</v>
      </c>
      <c r="C71" s="241">
        <f>data!BG85</f>
        <v>817583.99</v>
      </c>
      <c r="D71" s="241" t="s">
        <v>750</v>
      </c>
      <c r="E71" s="4" t="s">
        <v>750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791</v>
      </c>
      <c r="B72" s="241">
        <f>ROUND(N('Prior Year'!BH85), 0)</f>
        <v>82151403</v>
      </c>
      <c r="C72" s="241">
        <f>data!BH85</f>
        <v>82151402.829999998</v>
      </c>
      <c r="D72" s="241" t="s">
        <v>750</v>
      </c>
      <c r="E72" s="4" t="s">
        <v>750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792</v>
      </c>
      <c r="B73" s="241">
        <f>ROUND(N('Prior Year'!BI85), 0)</f>
        <v>154604</v>
      </c>
      <c r="C73" s="241">
        <f>data!BI85</f>
        <v>154603.99000000011</v>
      </c>
      <c r="D73" s="241" t="s">
        <v>750</v>
      </c>
      <c r="E73" s="4" t="s">
        <v>750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793</v>
      </c>
      <c r="B74" s="241">
        <f>ROUND(N('Prior Year'!BJ85), 0)</f>
        <v>12073696</v>
      </c>
      <c r="C74" s="241">
        <f>data!BJ85</f>
        <v>12073696.24</v>
      </c>
      <c r="D74" s="241" t="s">
        <v>750</v>
      </c>
      <c r="E74" s="4" t="s">
        <v>750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794</v>
      </c>
      <c r="B75" s="241">
        <f>ROUND(N('Prior Year'!BK85), 0)</f>
        <v>24769058</v>
      </c>
      <c r="C75" s="241">
        <f>data!BK85</f>
        <v>24769057.629999999</v>
      </c>
      <c r="D75" s="241" t="s">
        <v>750</v>
      </c>
      <c r="E75" s="4" t="s">
        <v>750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795</v>
      </c>
      <c r="B76" s="241">
        <f>ROUND(N('Prior Year'!BL85), 0)</f>
        <v>6101695</v>
      </c>
      <c r="C76" s="241">
        <f>data!BL85</f>
        <v>6101694.7699999996</v>
      </c>
      <c r="D76" s="241" t="s">
        <v>750</v>
      </c>
      <c r="E76" s="4" t="s">
        <v>750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796</v>
      </c>
      <c r="B77" s="241">
        <f>ROUND(N('Prior Year'!BM85), 0)</f>
        <v>514</v>
      </c>
      <c r="C77" s="241">
        <f>data!BM85</f>
        <v>513.66</v>
      </c>
      <c r="D77" s="241" t="s">
        <v>750</v>
      </c>
      <c r="E77" s="4" t="s">
        <v>750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797</v>
      </c>
      <c r="B78" s="241">
        <f>ROUND(N('Prior Year'!BN85), 0)</f>
        <v>22503260</v>
      </c>
      <c r="C78" s="241">
        <f>data!BN85</f>
        <v>22503260.039999999</v>
      </c>
      <c r="D78" s="241" t="s">
        <v>750</v>
      </c>
      <c r="E78" s="4" t="s">
        <v>750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798</v>
      </c>
      <c r="B79" s="241">
        <f>ROUND(N('Prior Year'!BO85), 0)</f>
        <v>1945447</v>
      </c>
      <c r="C79" s="241">
        <f>data!BO85</f>
        <v>1945447.17</v>
      </c>
      <c r="D79" s="241" t="s">
        <v>750</v>
      </c>
      <c r="E79" s="4" t="s">
        <v>750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41">
        <f>ROUND(N('Prior Year'!BP85), 0)</f>
        <v>1238067</v>
      </c>
      <c r="C80" s="241">
        <f>data!BP85</f>
        <v>1238066.5899999999</v>
      </c>
      <c r="D80" s="241" t="s">
        <v>750</v>
      </c>
      <c r="E80" s="4" t="s">
        <v>750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800</v>
      </c>
      <c r="B81" s="241">
        <f>ROUND(N('Prior Year'!BQ85), 0)</f>
        <v>0</v>
      </c>
      <c r="C81" s="241">
        <f>data!BQ85</f>
        <v>0</v>
      </c>
      <c r="D81" s="241" t="s">
        <v>750</v>
      </c>
      <c r="E81" s="4" t="s">
        <v>750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801</v>
      </c>
      <c r="B82" s="241">
        <f>ROUND(N('Prior Year'!BR85), 0)</f>
        <v>7690620</v>
      </c>
      <c r="C82" s="241">
        <f>data!BR85</f>
        <v>7690619.5599999996</v>
      </c>
      <c r="D82" s="241" t="s">
        <v>750</v>
      </c>
      <c r="E82" s="4" t="s">
        <v>750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802</v>
      </c>
      <c r="B83" s="241">
        <f>ROUND(N('Prior Year'!BS85), 0)</f>
        <v>269899</v>
      </c>
      <c r="C83" s="241">
        <f>data!BS85</f>
        <v>269898.83999999997</v>
      </c>
      <c r="D83" s="241" t="s">
        <v>750</v>
      </c>
      <c r="E83" s="4" t="s">
        <v>750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803</v>
      </c>
      <c r="B84" s="241">
        <f>ROUND(N('Prior Year'!BT85), 0)</f>
        <v>850967</v>
      </c>
      <c r="C84" s="241">
        <f>data!BT85</f>
        <v>850967.32000000007</v>
      </c>
      <c r="D84" s="241" t="s">
        <v>750</v>
      </c>
      <c r="E84" s="4" t="s">
        <v>750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804</v>
      </c>
      <c r="B85" s="241">
        <f>ROUND(N('Prior Year'!BU85), 0)</f>
        <v>0</v>
      </c>
      <c r="C85" s="241">
        <f>data!BU85</f>
        <v>0</v>
      </c>
      <c r="D85" s="241" t="s">
        <v>750</v>
      </c>
      <c r="E85" s="4" t="s">
        <v>750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805</v>
      </c>
      <c r="B86" s="241">
        <f>ROUND(N('Prior Year'!BV85), 0)</f>
        <v>7013372</v>
      </c>
      <c r="C86" s="241">
        <f>data!BV85</f>
        <v>7013372.4199999999</v>
      </c>
      <c r="D86" s="241" t="s">
        <v>750</v>
      </c>
      <c r="E86" s="4" t="s">
        <v>750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806</v>
      </c>
      <c r="B87" s="241">
        <f>ROUND(N('Prior Year'!BW85), 0)</f>
        <v>72507419</v>
      </c>
      <c r="C87" s="241">
        <f>data!BW85</f>
        <v>72507418.5</v>
      </c>
      <c r="D87" s="241" t="s">
        <v>750</v>
      </c>
      <c r="E87" s="4" t="s">
        <v>750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807</v>
      </c>
      <c r="B88" s="241">
        <f>ROUND(N('Prior Year'!BX85), 0)</f>
        <v>10727565</v>
      </c>
      <c r="C88" s="241">
        <f>data!BX85</f>
        <v>10727564.719999999</v>
      </c>
      <c r="D88" s="241" t="s">
        <v>750</v>
      </c>
      <c r="E88" s="4" t="s">
        <v>750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808</v>
      </c>
      <c r="B89" s="241">
        <f>ROUND(N('Prior Year'!BY85), 0)</f>
        <v>17202536</v>
      </c>
      <c r="C89" s="241">
        <f>data!BY85</f>
        <v>17202536.030000001</v>
      </c>
      <c r="D89" s="241" t="s">
        <v>750</v>
      </c>
      <c r="E89" s="4" t="s">
        <v>750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809</v>
      </c>
      <c r="B90" s="241">
        <f>ROUND(N('Prior Year'!BZ85), 0)</f>
        <v>12948075</v>
      </c>
      <c r="C90" s="241">
        <f>data!BZ85</f>
        <v>12948075.310000001</v>
      </c>
      <c r="D90" s="241" t="s">
        <v>750</v>
      </c>
      <c r="E90" s="4" t="s">
        <v>750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810</v>
      </c>
      <c r="B91" s="241">
        <f>ROUND(N('Prior Year'!CA85), 0)</f>
        <v>6143936</v>
      </c>
      <c r="C91" s="241">
        <f>data!CA85</f>
        <v>6143936.3200000003</v>
      </c>
      <c r="D91" s="241" t="s">
        <v>750</v>
      </c>
      <c r="E91" s="4" t="s">
        <v>750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811</v>
      </c>
      <c r="B92" s="241">
        <f>ROUND(N('Prior Year'!CB85), 0)</f>
        <v>1154400</v>
      </c>
      <c r="C92" s="241">
        <f>data!CB85</f>
        <v>1154400.2999999998</v>
      </c>
      <c r="D92" s="241" t="s">
        <v>750</v>
      </c>
      <c r="E92" s="4" t="s">
        <v>750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812</v>
      </c>
      <c r="B93" s="241">
        <f>ROUND(N('Prior Year'!CC85), 0)</f>
        <v>79589224</v>
      </c>
      <c r="C93" s="241">
        <f>data!CC85</f>
        <v>58550078.779999986</v>
      </c>
      <c r="D93" s="241" t="s">
        <v>750</v>
      </c>
      <c r="E93" s="4" t="s">
        <v>750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813</v>
      </c>
      <c r="B94" s="241">
        <f>ROUND(N('Prior Year'!CD85), 0)</f>
        <v>0</v>
      </c>
      <c r="C94" s="241">
        <f>data!CD85</f>
        <v>14626858.640000001</v>
      </c>
      <c r="D94" s="241" t="s">
        <v>750</v>
      </c>
      <c r="E94" s="4" t="s">
        <v>750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1CBA-9CBE-4328-BB6D-3DB08D2854D6}">
  <sheetPr>
    <tabColor rgb="FF92D050"/>
  </sheetPr>
  <dimension ref="A1:D36"/>
  <sheetViews>
    <sheetView workbookViewId="0">
      <selection activeCell="D29" sqref="D29"/>
    </sheetView>
  </sheetViews>
  <sheetFormatPr defaultRowHeight="15" x14ac:dyDescent="0.2"/>
  <cols>
    <col min="4" max="4" width="9.21875" bestFit="1" customWidth="1"/>
  </cols>
  <sheetData>
    <row r="1" spans="1:4" ht="15.75" x14ac:dyDescent="0.25">
      <c r="A1" s="295" t="s">
        <v>814</v>
      </c>
      <c r="B1" s="294"/>
      <c r="C1" s="294"/>
      <c r="D1" s="294"/>
    </row>
    <row r="2" spans="1:4" ht="15.75" x14ac:dyDescent="0.25">
      <c r="A2" s="294"/>
      <c r="B2" s="294"/>
      <c r="C2" s="294"/>
      <c r="D2" s="294"/>
    </row>
    <row r="3" spans="1:4" ht="15.75" x14ac:dyDescent="0.25">
      <c r="A3" s="297" t="s">
        <v>815</v>
      </c>
      <c r="B3" s="294"/>
      <c r="C3" s="294"/>
      <c r="D3" s="294"/>
    </row>
    <row r="4" spans="1:4" ht="15.75" x14ac:dyDescent="0.25">
      <c r="A4" s="294" t="s">
        <v>816</v>
      </c>
      <c r="B4" s="294"/>
      <c r="C4" s="294"/>
      <c r="D4" s="294"/>
    </row>
    <row r="5" spans="1:4" ht="15.75" x14ac:dyDescent="0.25">
      <c r="A5" s="294" t="s">
        <v>817</v>
      </c>
      <c r="B5" s="294"/>
      <c r="C5" s="294"/>
      <c r="D5" s="294"/>
    </row>
    <row r="6" spans="1:4" ht="15.75" x14ac:dyDescent="0.25">
      <c r="A6" s="294"/>
      <c r="B6" s="294"/>
      <c r="C6" s="294"/>
      <c r="D6" s="294"/>
    </row>
    <row r="7" spans="1:4" ht="15.75" x14ac:dyDescent="0.25">
      <c r="A7" s="294" t="s">
        <v>818</v>
      </c>
      <c r="B7" s="294"/>
      <c r="C7" s="294"/>
      <c r="D7" s="294"/>
    </row>
    <row r="8" spans="1:4" ht="15.75" x14ac:dyDescent="0.25">
      <c r="A8" s="294" t="s">
        <v>819</v>
      </c>
      <c r="B8" s="294"/>
      <c r="C8" s="294"/>
      <c r="D8" s="294"/>
    </row>
    <row r="9" spans="1:4" ht="15.75" x14ac:dyDescent="0.25">
      <c r="A9" s="294"/>
      <c r="B9" s="294"/>
      <c r="C9" s="294"/>
      <c r="D9" s="294"/>
    </row>
    <row r="10" spans="1:4" ht="15.75" x14ac:dyDescent="0.25">
      <c r="A10" s="294"/>
      <c r="B10" s="294"/>
      <c r="C10" s="294"/>
      <c r="D10" s="294"/>
    </row>
    <row r="11" spans="1:4" ht="15.75" x14ac:dyDescent="0.25">
      <c r="A11" s="296" t="s">
        <v>820</v>
      </c>
      <c r="B11" s="294"/>
      <c r="C11" s="294"/>
      <c r="D11" s="294">
        <f>N(data!C380)</f>
        <v>106943276</v>
      </c>
    </row>
    <row r="12" spans="1:4" ht="15.75" x14ac:dyDescent="0.25">
      <c r="A12" s="296" t="s">
        <v>821</v>
      </c>
      <c r="B12" s="294"/>
      <c r="C12" s="294"/>
      <c r="D12" s="294" t="str">
        <f>IF(OR(N(data!C380) &gt; 1000000, N(data!C380) / (N(data!D360) + N(data!D383)) &gt; 0.01), "Yes", "No")</f>
        <v>Yes</v>
      </c>
    </row>
    <row r="13" spans="1:4" ht="15.75" x14ac:dyDescent="0.25">
      <c r="A13" s="294"/>
      <c r="B13" s="294"/>
      <c r="C13" s="294"/>
      <c r="D13" s="294"/>
    </row>
    <row r="14" spans="1:4" ht="15.75" x14ac:dyDescent="0.25">
      <c r="A14" s="296" t="s">
        <v>822</v>
      </c>
      <c r="B14" s="294"/>
      <c r="C14" s="294"/>
      <c r="D14" s="296" t="s">
        <v>823</v>
      </c>
    </row>
    <row r="15" spans="1:4" ht="15.75" x14ac:dyDescent="0.25">
      <c r="A15" s="294" t="s">
        <v>1361</v>
      </c>
      <c r="B15" s="294"/>
      <c r="C15" s="294"/>
      <c r="D15" s="294">
        <v>106943276</v>
      </c>
    </row>
    <row r="16" spans="1:4" ht="15.75" x14ac:dyDescent="0.25">
      <c r="A16" s="294"/>
      <c r="B16" s="294"/>
      <c r="C16" s="294"/>
      <c r="D16" s="294"/>
    </row>
    <row r="17" spans="1:4" ht="15.75" x14ac:dyDescent="0.25">
      <c r="A17" s="294"/>
      <c r="B17" s="294"/>
      <c r="C17" s="294"/>
      <c r="D17" s="294"/>
    </row>
    <row r="18" spans="1:4" ht="15.75" x14ac:dyDescent="0.25">
      <c r="A18" s="294"/>
      <c r="B18" s="294"/>
      <c r="C18" s="294"/>
      <c r="D18" s="294"/>
    </row>
    <row r="19" spans="1:4" ht="15.75" x14ac:dyDescent="0.25">
      <c r="A19" s="294"/>
      <c r="B19" s="294"/>
      <c r="C19" s="294"/>
      <c r="D19" s="294"/>
    </row>
    <row r="20" spans="1:4" ht="15.75" x14ac:dyDescent="0.25">
      <c r="A20" s="294"/>
      <c r="B20" s="294"/>
      <c r="C20" s="294"/>
      <c r="D20" s="294"/>
    </row>
    <row r="21" spans="1:4" ht="15.75" x14ac:dyDescent="0.25">
      <c r="A21" s="294"/>
      <c r="B21" s="294"/>
      <c r="C21" s="294"/>
      <c r="D21" s="294"/>
    </row>
    <row r="22" spans="1:4" ht="15.75" x14ac:dyDescent="0.25">
      <c r="A22" s="294"/>
      <c r="B22" s="294"/>
      <c r="C22" s="294"/>
      <c r="D22" s="294"/>
    </row>
    <row r="23" spans="1:4" ht="15.75" x14ac:dyDescent="0.25">
      <c r="A23" s="294"/>
      <c r="B23" s="294"/>
      <c r="C23" s="294"/>
      <c r="D23" s="294"/>
    </row>
    <row r="24" spans="1:4" ht="15.75" x14ac:dyDescent="0.25">
      <c r="A24" s="294"/>
      <c r="B24" s="294"/>
      <c r="C24" s="294"/>
      <c r="D24" s="294"/>
    </row>
    <row r="25" spans="1:4" ht="15.75" x14ac:dyDescent="0.25">
      <c r="A25" s="296" t="s">
        <v>824</v>
      </c>
      <c r="B25" s="294"/>
      <c r="C25" s="294"/>
      <c r="D25" s="294">
        <f>N(data!C414)</f>
        <v>2675034</v>
      </c>
    </row>
    <row r="26" spans="1:4" ht="15.75" x14ac:dyDescent="0.25">
      <c r="A26" s="296" t="s">
        <v>821</v>
      </c>
      <c r="B26" s="294"/>
      <c r="C26" s="294"/>
      <c r="D26" s="294" t="str">
        <f>IF(OR(N(data!C414)&gt;1000000,N(data!C414)/(N(data!D416))&gt;0.01),"Yes","No")</f>
        <v>Yes</v>
      </c>
    </row>
    <row r="27" spans="1:4" ht="15.75" x14ac:dyDescent="0.25">
      <c r="A27" s="294"/>
      <c r="B27" s="294"/>
      <c r="C27" s="294"/>
      <c r="D27" s="294"/>
    </row>
    <row r="28" spans="1:4" ht="15.75" x14ac:dyDescent="0.25">
      <c r="A28" s="296" t="s">
        <v>822</v>
      </c>
      <c r="B28" s="294"/>
      <c r="C28" s="294"/>
      <c r="D28" s="296" t="s">
        <v>823</v>
      </c>
    </row>
    <row r="29" spans="1:4" ht="15.75" x14ac:dyDescent="0.25">
      <c r="A29" s="294" t="s">
        <v>1006</v>
      </c>
      <c r="B29" s="294"/>
      <c r="C29" s="294"/>
      <c r="D29" s="294">
        <v>2190198</v>
      </c>
    </row>
    <row r="30" spans="1:4" ht="15.75" x14ac:dyDescent="0.25">
      <c r="A30" s="294"/>
      <c r="B30" s="294"/>
      <c r="C30" s="294"/>
      <c r="D30" s="294"/>
    </row>
    <row r="31" spans="1:4" ht="15.75" x14ac:dyDescent="0.25">
      <c r="A31" s="294"/>
      <c r="B31" s="294"/>
      <c r="C31" s="294"/>
      <c r="D31" s="294"/>
    </row>
    <row r="32" spans="1:4" ht="15.75" x14ac:dyDescent="0.25">
      <c r="A32" s="294"/>
      <c r="B32" s="294"/>
      <c r="C32" s="294"/>
      <c r="D32" s="294"/>
    </row>
    <row r="33" spans="1:4" ht="15.75" x14ac:dyDescent="0.25">
      <c r="A33" s="294"/>
      <c r="B33" s="294"/>
      <c r="C33" s="294"/>
      <c r="D33" s="294"/>
    </row>
    <row r="34" spans="1:4" ht="15.75" x14ac:dyDescent="0.25">
      <c r="A34" s="294"/>
      <c r="B34" s="294"/>
      <c r="C34" s="294"/>
      <c r="D34" s="294"/>
    </row>
    <row r="35" spans="1:4" ht="15.75" x14ac:dyDescent="0.25">
      <c r="A35" s="294"/>
      <c r="B35" s="294"/>
      <c r="C35" s="294"/>
      <c r="D35" s="294"/>
    </row>
    <row r="36" spans="1:4" ht="15.75" x14ac:dyDescent="0.25">
      <c r="A36" s="294"/>
      <c r="B36" s="294"/>
      <c r="C36" s="294"/>
      <c r="D36" s="2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1565-8481-4680-A28F-29D85B736873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825</v>
      </c>
    </row>
    <row r="2" spans="1:7" ht="20.100000000000001" customHeight="1" x14ac:dyDescent="0.25">
      <c r="A2" s="71" t="s">
        <v>826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H-29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Harborview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98104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827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828</v>
      </c>
      <c r="C8" s="76"/>
      <c r="D8" s="73" t="str">
        <f>"  "&amp;data!C104</f>
        <v xml:space="preserve">  Sommer Kleweno-Walley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829</v>
      </c>
      <c r="C9" s="76"/>
      <c r="D9" s="73" t="str">
        <f>"  "&amp;data!C105</f>
        <v xml:space="preserve">  Jacqueline Cabe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830</v>
      </c>
      <c r="C10" s="76"/>
      <c r="D10" s="73" t="str">
        <f>"  "&amp;data!C107</f>
        <v xml:space="preserve">  206.744.3000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831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832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324</v>
      </c>
      <c r="B15" s="83"/>
      <c r="C15" s="84" t="s">
        <v>326</v>
      </c>
      <c r="D15" s="83"/>
      <c r="E15" s="84" t="s">
        <v>328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833</v>
      </c>
      <c r="E16" s="242" t="str">
        <f>IF(data!C120&gt;0," X","")</f>
        <v/>
      </c>
      <c r="F16" s="90" t="s">
        <v>329</v>
      </c>
      <c r="G16" s="76"/>
    </row>
    <row r="17" spans="1:7" ht="20.100000000000001" customHeight="1" x14ac:dyDescent="0.25">
      <c r="A17" s="87" t="str">
        <f>IF(data!C114&gt;0," X","")</f>
        <v xml:space="preserve"> X</v>
      </c>
      <c r="B17" s="76" t="s">
        <v>310</v>
      </c>
      <c r="C17" s="88" t="str">
        <f>IF(data!C118&gt;0," X","")</f>
        <v/>
      </c>
      <c r="D17" s="89" t="s">
        <v>409</v>
      </c>
      <c r="E17" s="242" t="str">
        <f>IF(data!C121&gt;0," X","")</f>
        <v/>
      </c>
      <c r="F17" s="90" t="s">
        <v>330</v>
      </c>
      <c r="G17" s="76"/>
    </row>
    <row r="18" spans="1:7" ht="20.100000000000001" customHeight="1" x14ac:dyDescent="0.25">
      <c r="A18" s="72"/>
      <c r="B18" s="76" t="s">
        <v>834</v>
      </c>
      <c r="C18" s="76"/>
      <c r="D18" s="76"/>
      <c r="E18" s="242" t="str">
        <f>IF(data!C122&gt;0," X","")</f>
        <v/>
      </c>
      <c r="F18" s="90" t="s">
        <v>331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835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836</v>
      </c>
      <c r="C22" s="73"/>
      <c r="D22" s="73"/>
      <c r="E22" s="73"/>
      <c r="F22" s="87" t="s">
        <v>334</v>
      </c>
      <c r="G22" s="88" t="s">
        <v>242</v>
      </c>
    </row>
    <row r="23" spans="1:7" ht="20.100000000000001" customHeight="1" x14ac:dyDescent="0.25">
      <c r="A23" s="72"/>
      <c r="B23" s="73" t="s">
        <v>837</v>
      </c>
      <c r="C23" s="73"/>
      <c r="D23" s="73"/>
      <c r="E23" s="73"/>
      <c r="F23" s="72">
        <f>data!C127</f>
        <v>16024</v>
      </c>
      <c r="G23" s="76">
        <f>data!D127</f>
        <v>173137</v>
      </c>
    </row>
    <row r="24" spans="1:7" ht="20.100000000000001" customHeight="1" x14ac:dyDescent="0.25">
      <c r="A24" s="72"/>
      <c r="B24" s="73" t="s">
        <v>838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839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338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840</v>
      </c>
      <c r="C29" s="76"/>
      <c r="D29" s="88" t="s">
        <v>194</v>
      </c>
      <c r="E29" s="92" t="s">
        <v>840</v>
      </c>
      <c r="F29" s="76"/>
      <c r="G29" s="88" t="s">
        <v>194</v>
      </c>
    </row>
    <row r="30" spans="1:7" ht="20.100000000000001" customHeight="1" x14ac:dyDescent="0.25">
      <c r="A30" s="72"/>
      <c r="B30" s="73" t="s">
        <v>340</v>
      </c>
      <c r="C30" s="76"/>
      <c r="D30" s="76">
        <f>data!C132</f>
        <v>89</v>
      </c>
      <c r="E30" s="73" t="s">
        <v>346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841</v>
      </c>
      <c r="C31" s="76"/>
      <c r="D31" s="76">
        <f>data!C133</f>
        <v>278</v>
      </c>
      <c r="E31" s="73" t="s">
        <v>347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842</v>
      </c>
      <c r="C32" s="76"/>
      <c r="D32" s="76">
        <f>data!C134</f>
        <v>0</v>
      </c>
      <c r="E32" s="73" t="s">
        <v>843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844</v>
      </c>
      <c r="C33" s="76"/>
      <c r="D33" s="76">
        <f>data!C135</f>
        <v>0</v>
      </c>
      <c r="E33" s="73" t="s">
        <v>845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846</v>
      </c>
      <c r="C34" s="76"/>
      <c r="D34" s="76">
        <f>data!C136</f>
        <v>0</v>
      </c>
      <c r="E34" s="73" t="s">
        <v>349</v>
      </c>
      <c r="F34" s="76"/>
      <c r="G34" s="76">
        <f>data!E143</f>
        <v>463</v>
      </c>
    </row>
    <row r="35" spans="1:7" ht="20.100000000000001" customHeight="1" x14ac:dyDescent="0.25">
      <c r="A35" s="72"/>
      <c r="B35" s="92" t="s">
        <v>847</v>
      </c>
      <c r="C35" s="76"/>
      <c r="D35" s="76">
        <f>data!C137</f>
        <v>30</v>
      </c>
      <c r="E35" s="73" t="s">
        <v>848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66</v>
      </c>
      <c r="E36" s="73" t="s">
        <v>350</v>
      </c>
      <c r="F36" s="76"/>
      <c r="G36" s="76">
        <f>data!C144</f>
        <v>0</v>
      </c>
    </row>
    <row r="37" spans="1:7" ht="20.100000000000001" customHeight="1" x14ac:dyDescent="0.25">
      <c r="A37" s="72"/>
      <c r="E37" s="73" t="s">
        <v>351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346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849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797A-4AC5-41AB-B678-CF026AF17E65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850</v>
      </c>
      <c r="G1" s="70" t="s">
        <v>851</v>
      </c>
    </row>
    <row r="2" spans="1:7" ht="20.100000000000001" customHeight="1" x14ac:dyDescent="0.25">
      <c r="A2" s="1" t="str">
        <f>"Hospital: "&amp;data!C98</f>
        <v>Hospital: Harborview Medical Center</v>
      </c>
      <c r="G2" s="4" t="s">
        <v>852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853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854</v>
      </c>
      <c r="C5" s="83"/>
      <c r="D5" s="83"/>
      <c r="E5" s="134" t="s">
        <v>361</v>
      </c>
      <c r="F5" s="83"/>
      <c r="G5" s="83"/>
    </row>
    <row r="6" spans="1:7" ht="20.100000000000001" customHeight="1" x14ac:dyDescent="0.25">
      <c r="A6" s="135" t="s">
        <v>855</v>
      </c>
      <c r="B6" s="88" t="s">
        <v>334</v>
      </c>
      <c r="C6" s="88" t="s">
        <v>856</v>
      </c>
      <c r="D6" s="88" t="s">
        <v>357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355</v>
      </c>
      <c r="B7" s="136">
        <f>data!B154</f>
        <v>5471</v>
      </c>
      <c r="C7" s="136">
        <f>data!B155</f>
        <v>64353</v>
      </c>
      <c r="D7" s="136">
        <f>data!B156</f>
        <v>122782</v>
      </c>
      <c r="E7" s="136">
        <f>data!B157</f>
        <v>740630443</v>
      </c>
      <c r="F7" s="136">
        <f>data!B158</f>
        <v>338618058</v>
      </c>
      <c r="G7" s="136">
        <f>data!B157+data!B158</f>
        <v>1079248501</v>
      </c>
    </row>
    <row r="8" spans="1:7" ht="20.100000000000001" customHeight="1" x14ac:dyDescent="0.25">
      <c r="A8" s="72" t="s">
        <v>356</v>
      </c>
      <c r="B8" s="136">
        <f>data!C154</f>
        <v>5657</v>
      </c>
      <c r="C8" s="136">
        <f>data!C155</f>
        <v>68503</v>
      </c>
      <c r="D8" s="136">
        <f>data!C156</f>
        <v>114979</v>
      </c>
      <c r="E8" s="136">
        <f>data!C157</f>
        <v>765375162</v>
      </c>
      <c r="F8" s="136">
        <f>data!C158</f>
        <v>336131703</v>
      </c>
      <c r="G8" s="136">
        <f>data!C157+data!C158</f>
        <v>1101506865</v>
      </c>
    </row>
    <row r="9" spans="1:7" ht="20.100000000000001" customHeight="1" x14ac:dyDescent="0.25">
      <c r="A9" s="72" t="s">
        <v>857</v>
      </c>
      <c r="B9" s="136">
        <f>data!D154</f>
        <v>4896</v>
      </c>
      <c r="C9" s="136">
        <f>data!D155</f>
        <v>40281</v>
      </c>
      <c r="D9" s="136">
        <f>data!D156</f>
        <v>170083</v>
      </c>
      <c r="E9" s="136">
        <f>data!D157</f>
        <v>671543509</v>
      </c>
      <c r="F9" s="136">
        <f>data!D158</f>
        <v>531409509</v>
      </c>
      <c r="G9" s="136">
        <f>data!D157+data!D158</f>
        <v>1202953018</v>
      </c>
    </row>
    <row r="10" spans="1:7" ht="20.100000000000001" customHeight="1" x14ac:dyDescent="0.25">
      <c r="A10" s="87" t="s">
        <v>230</v>
      </c>
      <c r="B10" s="136">
        <f>data!E154</f>
        <v>16024</v>
      </c>
      <c r="C10" s="136">
        <f>data!E155</f>
        <v>173137</v>
      </c>
      <c r="D10" s="136">
        <f>data!E156</f>
        <v>407844</v>
      </c>
      <c r="E10" s="136">
        <f>data!E157</f>
        <v>2177549114</v>
      </c>
      <c r="F10" s="136">
        <f>data!E158</f>
        <v>1206159270</v>
      </c>
      <c r="G10" s="136">
        <f>E10+F10</f>
        <v>3383708384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858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854</v>
      </c>
      <c r="C14" s="142"/>
      <c r="D14" s="142"/>
      <c r="E14" s="142" t="s">
        <v>361</v>
      </c>
      <c r="F14" s="142"/>
      <c r="G14" s="142"/>
    </row>
    <row r="15" spans="1:7" ht="20.100000000000001" customHeight="1" x14ac:dyDescent="0.25">
      <c r="A15" s="135" t="s">
        <v>855</v>
      </c>
      <c r="B15" s="88" t="s">
        <v>334</v>
      </c>
      <c r="C15" s="88" t="s">
        <v>856</v>
      </c>
      <c r="D15" s="88" t="s">
        <v>357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355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356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857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859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854</v>
      </c>
      <c r="C23" s="83"/>
      <c r="D23" s="83"/>
      <c r="E23" s="83" t="s">
        <v>361</v>
      </c>
      <c r="F23" s="83"/>
      <c r="G23" s="83"/>
    </row>
    <row r="24" spans="1:7" ht="20.100000000000001" customHeight="1" x14ac:dyDescent="0.25">
      <c r="A24" s="135" t="s">
        <v>855</v>
      </c>
      <c r="B24" s="88" t="s">
        <v>334</v>
      </c>
      <c r="C24" s="88" t="s">
        <v>856</v>
      </c>
      <c r="D24" s="88" t="s">
        <v>357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355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356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857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860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861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862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EA20-B2D6-4C17-8257-2022AF2951CC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364</v>
      </c>
      <c r="B1" s="71"/>
      <c r="C1" s="70" t="s">
        <v>863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Harborview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365</v>
      </c>
      <c r="C5" s="132"/>
    </row>
    <row r="6" spans="1:3" ht="20.100000000000001" customHeight="1" x14ac:dyDescent="0.25">
      <c r="A6" s="152">
        <v>2</v>
      </c>
      <c r="B6" s="73" t="s">
        <v>864</v>
      </c>
      <c r="C6" s="72">
        <f>data!C181</f>
        <v>32945389.57</v>
      </c>
    </row>
    <row r="7" spans="1:3" ht="20.100000000000001" customHeight="1" x14ac:dyDescent="0.25">
      <c r="A7" s="153">
        <v>3</v>
      </c>
      <c r="B7" s="92" t="s">
        <v>367</v>
      </c>
      <c r="C7" s="72">
        <f>data!C182</f>
        <v>771569.63</v>
      </c>
    </row>
    <row r="8" spans="1:3" ht="20.100000000000001" customHeight="1" x14ac:dyDescent="0.25">
      <c r="A8" s="153">
        <v>4</v>
      </c>
      <c r="B8" s="73" t="s">
        <v>368</v>
      </c>
      <c r="C8" s="72">
        <f>data!C183</f>
        <v>2590031.44</v>
      </c>
    </row>
    <row r="9" spans="1:3" ht="20.100000000000001" customHeight="1" x14ac:dyDescent="0.25">
      <c r="A9" s="153">
        <v>5</v>
      </c>
      <c r="B9" s="73" t="s">
        <v>369</v>
      </c>
      <c r="C9" s="72">
        <f>data!C184</f>
        <v>75451405.409999996</v>
      </c>
    </row>
    <row r="10" spans="1:3" ht="20.100000000000001" customHeight="1" x14ac:dyDescent="0.25">
      <c r="A10" s="153">
        <v>6</v>
      </c>
      <c r="B10" s="73" t="s">
        <v>370</v>
      </c>
      <c r="C10" s="72">
        <f>data!C185</f>
        <v>0</v>
      </c>
    </row>
    <row r="11" spans="1:3" ht="20.100000000000001" customHeight="1" x14ac:dyDescent="0.25">
      <c r="A11" s="153">
        <v>7</v>
      </c>
      <c r="B11" s="73" t="s">
        <v>371</v>
      </c>
      <c r="C11" s="72">
        <f>data!C186</f>
        <v>44147336.950000003</v>
      </c>
    </row>
    <row r="12" spans="1:3" ht="20.100000000000001" customHeight="1" x14ac:dyDescent="0.25">
      <c r="A12" s="153">
        <v>8</v>
      </c>
      <c r="B12" s="73" t="s">
        <v>372</v>
      </c>
      <c r="C12" s="72">
        <f>data!C187</f>
        <v>3121717.81</v>
      </c>
    </row>
    <row r="13" spans="1:3" ht="20.100000000000001" customHeight="1" x14ac:dyDescent="0.25">
      <c r="A13" s="153">
        <v>9</v>
      </c>
      <c r="B13" s="73" t="s">
        <v>372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865</v>
      </c>
      <c r="C14" s="72">
        <f>data!D189</f>
        <v>159027450.81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373</v>
      </c>
      <c r="C17" s="86"/>
    </row>
    <row r="18" spans="1:3" ht="20.100000000000001" customHeight="1" x14ac:dyDescent="0.25">
      <c r="A18" s="72">
        <v>12</v>
      </c>
      <c r="B18" s="73" t="s">
        <v>866</v>
      </c>
      <c r="C18" s="72">
        <f>data!C191</f>
        <v>-177055</v>
      </c>
    </row>
    <row r="19" spans="1:3" ht="20.100000000000001" customHeight="1" x14ac:dyDescent="0.25">
      <c r="A19" s="72">
        <v>13</v>
      </c>
      <c r="B19" s="73" t="s">
        <v>867</v>
      </c>
      <c r="C19" s="72">
        <f>data!C192</f>
        <v>3398447</v>
      </c>
    </row>
    <row r="20" spans="1:3" ht="20.100000000000001" customHeight="1" x14ac:dyDescent="0.25">
      <c r="A20" s="72">
        <v>14</v>
      </c>
      <c r="B20" s="73" t="s">
        <v>868</v>
      </c>
      <c r="C20" s="72">
        <f>data!D193</f>
        <v>3221392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376</v>
      </c>
      <c r="C23" s="132"/>
    </row>
    <row r="24" spans="1:3" ht="20.100000000000001" customHeight="1" x14ac:dyDescent="0.25">
      <c r="A24" s="72">
        <v>16</v>
      </c>
      <c r="B24" s="84" t="s">
        <v>869</v>
      </c>
      <c r="C24" s="157"/>
    </row>
    <row r="25" spans="1:3" ht="20.100000000000001" customHeight="1" x14ac:dyDescent="0.25">
      <c r="A25" s="72">
        <v>17</v>
      </c>
      <c r="B25" s="73" t="s">
        <v>870</v>
      </c>
      <c r="C25" s="72">
        <f>data!C195</f>
        <v>9205975</v>
      </c>
    </row>
    <row r="26" spans="1:3" ht="20.100000000000001" customHeight="1" x14ac:dyDescent="0.25">
      <c r="A26" s="72">
        <v>18</v>
      </c>
      <c r="B26" s="73" t="s">
        <v>378</v>
      </c>
      <c r="C26" s="72">
        <f>data!C196</f>
        <v>2070657</v>
      </c>
    </row>
    <row r="27" spans="1:3" ht="20.100000000000001" customHeight="1" x14ac:dyDescent="0.25">
      <c r="A27" s="72">
        <v>19</v>
      </c>
      <c r="B27" s="73" t="s">
        <v>871</v>
      </c>
      <c r="C27" s="72">
        <f>data!D197</f>
        <v>11276632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872</v>
      </c>
      <c r="C30" s="142"/>
    </row>
    <row r="31" spans="1:3" ht="20.100000000000001" customHeight="1" x14ac:dyDescent="0.25">
      <c r="A31" s="72">
        <v>21</v>
      </c>
      <c r="B31" s="73" t="s">
        <v>380</v>
      </c>
      <c r="C31" s="72">
        <f>data!C199</f>
        <v>2548359</v>
      </c>
    </row>
    <row r="32" spans="1:3" ht="20.100000000000001" customHeight="1" x14ac:dyDescent="0.25">
      <c r="A32" s="72">
        <v>22</v>
      </c>
      <c r="B32" s="73" t="s">
        <v>873</v>
      </c>
      <c r="C32" s="72">
        <f>data!C200</f>
        <v>-107916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874</v>
      </c>
      <c r="C34" s="72">
        <f>data!D202</f>
        <v>2440443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382</v>
      </c>
      <c r="C37" s="132"/>
    </row>
    <row r="38" spans="1:3" ht="20.100000000000001" customHeight="1" x14ac:dyDescent="0.25">
      <c r="A38" s="72">
        <v>26</v>
      </c>
      <c r="B38" s="73" t="s">
        <v>875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384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876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EE6A-E7B7-4237-A67C-0EAB673A6FDD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385</v>
      </c>
      <c r="B1" s="71"/>
      <c r="C1" s="71"/>
      <c r="D1" s="71"/>
      <c r="E1" s="71"/>
      <c r="F1" s="70" t="s">
        <v>877</v>
      </c>
    </row>
    <row r="3" spans="1:6" ht="20.100000000000001" customHeight="1" x14ac:dyDescent="0.25">
      <c r="A3" s="129" t="str">
        <f>"Hospital: "&amp;data!C98</f>
        <v>Hospital: Harborview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386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878</v>
      </c>
      <c r="D5" s="160"/>
      <c r="E5" s="160"/>
      <c r="F5" s="160" t="s">
        <v>879</v>
      </c>
    </row>
    <row r="6" spans="1:6" ht="20.100000000000001" customHeight="1" x14ac:dyDescent="0.25">
      <c r="A6" s="161"/>
      <c r="B6" s="79"/>
      <c r="C6" s="162" t="s">
        <v>880</v>
      </c>
      <c r="D6" s="162" t="s">
        <v>388</v>
      </c>
      <c r="E6" s="162" t="s">
        <v>881</v>
      </c>
      <c r="F6" s="162" t="s">
        <v>880</v>
      </c>
    </row>
    <row r="7" spans="1:6" ht="20.100000000000001" customHeight="1" x14ac:dyDescent="0.25">
      <c r="A7" s="72">
        <v>1</v>
      </c>
      <c r="B7" s="76" t="s">
        <v>391</v>
      </c>
      <c r="C7" s="76">
        <f>data!B211</f>
        <v>2432000</v>
      </c>
      <c r="D7" s="76">
        <f>data!C211</f>
        <v>0</v>
      </c>
      <c r="E7" s="76">
        <f>data!D211</f>
        <v>0</v>
      </c>
      <c r="F7" s="76">
        <f>data!E211</f>
        <v>2432000</v>
      </c>
    </row>
    <row r="8" spans="1:6" ht="20.100000000000001" customHeight="1" x14ac:dyDescent="0.25">
      <c r="A8" s="72">
        <v>2</v>
      </c>
      <c r="B8" s="76" t="s">
        <v>392</v>
      </c>
      <c r="C8" s="76">
        <f>data!B212</f>
        <v>7378000</v>
      </c>
      <c r="D8" s="76">
        <f>data!C212</f>
        <v>329000</v>
      </c>
      <c r="E8" s="76">
        <f>data!D212</f>
        <v>0</v>
      </c>
      <c r="F8" s="76">
        <f>data!E212</f>
        <v>7707000</v>
      </c>
    </row>
    <row r="9" spans="1:6" ht="20.100000000000001" customHeight="1" x14ac:dyDescent="0.25">
      <c r="A9" s="72">
        <v>3</v>
      </c>
      <c r="B9" s="76" t="s">
        <v>393</v>
      </c>
      <c r="C9" s="76">
        <f>data!B213</f>
        <v>459243110.25999999</v>
      </c>
      <c r="D9" s="76">
        <f>data!C213</f>
        <v>7463274.2799999975</v>
      </c>
      <c r="E9" s="76">
        <f>data!D213</f>
        <v>0</v>
      </c>
      <c r="F9" s="76">
        <f>data!E213</f>
        <v>466706384.53999996</v>
      </c>
    </row>
    <row r="10" spans="1:6" ht="20.100000000000001" customHeight="1" x14ac:dyDescent="0.25">
      <c r="A10" s="72">
        <v>4</v>
      </c>
      <c r="B10" s="76" t="s">
        <v>882</v>
      </c>
      <c r="C10" s="76">
        <f>data!B214</f>
        <v>124164791.79000001</v>
      </c>
      <c r="D10" s="76">
        <f>data!C214</f>
        <v>2309000</v>
      </c>
      <c r="E10" s="76">
        <f>data!D214</f>
        <v>0</v>
      </c>
      <c r="F10" s="76">
        <f>data!E214</f>
        <v>126473791.79000001</v>
      </c>
    </row>
    <row r="11" spans="1:6" ht="20.100000000000001" customHeight="1" x14ac:dyDescent="0.25">
      <c r="A11" s="72">
        <v>5</v>
      </c>
      <c r="B11" s="76" t="s">
        <v>883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884</v>
      </c>
      <c r="C12" s="76">
        <f>data!B216</f>
        <v>198937000</v>
      </c>
      <c r="D12" s="76">
        <f>data!C216</f>
        <v>9155000</v>
      </c>
      <c r="E12" s="76">
        <f>data!D216</f>
        <v>41549000</v>
      </c>
      <c r="F12" s="76">
        <f>data!E216</f>
        <v>166543000</v>
      </c>
    </row>
    <row r="13" spans="1:6" ht="20.100000000000001" customHeight="1" x14ac:dyDescent="0.25">
      <c r="A13" s="72">
        <v>7</v>
      </c>
      <c r="B13" s="76" t="s">
        <v>885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398</v>
      </c>
      <c r="C14" s="76">
        <f>data!B218</f>
        <v>14158000</v>
      </c>
      <c r="D14" s="76">
        <f>data!C218</f>
        <v>0</v>
      </c>
      <c r="E14" s="76">
        <f>data!D218</f>
        <v>0</v>
      </c>
      <c r="F14" s="76">
        <f>data!E218</f>
        <v>14158000</v>
      </c>
    </row>
    <row r="15" spans="1:6" ht="20.100000000000001" customHeight="1" x14ac:dyDescent="0.25">
      <c r="A15" s="72">
        <v>9</v>
      </c>
      <c r="B15" s="76" t="s">
        <v>886</v>
      </c>
      <c r="C15" s="76">
        <f>data!B219</f>
        <v>12521412.519999998</v>
      </c>
      <c r="D15" s="76">
        <f>data!C219</f>
        <v>24343000</v>
      </c>
      <c r="E15" s="76">
        <f>data!D219</f>
        <v>10101274.279999997</v>
      </c>
      <c r="F15" s="76">
        <f>data!E219</f>
        <v>26763138.239999998</v>
      </c>
    </row>
    <row r="16" spans="1:6" ht="20.100000000000001" customHeight="1" x14ac:dyDescent="0.25">
      <c r="A16" s="72">
        <v>10</v>
      </c>
      <c r="B16" s="76" t="s">
        <v>612</v>
      </c>
      <c r="C16" s="76">
        <f>data!B220</f>
        <v>818834314.56999993</v>
      </c>
      <c r="D16" s="76">
        <f>data!C220</f>
        <v>43599274.280000001</v>
      </c>
      <c r="E16" s="76">
        <f>data!D220</f>
        <v>51650274.280000001</v>
      </c>
      <c r="F16" s="76">
        <f>data!E220</f>
        <v>810783314.56999993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400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878</v>
      </c>
      <c r="D21" s="4" t="s">
        <v>230</v>
      </c>
      <c r="E21" s="162"/>
      <c r="F21" s="162" t="s">
        <v>879</v>
      </c>
    </row>
    <row r="22" spans="1:6" ht="20.100000000000001" customHeight="1" x14ac:dyDescent="0.25">
      <c r="A22" s="163"/>
      <c r="B22" s="155"/>
      <c r="C22" s="162" t="s">
        <v>880</v>
      </c>
      <c r="D22" s="162" t="s">
        <v>887</v>
      </c>
      <c r="E22" s="162" t="s">
        <v>881</v>
      </c>
      <c r="F22" s="162" t="s">
        <v>880</v>
      </c>
    </row>
    <row r="23" spans="1:6" ht="20.100000000000001" customHeight="1" x14ac:dyDescent="0.25">
      <c r="A23" s="72">
        <v>11</v>
      </c>
      <c r="B23" s="164" t="s">
        <v>391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392</v>
      </c>
      <c r="C24" s="76">
        <f>data!B225</f>
        <v>4972000</v>
      </c>
      <c r="D24" s="76">
        <f>data!C225</f>
        <v>335000</v>
      </c>
      <c r="E24" s="76">
        <f>data!D225</f>
        <v>0</v>
      </c>
      <c r="F24" s="76">
        <f>data!E225</f>
        <v>5307000</v>
      </c>
    </row>
    <row r="25" spans="1:6" ht="20.100000000000001" customHeight="1" x14ac:dyDescent="0.25">
      <c r="A25" s="72">
        <v>13</v>
      </c>
      <c r="B25" s="76" t="s">
        <v>393</v>
      </c>
      <c r="C25" s="76">
        <f>data!B226</f>
        <v>258074000</v>
      </c>
      <c r="D25" s="76">
        <f>data!C226</f>
        <v>14729000</v>
      </c>
      <c r="E25" s="76">
        <f>data!D226</f>
        <v>0</v>
      </c>
      <c r="F25" s="76">
        <f>data!E226</f>
        <v>272803000</v>
      </c>
    </row>
    <row r="26" spans="1:6" ht="20.100000000000001" customHeight="1" x14ac:dyDescent="0.25">
      <c r="A26" s="72">
        <v>14</v>
      </c>
      <c r="B26" s="76" t="s">
        <v>882</v>
      </c>
      <c r="C26" s="76">
        <f>data!B227</f>
        <v>116890000</v>
      </c>
      <c r="D26" s="76">
        <f>data!C227</f>
        <v>1190000</v>
      </c>
      <c r="E26" s="76">
        <f>data!D227</f>
        <v>0</v>
      </c>
      <c r="F26" s="76">
        <f>data!E227</f>
        <v>118080000</v>
      </c>
    </row>
    <row r="27" spans="1:6" ht="20.100000000000001" customHeight="1" x14ac:dyDescent="0.25">
      <c r="A27" s="72">
        <v>15</v>
      </c>
      <c r="B27" s="76" t="s">
        <v>883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884</v>
      </c>
      <c r="C28" s="76">
        <f>data!B229</f>
        <v>163444000</v>
      </c>
      <c r="D28" s="76">
        <f>data!C229</f>
        <v>11304000</v>
      </c>
      <c r="E28" s="76">
        <f>data!D229</f>
        <v>41549000</v>
      </c>
      <c r="F28" s="76">
        <f>data!E229</f>
        <v>133199000</v>
      </c>
    </row>
    <row r="29" spans="1:6" ht="20.100000000000001" customHeight="1" x14ac:dyDescent="0.25">
      <c r="A29" s="72">
        <v>17</v>
      </c>
      <c r="B29" s="76" t="s">
        <v>885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398</v>
      </c>
      <c r="C30" s="76">
        <f>data!B231</f>
        <v>8714000</v>
      </c>
      <c r="D30" s="76">
        <f>data!C231</f>
        <v>837000</v>
      </c>
      <c r="E30" s="76">
        <f>data!D231</f>
        <v>0</v>
      </c>
      <c r="F30" s="76">
        <f>data!E231</f>
        <v>9551000</v>
      </c>
    </row>
    <row r="31" spans="1:6" ht="20.100000000000001" customHeight="1" x14ac:dyDescent="0.25">
      <c r="A31" s="72">
        <v>19</v>
      </c>
      <c r="B31" s="76" t="s">
        <v>886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612</v>
      </c>
      <c r="C32" s="76">
        <f>data!B233</f>
        <v>552094000</v>
      </c>
      <c r="D32" s="76">
        <f>data!C233</f>
        <v>28395000</v>
      </c>
      <c r="E32" s="76">
        <f>data!D233</f>
        <v>41549000</v>
      </c>
      <c r="F32" s="76">
        <f>data!E233</f>
        <v>538940000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FF31-8BDD-455C-BD64-4F27FC1CBF9B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888</v>
      </c>
      <c r="B1" s="71"/>
      <c r="C1" s="71"/>
      <c r="D1" s="70" t="s">
        <v>889</v>
      </c>
    </row>
    <row r="2" spans="1:4" ht="20.100000000000001" customHeight="1" x14ac:dyDescent="0.25">
      <c r="A2" s="129" t="str">
        <f>"Hospital: "&amp;data!C98</f>
        <v>Hospital: Harborview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890</v>
      </c>
      <c r="C4" s="165" t="s">
        <v>891</v>
      </c>
      <c r="D4" s="166"/>
    </row>
    <row r="5" spans="1:4" ht="20.100000000000001" customHeight="1" x14ac:dyDescent="0.25">
      <c r="A5" s="133">
        <v>1</v>
      </c>
      <c r="B5" s="167"/>
      <c r="C5" s="89" t="s">
        <v>402</v>
      </c>
      <c r="D5" s="76">
        <f>data!D237</f>
        <v>39655218.950000003</v>
      </c>
    </row>
    <row r="6" spans="1:4" ht="20.100000000000001" customHeight="1" x14ac:dyDescent="0.25">
      <c r="A6" s="72">
        <v>2</v>
      </c>
      <c r="B6" s="78"/>
      <c r="C6" s="151" t="s">
        <v>498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355</v>
      </c>
      <c r="D7" s="76">
        <f>data!C239</f>
        <v>821525554</v>
      </c>
    </row>
    <row r="8" spans="1:4" ht="20.100000000000001" customHeight="1" x14ac:dyDescent="0.25">
      <c r="A8" s="72">
        <v>4</v>
      </c>
      <c r="B8" s="167">
        <v>5820</v>
      </c>
      <c r="C8" s="76" t="s">
        <v>356</v>
      </c>
      <c r="D8" s="76">
        <f>data!C240</f>
        <v>766807306</v>
      </c>
    </row>
    <row r="9" spans="1:4" ht="20.100000000000001" customHeight="1" x14ac:dyDescent="0.25">
      <c r="A9" s="72">
        <v>5</v>
      </c>
      <c r="B9" s="167">
        <v>5830</v>
      </c>
      <c r="C9" s="76" t="s">
        <v>368</v>
      </c>
      <c r="D9" s="76">
        <f>data!C241</f>
        <v>459231327</v>
      </c>
    </row>
    <row r="10" spans="1:4" ht="20.100000000000001" customHeight="1" x14ac:dyDescent="0.25">
      <c r="A10" s="72">
        <v>6</v>
      </c>
      <c r="B10" s="167">
        <v>5840</v>
      </c>
      <c r="C10" s="76" t="s">
        <v>407</v>
      </c>
      <c r="D10" s="76">
        <f>data!C242</f>
        <v>20303278</v>
      </c>
    </row>
    <row r="11" spans="1:4" ht="20.100000000000001" customHeight="1" x14ac:dyDescent="0.25">
      <c r="A11" s="72">
        <v>7</v>
      </c>
      <c r="B11" s="167">
        <v>5850</v>
      </c>
      <c r="C11" s="76" t="s">
        <v>892</v>
      </c>
      <c r="D11" s="76">
        <f>data!C243</f>
        <v>0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-35508991.960000023</v>
      </c>
    </row>
    <row r="13" spans="1:4" ht="20.100000000000001" customHeight="1" x14ac:dyDescent="0.25">
      <c r="A13" s="72">
        <v>9</v>
      </c>
      <c r="B13" s="76"/>
      <c r="C13" s="76" t="s">
        <v>893</v>
      </c>
      <c r="D13" s="76">
        <f>data!D245</f>
        <v>2032358473.04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411</v>
      </c>
      <c r="D15" s="162"/>
    </row>
    <row r="16" spans="1:4" ht="20.100000000000001" customHeight="1" x14ac:dyDescent="0.25">
      <c r="A16" s="161">
        <v>12</v>
      </c>
      <c r="B16" s="88"/>
      <c r="C16" s="73" t="s">
        <v>894</v>
      </c>
      <c r="D16" s="72">
        <f>data!C247</f>
        <v>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413</v>
      </c>
      <c r="D18" s="76">
        <f>data!C249</f>
        <v>36096861.359999999</v>
      </c>
    </row>
    <row r="19" spans="1:4" ht="20.100000000000001" customHeight="1" x14ac:dyDescent="0.25">
      <c r="A19" s="170">
        <v>15</v>
      </c>
      <c r="B19" s="167">
        <v>5910</v>
      </c>
      <c r="C19" s="89" t="s">
        <v>895</v>
      </c>
      <c r="D19" s="76">
        <f>data!C250</f>
        <v>73981020.650000021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896</v>
      </c>
      <c r="D22" s="76">
        <f>data!D252</f>
        <v>110077882.01000002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417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897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898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899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2024-03-26T22:50:03Z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