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4939BE94-BF81-4697-9677-10CB204F6F2B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35" r:id="rId13"/>
    <sheet name="Support" sheetId="36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4" l="1"/>
  <c r="C418" i="24"/>
  <c r="D23" i="33"/>
  <c r="C380" i="24"/>
  <c r="C379" i="24"/>
  <c r="C378" i="24"/>
  <c r="C359" i="24"/>
  <c r="C333" i="24"/>
  <c r="C298" i="24"/>
  <c r="AZ84" i="24"/>
  <c r="CD83" i="24"/>
  <c r="CD81" i="24"/>
  <c r="BR83" i="24"/>
  <c r="BN83" i="24"/>
  <c r="BN77" i="24"/>
  <c r="BJ83" i="24"/>
  <c r="BJ80" i="24"/>
  <c r="BH83" i="24"/>
  <c r="BE83" i="24"/>
  <c r="BE80" i="24"/>
  <c r="BE77" i="24"/>
  <c r="AY83" i="24"/>
  <c r="AK83" i="24"/>
  <c r="AJ83" i="24"/>
  <c r="AG83" i="24"/>
  <c r="AG80" i="24"/>
  <c r="AE83" i="24"/>
  <c r="AE80" i="24"/>
  <c r="U83" i="24"/>
  <c r="K83" i="24"/>
  <c r="D27" i="7"/>
  <c r="BN90" i="24"/>
  <c r="AY61" i="24"/>
  <c r="AZ61" i="24"/>
  <c r="BN64" i="24"/>
  <c r="BN61" i="24"/>
  <c r="BY83" i="24"/>
  <c r="AC76" i="31" s="1"/>
  <c r="BY66" i="24"/>
  <c r="L76" i="31" s="1"/>
  <c r="BY64" i="24"/>
  <c r="J76" i="31" s="1"/>
  <c r="BY61" i="24"/>
  <c r="G76" i="31" s="1"/>
  <c r="C229" i="24"/>
  <c r="E229" i="24" s="1"/>
  <c r="F28" i="6" s="1"/>
  <c r="C228" i="24"/>
  <c r="E228" i="24" s="1"/>
  <c r="F27" i="6" s="1"/>
  <c r="C226" i="24"/>
  <c r="C225" i="24"/>
  <c r="E225" i="24" s="1"/>
  <c r="F24" i="6" s="1"/>
  <c r="C213" i="24"/>
  <c r="C216" i="24"/>
  <c r="C215" i="24"/>
  <c r="C219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K76" i="31"/>
  <c r="I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6"/>
  <c r="CD2" i="36"/>
  <c r="CC2" i="36"/>
  <c r="CB2" i="36"/>
  <c r="CA2" i="36"/>
  <c r="BZ2" i="36"/>
  <c r="BY2" i="36"/>
  <c r="BX2" i="36"/>
  <c r="BW2" i="36"/>
  <c r="BV2" i="36"/>
  <c r="BU2" i="36"/>
  <c r="BT2" i="36"/>
  <c r="BS2" i="36"/>
  <c r="BR2" i="36"/>
  <c r="BQ2" i="36"/>
  <c r="BP2" i="36"/>
  <c r="BO2" i="36"/>
  <c r="BN2" i="36"/>
  <c r="BM2" i="36"/>
  <c r="BL2" i="36"/>
  <c r="BJ2" i="36"/>
  <c r="BI2" i="36"/>
  <c r="BH2" i="36"/>
  <c r="BG2" i="36"/>
  <c r="BF2" i="36"/>
  <c r="BE2" i="36"/>
  <c r="BD2" i="36"/>
  <c r="BC2" i="36"/>
  <c r="BB2" i="36"/>
  <c r="BA2" i="36"/>
  <c r="AZ2" i="36"/>
  <c r="AX2" i="36"/>
  <c r="AT2" i="36"/>
  <c r="AS2" i="36"/>
  <c r="AR2" i="36"/>
  <c r="AQ2" i="36"/>
  <c r="AP2" i="36"/>
  <c r="AO2" i="36"/>
  <c r="AN2" i="36"/>
  <c r="AM2" i="36"/>
  <c r="AL2" i="36"/>
  <c r="AK2" i="36"/>
  <c r="AJ2" i="36"/>
  <c r="AI2" i="36"/>
  <c r="AH2" i="36"/>
  <c r="AG2" i="36"/>
  <c r="AF2" i="36"/>
  <c r="AE2" i="36"/>
  <c r="AD2" i="36"/>
  <c r="AC2" i="36"/>
  <c r="AB2" i="36"/>
  <c r="AA2" i="36"/>
  <c r="Z2" i="36"/>
  <c r="Y2" i="36"/>
  <c r="X2" i="36"/>
  <c r="W2" i="36"/>
  <c r="V2" i="36"/>
  <c r="U2" i="36"/>
  <c r="T2" i="36"/>
  <c r="S2" i="36"/>
  <c r="R2" i="36"/>
  <c r="Q2" i="36"/>
  <c r="P2" i="36"/>
  <c r="O2" i="36"/>
  <c r="N2" i="36"/>
  <c r="M2" i="36"/>
  <c r="L2" i="36"/>
  <c r="K2" i="36"/>
  <c r="J2" i="36"/>
  <c r="I2" i="36"/>
  <c r="H2" i="36"/>
  <c r="G2" i="36"/>
  <c r="F2" i="36"/>
  <c r="E2" i="36"/>
  <c r="D2" i="36"/>
  <c r="B2" i="36"/>
  <c r="A2" i="36"/>
  <c r="N2" i="35"/>
  <c r="M2" i="35"/>
  <c r="L2" i="35"/>
  <c r="K2" i="35"/>
  <c r="J2" i="35"/>
  <c r="I2" i="35"/>
  <c r="H2" i="35"/>
  <c r="G2" i="35"/>
  <c r="F2" i="35"/>
  <c r="E2" i="35"/>
  <c r="D2" i="35"/>
  <c r="C2" i="35"/>
  <c r="B2" i="35"/>
  <c r="A2" i="35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F57" i="15" s="1"/>
  <c r="E56" i="15"/>
  <c r="D56" i="15"/>
  <c r="B56" i="15"/>
  <c r="H56" i="15" s="1"/>
  <c r="I56" i="15" s="1"/>
  <c r="E55" i="15"/>
  <c r="D55" i="15"/>
  <c r="B55" i="15"/>
  <c r="F55" i="15" s="1"/>
  <c r="E54" i="15"/>
  <c r="D54" i="15"/>
  <c r="B54" i="15"/>
  <c r="H54" i="15" s="1"/>
  <c r="I54" i="15" s="1"/>
  <c r="E53" i="15"/>
  <c r="D53" i="15"/>
  <c r="B53" i="15"/>
  <c r="E52" i="15"/>
  <c r="D52" i="15"/>
  <c r="B52" i="15"/>
  <c r="H52" i="15" s="1"/>
  <c r="I52" i="15" s="1"/>
  <c r="E51" i="15"/>
  <c r="D51" i="15"/>
  <c r="B51" i="15"/>
  <c r="F51" i="15" s="1"/>
  <c r="E50" i="15"/>
  <c r="D50" i="15"/>
  <c r="B50" i="15"/>
  <c r="E49" i="15"/>
  <c r="D49" i="15"/>
  <c r="B49" i="15"/>
  <c r="F49" i="15" s="1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E18" i="15"/>
  <c r="D18" i="15"/>
  <c r="B18" i="15"/>
  <c r="F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C170" i="8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B233" i="24"/>
  <c r="C32" i="6" s="1"/>
  <c r="E232" i="24"/>
  <c r="E231" i="24"/>
  <c r="F30" i="6" s="1"/>
  <c r="E230" i="24"/>
  <c r="F29" i="6" s="1"/>
  <c r="E227" i="24"/>
  <c r="F26" i="6" s="1"/>
  <c r="E226" i="24"/>
  <c r="F25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I383" i="34" s="1"/>
  <c r="CE92" i="24"/>
  <c r="I382" i="34" s="1"/>
  <c r="CE91" i="24"/>
  <c r="CF91" i="24" s="1"/>
  <c r="CE90" i="24"/>
  <c r="AV89" i="24"/>
  <c r="AU89" i="24"/>
  <c r="E218" i="34" s="1"/>
  <c r="AT89" i="24"/>
  <c r="AS89" i="24"/>
  <c r="AR89" i="24"/>
  <c r="AQ89" i="24"/>
  <c r="H186" i="34" s="1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E29" i="31" s="1"/>
  <c r="AC89" i="24"/>
  <c r="AB89" i="24"/>
  <c r="AE27" i="31" s="1"/>
  <c r="AA89" i="24"/>
  <c r="Z89" i="24"/>
  <c r="AE25" i="31" s="1"/>
  <c r="Y89" i="24"/>
  <c r="X89" i="24"/>
  <c r="AE23" i="31" s="1"/>
  <c r="W89" i="24"/>
  <c r="V89" i="24"/>
  <c r="U89" i="24"/>
  <c r="T89" i="24"/>
  <c r="S89" i="24"/>
  <c r="R89" i="24"/>
  <c r="AE17" i="31" s="1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AE5" i="31" s="1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O57" i="31" s="1"/>
  <c r="BE69" i="24"/>
  <c r="BD69" i="24"/>
  <c r="BC69" i="24"/>
  <c r="BB69" i="24"/>
  <c r="BA69" i="24"/>
  <c r="AZ69" i="24"/>
  <c r="AY69" i="24"/>
  <c r="AX69" i="24"/>
  <c r="AW69" i="24"/>
  <c r="AV69" i="24"/>
  <c r="AU69" i="24"/>
  <c r="E211" i="34" s="1"/>
  <c r="AT69" i="24"/>
  <c r="AS69" i="24"/>
  <c r="AR69" i="24"/>
  <c r="AQ69" i="24"/>
  <c r="H179" i="34" s="1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O30" i="31" s="1"/>
  <c r="AD69" i="24"/>
  <c r="AC69" i="24"/>
  <c r="AB69" i="24"/>
  <c r="AA69" i="24"/>
  <c r="Z69" i="24"/>
  <c r="Y69" i="24"/>
  <c r="X69" i="24"/>
  <c r="O23" i="31" s="1"/>
  <c r="W69" i="24"/>
  <c r="V69" i="24"/>
  <c r="U69" i="24"/>
  <c r="T69" i="24"/>
  <c r="S69" i="24"/>
  <c r="R69" i="24"/>
  <c r="Q69" i="24"/>
  <c r="P69" i="24"/>
  <c r="O69" i="24"/>
  <c r="N69" i="24"/>
  <c r="M69" i="24"/>
  <c r="O12" i="31" s="1"/>
  <c r="L69" i="24"/>
  <c r="K69" i="24"/>
  <c r="O10" i="31" s="1"/>
  <c r="J69" i="24"/>
  <c r="I69" i="24"/>
  <c r="H69" i="24"/>
  <c r="G69" i="24"/>
  <c r="F69" i="24"/>
  <c r="E69" i="24"/>
  <c r="O4" i="31" s="1"/>
  <c r="D69" i="24"/>
  <c r="O3" i="31" s="1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I362" i="34" s="1"/>
  <c r="B53" i="24"/>
  <c r="CE51" i="24"/>
  <c r="B49" i="24"/>
  <c r="CE47" i="24"/>
  <c r="C233" i="24" l="1"/>
  <c r="D32" i="6" s="1"/>
  <c r="BK2" i="36"/>
  <c r="AY2" i="36"/>
  <c r="BY69" i="24"/>
  <c r="BS48" i="24"/>
  <c r="BS62" i="24" s="1"/>
  <c r="H70" i="31" s="1"/>
  <c r="BC48" i="24"/>
  <c r="BC62" i="24" s="1"/>
  <c r="BT48" i="24"/>
  <c r="BT62" i="24" s="1"/>
  <c r="K48" i="24"/>
  <c r="K62" i="24" s="1"/>
  <c r="AT48" i="24"/>
  <c r="AT62" i="24" s="1"/>
  <c r="H45" i="31" s="1"/>
  <c r="BQ48" i="24"/>
  <c r="BQ62" i="24" s="1"/>
  <c r="F300" i="34" s="1"/>
  <c r="AZ48" i="24"/>
  <c r="AZ62" i="24" s="1"/>
  <c r="H51" i="31" s="1"/>
  <c r="BB48" i="24"/>
  <c r="BB62" i="24" s="1"/>
  <c r="H53" i="31" s="1"/>
  <c r="E48" i="24"/>
  <c r="E62" i="24" s="1"/>
  <c r="E12" i="34" s="1"/>
  <c r="BV48" i="24"/>
  <c r="BV62" i="24" s="1"/>
  <c r="H73" i="31" s="1"/>
  <c r="I48" i="24"/>
  <c r="I62" i="24" s="1"/>
  <c r="I12" i="34" s="1"/>
  <c r="Z48" i="24"/>
  <c r="Z62" i="24" s="1"/>
  <c r="H25" i="31" s="1"/>
  <c r="G48" i="24"/>
  <c r="G62" i="24" s="1"/>
  <c r="G12" i="34" s="1"/>
  <c r="J48" i="24"/>
  <c r="J62" i="24" s="1"/>
  <c r="H9" i="31" s="1"/>
  <c r="X48" i="24"/>
  <c r="X62" i="24" s="1"/>
  <c r="H23" i="31" s="1"/>
  <c r="AD48" i="24"/>
  <c r="AD62" i="24" s="1"/>
  <c r="H29" i="31" s="1"/>
  <c r="V48" i="24"/>
  <c r="V62" i="24" s="1"/>
  <c r="H21" i="31" s="1"/>
  <c r="Y48" i="24"/>
  <c r="Y62" i="24" s="1"/>
  <c r="H24" i="31" s="1"/>
  <c r="AA48" i="24"/>
  <c r="AA62" i="24" s="1"/>
  <c r="H26" i="31" s="1"/>
  <c r="AG48" i="24"/>
  <c r="AG62" i="24" s="1"/>
  <c r="E140" i="34" s="1"/>
  <c r="CD48" i="24"/>
  <c r="AH48" i="24"/>
  <c r="AH62" i="24" s="1"/>
  <c r="H33" i="31" s="1"/>
  <c r="C48" i="24"/>
  <c r="C62" i="24" s="1"/>
  <c r="AI48" i="24"/>
  <c r="AI62" i="24" s="1"/>
  <c r="G140" i="34" s="1"/>
  <c r="D48" i="24"/>
  <c r="D62" i="24" s="1"/>
  <c r="H3" i="31" s="1"/>
  <c r="AL48" i="24"/>
  <c r="AL62" i="24" s="1"/>
  <c r="C172" i="34" s="1"/>
  <c r="F48" i="24"/>
  <c r="F62" i="24" s="1"/>
  <c r="H5" i="31" s="1"/>
  <c r="AX48" i="24"/>
  <c r="AX62" i="24" s="1"/>
  <c r="H49" i="31" s="1"/>
  <c r="BR48" i="24"/>
  <c r="BR62" i="24" s="1"/>
  <c r="H69" i="31" s="1"/>
  <c r="H48" i="24"/>
  <c r="H62" i="24" s="1"/>
  <c r="H7" i="31" s="1"/>
  <c r="AP48" i="24"/>
  <c r="AP62" i="24" s="1"/>
  <c r="H41" i="31" s="1"/>
  <c r="AW48" i="24"/>
  <c r="AW62" i="24" s="1"/>
  <c r="H48" i="31" s="1"/>
  <c r="R48" i="24"/>
  <c r="R62" i="24" s="1"/>
  <c r="H17" i="31" s="1"/>
  <c r="AY48" i="24"/>
  <c r="AY62" i="24" s="1"/>
  <c r="H50" i="31" s="1"/>
  <c r="W48" i="24"/>
  <c r="W62" i="24" s="1"/>
  <c r="H22" i="31" s="1"/>
  <c r="BA48" i="24"/>
  <c r="BA62" i="24" s="1"/>
  <c r="D236" i="34" s="1"/>
  <c r="BU48" i="24"/>
  <c r="BU62" i="24" s="1"/>
  <c r="C332" i="34" s="1"/>
  <c r="BZ48" i="24"/>
  <c r="BZ62" i="24" s="1"/>
  <c r="H332" i="34" s="1"/>
  <c r="BD48" i="24"/>
  <c r="BD62" i="24" s="1"/>
  <c r="G236" i="34" s="1"/>
  <c r="N48" i="24"/>
  <c r="N62" i="24" s="1"/>
  <c r="H13" i="31" s="1"/>
  <c r="AJ48" i="24"/>
  <c r="AJ62" i="24" s="1"/>
  <c r="H140" i="34" s="1"/>
  <c r="Q48" i="24"/>
  <c r="Q62" i="24" s="1"/>
  <c r="H16" i="31" s="1"/>
  <c r="AK48" i="24"/>
  <c r="AK62" i="24" s="1"/>
  <c r="I140" i="34" s="1"/>
  <c r="BE48" i="24"/>
  <c r="BE62" i="24" s="1"/>
  <c r="H56" i="31" s="1"/>
  <c r="BF48" i="24"/>
  <c r="BF62" i="24" s="1"/>
  <c r="H57" i="31" s="1"/>
  <c r="S48" i="24"/>
  <c r="S62" i="24" s="1"/>
  <c r="H18" i="31" s="1"/>
  <c r="AM48" i="24"/>
  <c r="AM62" i="24" s="1"/>
  <c r="D172" i="34" s="1"/>
  <c r="BG48" i="24"/>
  <c r="BG62" i="24" s="1"/>
  <c r="H58" i="31" s="1"/>
  <c r="T48" i="24"/>
  <c r="T62" i="24" s="1"/>
  <c r="F76" i="34" s="1"/>
  <c r="AN48" i="24"/>
  <c r="AN62" i="24" s="1"/>
  <c r="E172" i="34" s="1"/>
  <c r="BJ48" i="24"/>
  <c r="BJ62" i="24" s="1"/>
  <c r="H61" i="31" s="1"/>
  <c r="U48" i="24"/>
  <c r="U62" i="24" s="1"/>
  <c r="G76" i="34" s="1"/>
  <c r="AO48" i="24"/>
  <c r="AO62" i="24" s="1"/>
  <c r="H40" i="31" s="1"/>
  <c r="BN48" i="24"/>
  <c r="BN62" i="24" s="1"/>
  <c r="H65" i="31" s="1"/>
  <c r="BO48" i="24"/>
  <c r="BO62" i="24" s="1"/>
  <c r="H66" i="31" s="1"/>
  <c r="AQ48" i="24"/>
  <c r="AQ62" i="24" s="1"/>
  <c r="H172" i="34" s="1"/>
  <c r="BP48" i="24"/>
  <c r="BP62" i="24" s="1"/>
  <c r="H67" i="31" s="1"/>
  <c r="D616" i="25"/>
  <c r="D701" i="25" s="1"/>
  <c r="AB48" i="24"/>
  <c r="AB62" i="24" s="1"/>
  <c r="H27" i="31" s="1"/>
  <c r="BW48" i="24"/>
  <c r="BW62" i="24" s="1"/>
  <c r="H74" i="31" s="1"/>
  <c r="L48" i="24"/>
  <c r="L62" i="24" s="1"/>
  <c r="H11" i="31" s="1"/>
  <c r="AR48" i="24"/>
  <c r="AR62" i="24" s="1"/>
  <c r="I172" i="34" s="1"/>
  <c r="BH48" i="24"/>
  <c r="BH62" i="24" s="1"/>
  <c r="D268" i="34" s="1"/>
  <c r="BX48" i="24"/>
  <c r="BX62" i="24" s="1"/>
  <c r="F332" i="34" s="1"/>
  <c r="M48" i="24"/>
  <c r="M62" i="24" s="1"/>
  <c r="F44" i="34" s="1"/>
  <c r="AC48" i="24"/>
  <c r="AC62" i="24" s="1"/>
  <c r="H28" i="31" s="1"/>
  <c r="AS48" i="24"/>
  <c r="AS62" i="24" s="1"/>
  <c r="H44" i="31" s="1"/>
  <c r="BI48" i="24"/>
  <c r="BI62" i="24" s="1"/>
  <c r="H60" i="31" s="1"/>
  <c r="BY48" i="24"/>
  <c r="BY62" i="24" s="1"/>
  <c r="G332" i="34" s="1"/>
  <c r="AE48" i="24"/>
  <c r="AE62" i="24" s="1"/>
  <c r="H30" i="31" s="1"/>
  <c r="O48" i="24"/>
  <c r="O62" i="24" s="1"/>
  <c r="H14" i="31" s="1"/>
  <c r="AU48" i="24"/>
  <c r="AU62" i="24" s="1"/>
  <c r="H46" i="31" s="1"/>
  <c r="BK48" i="24"/>
  <c r="BK62" i="24" s="1"/>
  <c r="G268" i="34" s="1"/>
  <c r="CA48" i="24"/>
  <c r="CA62" i="24" s="1"/>
  <c r="H78" i="31" s="1"/>
  <c r="P48" i="24"/>
  <c r="P62" i="24" s="1"/>
  <c r="I44" i="34" s="1"/>
  <c r="AF48" i="24"/>
  <c r="AF62" i="24" s="1"/>
  <c r="H31" i="31" s="1"/>
  <c r="AV48" i="24"/>
  <c r="AV62" i="24" s="1"/>
  <c r="H47" i="31" s="1"/>
  <c r="BL48" i="24"/>
  <c r="BL62" i="24" s="1"/>
  <c r="H63" i="31" s="1"/>
  <c r="CB48" i="24"/>
  <c r="CB62" i="24" s="1"/>
  <c r="H79" i="31" s="1"/>
  <c r="BM48" i="24"/>
  <c r="BM62" i="24" s="1"/>
  <c r="I268" i="34" s="1"/>
  <c r="CC48" i="24"/>
  <c r="CC62" i="24" s="1"/>
  <c r="D364" i="34" s="1"/>
  <c r="F17" i="15"/>
  <c r="F64" i="15"/>
  <c r="F16" i="15"/>
  <c r="CF90" i="24"/>
  <c r="BX52" i="24" s="1"/>
  <c r="BX67" i="24" s="1"/>
  <c r="F35" i="15"/>
  <c r="H51" i="15"/>
  <c r="I51" i="15" s="1"/>
  <c r="BH52" i="24"/>
  <c r="BH67" i="24" s="1"/>
  <c r="F44" i="15"/>
  <c r="F69" i="15"/>
  <c r="F37" i="15"/>
  <c r="F43" i="15"/>
  <c r="F52" i="15"/>
  <c r="F53" i="15"/>
  <c r="F54" i="15"/>
  <c r="H59" i="15"/>
  <c r="I59" i="15" s="1"/>
  <c r="F24" i="15"/>
  <c r="H55" i="15"/>
  <c r="I55" i="15" s="1"/>
  <c r="C649" i="25"/>
  <c r="M717" i="25" s="1"/>
  <c r="H18" i="15"/>
  <c r="I18" i="15" s="1"/>
  <c r="F29" i="15"/>
  <c r="F39" i="15"/>
  <c r="F612" i="24"/>
  <c r="D698" i="25"/>
  <c r="I612" i="24"/>
  <c r="C115" i="34"/>
  <c r="D642" i="25"/>
  <c r="H47" i="15"/>
  <c r="I47" i="15" s="1"/>
  <c r="D258" i="24"/>
  <c r="F41" i="15"/>
  <c r="F45" i="15"/>
  <c r="F22" i="15"/>
  <c r="H612" i="24"/>
  <c r="H26" i="15"/>
  <c r="I26" i="15" s="1"/>
  <c r="F63" i="15"/>
  <c r="D634" i="25"/>
  <c r="D679" i="25"/>
  <c r="H57" i="15"/>
  <c r="I57" i="15" s="1"/>
  <c r="H49" i="15"/>
  <c r="I49" i="15" s="1"/>
  <c r="F33" i="15"/>
  <c r="F42" i="15"/>
  <c r="H46" i="15"/>
  <c r="I46" i="15" s="1"/>
  <c r="D682" i="25"/>
  <c r="O42" i="31"/>
  <c r="AE46" i="31"/>
  <c r="E122" i="34"/>
  <c r="I243" i="34"/>
  <c r="F20" i="15"/>
  <c r="F28" i="15"/>
  <c r="D638" i="25"/>
  <c r="F65" i="15"/>
  <c r="D416" i="24"/>
  <c r="E414" i="24" s="1"/>
  <c r="D639" i="25"/>
  <c r="D685" i="25"/>
  <c r="F30" i="15"/>
  <c r="D647" i="25"/>
  <c r="O11" i="31"/>
  <c r="E51" i="34"/>
  <c r="O27" i="31"/>
  <c r="G115" i="34"/>
  <c r="O43" i="31"/>
  <c r="I179" i="34"/>
  <c r="O59" i="31"/>
  <c r="D275" i="34"/>
  <c r="O75" i="31"/>
  <c r="F339" i="34"/>
  <c r="D308" i="24"/>
  <c r="O29" i="31"/>
  <c r="I115" i="34"/>
  <c r="F11" i="6"/>
  <c r="E220" i="24"/>
  <c r="F16" i="6" s="1"/>
  <c r="AE3" i="31"/>
  <c r="D26" i="34"/>
  <c r="AE19" i="31"/>
  <c r="F90" i="34"/>
  <c r="AE35" i="31"/>
  <c r="H154" i="34"/>
  <c r="AE36" i="31"/>
  <c r="I154" i="34"/>
  <c r="O61" i="31"/>
  <c r="F275" i="34"/>
  <c r="AE20" i="31"/>
  <c r="G90" i="34"/>
  <c r="O77" i="31"/>
  <c r="H339" i="34"/>
  <c r="CE69" i="24"/>
  <c r="I371" i="34" s="1"/>
  <c r="AE4" i="31"/>
  <c r="E26" i="34"/>
  <c r="C236" i="34"/>
  <c r="O13" i="31"/>
  <c r="G51" i="34"/>
  <c r="E90" i="34"/>
  <c r="AE18" i="31"/>
  <c r="H54" i="31"/>
  <c r="F236" i="34"/>
  <c r="AE34" i="31"/>
  <c r="G154" i="34"/>
  <c r="H71" i="31"/>
  <c r="I300" i="34"/>
  <c r="F23" i="15"/>
  <c r="C68" i="8"/>
  <c r="F31" i="6"/>
  <c r="E233" i="24"/>
  <c r="F32" i="6" s="1"/>
  <c r="G19" i="4"/>
  <c r="E19" i="4"/>
  <c r="I381" i="34"/>
  <c r="G612" i="24"/>
  <c r="O45" i="31"/>
  <c r="D211" i="34"/>
  <c r="AE2" i="31"/>
  <c r="C26" i="34"/>
  <c r="CE89" i="24"/>
  <c r="O14" i="31"/>
  <c r="H51" i="34"/>
  <c r="G275" i="34"/>
  <c r="O62" i="31"/>
  <c r="I339" i="34"/>
  <c r="O78" i="31"/>
  <c r="AE21" i="31"/>
  <c r="H90" i="34"/>
  <c r="AE37" i="31"/>
  <c r="C186" i="34"/>
  <c r="BK2" i="30"/>
  <c r="AE42" i="31"/>
  <c r="O15" i="31"/>
  <c r="I51" i="34"/>
  <c r="I90" i="34"/>
  <c r="AE22" i="31"/>
  <c r="H10" i="31"/>
  <c r="D44" i="34"/>
  <c r="O2" i="31"/>
  <c r="C19" i="34"/>
  <c r="E83" i="34"/>
  <c r="O18" i="31"/>
  <c r="O34" i="31"/>
  <c r="G147" i="34"/>
  <c r="O50" i="31"/>
  <c r="I211" i="34"/>
  <c r="D307" i="34"/>
  <c r="O66" i="31"/>
  <c r="D367" i="24"/>
  <c r="O31" i="31"/>
  <c r="D147" i="34"/>
  <c r="AE38" i="31"/>
  <c r="D186" i="34"/>
  <c r="H50" i="15"/>
  <c r="I50" i="15" s="1"/>
  <c r="F50" i="15"/>
  <c r="O67" i="31"/>
  <c r="E307" i="34"/>
  <c r="D58" i="34"/>
  <c r="AE10" i="31"/>
  <c r="AE26" i="31"/>
  <c r="F122" i="34"/>
  <c r="L612" i="24"/>
  <c r="F26" i="34"/>
  <c r="D90" i="34"/>
  <c r="O63" i="31"/>
  <c r="H275" i="34"/>
  <c r="O33" i="31"/>
  <c r="F147" i="34"/>
  <c r="F15" i="15"/>
  <c r="O47" i="31"/>
  <c r="F211" i="34"/>
  <c r="D371" i="34"/>
  <c r="O80" i="31"/>
  <c r="O19" i="31"/>
  <c r="F83" i="34"/>
  <c r="O20" i="31"/>
  <c r="G83" i="34"/>
  <c r="AE11" i="31"/>
  <c r="E58" i="34"/>
  <c r="O5" i="31"/>
  <c r="F19" i="34"/>
  <c r="O21" i="31"/>
  <c r="H83" i="34"/>
  <c r="O37" i="31"/>
  <c r="C179" i="34"/>
  <c r="O53" i="31"/>
  <c r="E243" i="34"/>
  <c r="O69" i="31"/>
  <c r="G307" i="34"/>
  <c r="AE12" i="31"/>
  <c r="F58" i="34"/>
  <c r="AE28" i="31"/>
  <c r="H122" i="34"/>
  <c r="AE44" i="31"/>
  <c r="C218" i="34"/>
  <c r="D383" i="24"/>
  <c r="C137" i="8" s="1"/>
  <c r="C615" i="24"/>
  <c r="F21" i="15"/>
  <c r="O16" i="31"/>
  <c r="C83" i="34"/>
  <c r="O17" i="31"/>
  <c r="D83" i="34"/>
  <c r="O46" i="31"/>
  <c r="AE43" i="31"/>
  <c r="I186" i="34"/>
  <c r="G19" i="34"/>
  <c r="O6" i="31"/>
  <c r="O22" i="31"/>
  <c r="I83" i="34"/>
  <c r="D179" i="34"/>
  <c r="O38" i="31"/>
  <c r="F243" i="34"/>
  <c r="O54" i="31"/>
  <c r="O70" i="31"/>
  <c r="H307" i="34"/>
  <c r="AE13" i="31"/>
  <c r="G58" i="34"/>
  <c r="AE45" i="31"/>
  <c r="D218" i="34"/>
  <c r="G10" i="4"/>
  <c r="H19" i="15"/>
  <c r="I19" i="15" s="1"/>
  <c r="F19" i="15"/>
  <c r="H27" i="15"/>
  <c r="I27" i="15" s="1"/>
  <c r="F27" i="15"/>
  <c r="O35" i="31"/>
  <c r="H147" i="34"/>
  <c r="O52" i="31"/>
  <c r="D243" i="34"/>
  <c r="O7" i="31"/>
  <c r="H19" i="34"/>
  <c r="O39" i="31"/>
  <c r="E179" i="34"/>
  <c r="O55" i="31"/>
  <c r="G243" i="34"/>
  <c r="O71" i="31"/>
  <c r="I307" i="34"/>
  <c r="CD85" i="24"/>
  <c r="AE14" i="31"/>
  <c r="H58" i="34"/>
  <c r="C154" i="34"/>
  <c r="AE30" i="31"/>
  <c r="C371" i="34"/>
  <c r="O79" i="31"/>
  <c r="O64" i="31"/>
  <c r="I275" i="34"/>
  <c r="C113" i="8"/>
  <c r="AE24" i="31"/>
  <c r="D122" i="34"/>
  <c r="O51" i="31"/>
  <c r="C243" i="34"/>
  <c r="O36" i="31"/>
  <c r="I147" i="34"/>
  <c r="O8" i="31"/>
  <c r="I19" i="34"/>
  <c r="O24" i="31"/>
  <c r="D115" i="34"/>
  <c r="O40" i="31"/>
  <c r="F179" i="34"/>
  <c r="O56" i="31"/>
  <c r="H243" i="34"/>
  <c r="O72" i="31"/>
  <c r="C339" i="34"/>
  <c r="AE15" i="31"/>
  <c r="I58" i="34"/>
  <c r="AE31" i="31"/>
  <c r="D154" i="34"/>
  <c r="AE47" i="31"/>
  <c r="F218" i="34"/>
  <c r="D19" i="34"/>
  <c r="G122" i="34"/>
  <c r="C147" i="34"/>
  <c r="G26" i="34"/>
  <c r="AE6" i="31"/>
  <c r="O32" i="31"/>
  <c r="E147" i="34"/>
  <c r="O49" i="31"/>
  <c r="H211" i="34"/>
  <c r="AE8" i="31"/>
  <c r="I26" i="34"/>
  <c r="J612" i="24"/>
  <c r="O9" i="31"/>
  <c r="C51" i="34"/>
  <c r="O25" i="31"/>
  <c r="E115" i="34"/>
  <c r="O41" i="31"/>
  <c r="G179" i="34"/>
  <c r="O73" i="31"/>
  <c r="D339" i="34"/>
  <c r="AE16" i="31"/>
  <c r="C90" i="34"/>
  <c r="AE32" i="31"/>
  <c r="E154" i="34"/>
  <c r="E19" i="34"/>
  <c r="I122" i="34"/>
  <c r="O48" i="31"/>
  <c r="G211" i="34"/>
  <c r="O65" i="31"/>
  <c r="C307" i="34"/>
  <c r="AE40" i="31"/>
  <c r="F186" i="34"/>
  <c r="O68" i="31"/>
  <c r="F307" i="34"/>
  <c r="AE33" i="31"/>
  <c r="F154" i="34"/>
  <c r="I380" i="34"/>
  <c r="D612" i="24"/>
  <c r="F36" i="15"/>
  <c r="H26" i="34"/>
  <c r="DF2" i="30"/>
  <c r="H34" i="15"/>
  <c r="I34" i="15" s="1"/>
  <c r="F34" i="15"/>
  <c r="D51" i="34"/>
  <c r="F51" i="34"/>
  <c r="F48" i="15"/>
  <c r="F58" i="15"/>
  <c r="O26" i="31"/>
  <c r="F115" i="34"/>
  <c r="O58" i="31"/>
  <c r="C275" i="34"/>
  <c r="O74" i="31"/>
  <c r="E339" i="34"/>
  <c r="AE39" i="31"/>
  <c r="E186" i="34"/>
  <c r="G28" i="4"/>
  <c r="E28" i="4"/>
  <c r="CF2" i="36"/>
  <c r="D5" i="7"/>
  <c r="D341" i="24"/>
  <c r="C87" i="8" s="1"/>
  <c r="H38" i="15"/>
  <c r="I38" i="15" s="1"/>
  <c r="F38" i="15"/>
  <c r="C122" i="34"/>
  <c r="O28" i="31"/>
  <c r="H115" i="34"/>
  <c r="O44" i="31"/>
  <c r="C211" i="34"/>
  <c r="O60" i="31"/>
  <c r="E275" i="34"/>
  <c r="O76" i="31"/>
  <c r="G339" i="34"/>
  <c r="AE9" i="31"/>
  <c r="C58" i="34"/>
  <c r="AE41" i="31"/>
  <c r="G186" i="34"/>
  <c r="F25" i="15"/>
  <c r="C716" i="25"/>
  <c r="D705" i="25"/>
  <c r="D689" i="25"/>
  <c r="D673" i="25"/>
  <c r="D617" i="25"/>
  <c r="D702" i="25"/>
  <c r="D686" i="25"/>
  <c r="D670" i="25"/>
  <c r="D628" i="25"/>
  <c r="D699" i="25"/>
  <c r="D683" i="25"/>
  <c r="D624" i="25"/>
  <c r="D712" i="25"/>
  <c r="D680" i="25"/>
  <c r="D709" i="25"/>
  <c r="D693" i="25"/>
  <c r="D677" i="25"/>
  <c r="D623" i="25"/>
  <c r="D706" i="25"/>
  <c r="D690" i="25"/>
  <c r="D674" i="25"/>
  <c r="D703" i="25"/>
  <c r="D687" i="25"/>
  <c r="D671" i="25"/>
  <c r="D648" i="25"/>
  <c r="D646" i="25"/>
  <c r="D630" i="25"/>
  <c r="D627" i="25"/>
  <c r="D713" i="25"/>
  <c r="D697" i="25"/>
  <c r="D681" i="25"/>
  <c r="D621" i="25"/>
  <c r="D710" i="25"/>
  <c r="D694" i="25"/>
  <c r="D678" i="25"/>
  <c r="D707" i="25"/>
  <c r="D691" i="25"/>
  <c r="D675" i="25"/>
  <c r="D620" i="25"/>
  <c r="D704" i="25"/>
  <c r="D688" i="25"/>
  <c r="D672" i="25"/>
  <c r="D626" i="25"/>
  <c r="D711" i="25"/>
  <c r="D632" i="25"/>
  <c r="D692" i="25"/>
  <c r="D618" i="25"/>
  <c r="D636" i="25"/>
  <c r="D640" i="25"/>
  <c r="D644" i="25"/>
  <c r="D684" i="25"/>
  <c r="D669" i="25"/>
  <c r="D708" i="25"/>
  <c r="D619" i="25"/>
  <c r="D633" i="25"/>
  <c r="D637" i="25"/>
  <c r="D641" i="25"/>
  <c r="D645" i="25"/>
  <c r="D717" i="25"/>
  <c r="H8" i="31" l="1"/>
  <c r="H68" i="31"/>
  <c r="D204" i="34"/>
  <c r="D635" i="25"/>
  <c r="BT52" i="24"/>
  <c r="BT67" i="24" s="1"/>
  <c r="M71" i="31" s="1"/>
  <c r="D695" i="25"/>
  <c r="D643" i="25"/>
  <c r="D625" i="25"/>
  <c r="H300" i="34"/>
  <c r="D629" i="25"/>
  <c r="D631" i="25"/>
  <c r="D700" i="25"/>
  <c r="D676" i="25"/>
  <c r="D622" i="25"/>
  <c r="D696" i="25"/>
  <c r="D714" i="25"/>
  <c r="H4" i="31"/>
  <c r="BS52" i="24"/>
  <c r="BS67" i="24" s="1"/>
  <c r="BS85" i="24" s="1"/>
  <c r="H309" i="34" s="1"/>
  <c r="BR52" i="24"/>
  <c r="BR67" i="24" s="1"/>
  <c r="G305" i="34" s="1"/>
  <c r="AL52" i="24"/>
  <c r="AL67" i="24" s="1"/>
  <c r="M37" i="31" s="1"/>
  <c r="F52" i="24"/>
  <c r="F67" i="24" s="1"/>
  <c r="E108" i="34"/>
  <c r="D332" i="34"/>
  <c r="E236" i="34"/>
  <c r="H6" i="31"/>
  <c r="C44" i="34"/>
  <c r="H19" i="31"/>
  <c r="H37" i="31"/>
  <c r="H43" i="31"/>
  <c r="D108" i="34"/>
  <c r="C204" i="34"/>
  <c r="C108" i="34"/>
  <c r="I204" i="34"/>
  <c r="I108" i="34"/>
  <c r="F108" i="34"/>
  <c r="D52" i="24"/>
  <c r="D67" i="24" s="1"/>
  <c r="M3" i="31" s="1"/>
  <c r="E52" i="24"/>
  <c r="E67" i="24" s="1"/>
  <c r="E17" i="34" s="1"/>
  <c r="BA52" i="24"/>
  <c r="BA67" i="24" s="1"/>
  <c r="D241" i="34" s="1"/>
  <c r="D12" i="34"/>
  <c r="H76" i="34"/>
  <c r="H72" i="31"/>
  <c r="H32" i="31"/>
  <c r="R52" i="24"/>
  <c r="R67" i="24" s="1"/>
  <c r="M17" i="31" s="1"/>
  <c r="BF52" i="24"/>
  <c r="BF67" i="24" s="1"/>
  <c r="M57" i="31" s="1"/>
  <c r="T52" i="24"/>
  <c r="T67" i="24" s="1"/>
  <c r="F81" i="34" s="1"/>
  <c r="AV52" i="24"/>
  <c r="AV67" i="24" s="1"/>
  <c r="M47" i="31" s="1"/>
  <c r="BU52" i="24"/>
  <c r="BU67" i="24" s="1"/>
  <c r="M72" i="31" s="1"/>
  <c r="AF52" i="24"/>
  <c r="AF67" i="24" s="1"/>
  <c r="AF85" i="24" s="1"/>
  <c r="D149" i="34" s="1"/>
  <c r="BE52" i="24"/>
  <c r="BE67" i="24" s="1"/>
  <c r="BE85" i="24" s="1"/>
  <c r="H245" i="34" s="1"/>
  <c r="P52" i="24"/>
  <c r="P67" i="24" s="1"/>
  <c r="M15" i="31" s="1"/>
  <c r="Y52" i="24"/>
  <c r="Y67" i="24" s="1"/>
  <c r="Y85" i="24" s="1"/>
  <c r="BQ52" i="24"/>
  <c r="BQ67" i="24" s="1"/>
  <c r="M68" i="31" s="1"/>
  <c r="H204" i="34"/>
  <c r="D300" i="34"/>
  <c r="H34" i="31"/>
  <c r="H77" i="31"/>
  <c r="F172" i="34"/>
  <c r="H12" i="31"/>
  <c r="H55" i="31"/>
  <c r="F85" i="24"/>
  <c r="C671" i="24" s="1"/>
  <c r="H12" i="34"/>
  <c r="G172" i="34"/>
  <c r="C364" i="34"/>
  <c r="I332" i="34"/>
  <c r="H38" i="31"/>
  <c r="F12" i="34"/>
  <c r="F140" i="34"/>
  <c r="H59" i="31"/>
  <c r="I236" i="34"/>
  <c r="G300" i="34"/>
  <c r="H42" i="31"/>
  <c r="C300" i="34"/>
  <c r="H35" i="31"/>
  <c r="H39" i="31"/>
  <c r="G204" i="34"/>
  <c r="D76" i="34"/>
  <c r="H52" i="31"/>
  <c r="T85" i="24"/>
  <c r="C685" i="24" s="1"/>
  <c r="I76" i="34"/>
  <c r="F204" i="34"/>
  <c r="E332" i="34"/>
  <c r="H15" i="31"/>
  <c r="G44" i="34"/>
  <c r="G108" i="34"/>
  <c r="E300" i="34"/>
  <c r="H64" i="31"/>
  <c r="H44" i="34"/>
  <c r="D140" i="34"/>
  <c r="H80" i="31"/>
  <c r="E268" i="34"/>
  <c r="F268" i="34"/>
  <c r="H20" i="31"/>
  <c r="E76" i="34"/>
  <c r="H108" i="34"/>
  <c r="BH85" i="24"/>
  <c r="D277" i="34" s="1"/>
  <c r="C268" i="34"/>
  <c r="H36" i="31"/>
  <c r="H75" i="31"/>
  <c r="H236" i="34"/>
  <c r="C76" i="34"/>
  <c r="H268" i="34"/>
  <c r="H62" i="31"/>
  <c r="AI52" i="24"/>
  <c r="AI67" i="24" s="1"/>
  <c r="G145" i="34" s="1"/>
  <c r="BP52" i="24"/>
  <c r="BP67" i="24" s="1"/>
  <c r="BP85" i="24" s="1"/>
  <c r="E309" i="34" s="1"/>
  <c r="BK52" i="24"/>
  <c r="BK67" i="24" s="1"/>
  <c r="M62" i="31" s="1"/>
  <c r="BD52" i="24"/>
  <c r="BD67" i="24" s="1"/>
  <c r="M55" i="31" s="1"/>
  <c r="CD52" i="24"/>
  <c r="AU52" i="24"/>
  <c r="AU67" i="24" s="1"/>
  <c r="E209" i="34" s="1"/>
  <c r="E44" i="34"/>
  <c r="E204" i="34"/>
  <c r="AN52" i="24"/>
  <c r="AN67" i="24" s="1"/>
  <c r="M39" i="31" s="1"/>
  <c r="BN52" i="24"/>
  <c r="BN67" i="24" s="1"/>
  <c r="C305" i="34" s="1"/>
  <c r="AE52" i="24"/>
  <c r="AE67" i="24" s="1"/>
  <c r="C145" i="34" s="1"/>
  <c r="H52" i="24"/>
  <c r="H67" i="24" s="1"/>
  <c r="H85" i="24" s="1"/>
  <c r="H21" i="34" s="1"/>
  <c r="AX52" i="24"/>
  <c r="AX67" i="24" s="1"/>
  <c r="AX85" i="24" s="1"/>
  <c r="C616" i="24" s="1"/>
  <c r="O52" i="24"/>
  <c r="O67" i="24" s="1"/>
  <c r="M14" i="31" s="1"/>
  <c r="CE48" i="24"/>
  <c r="AH52" i="24"/>
  <c r="AH67" i="24" s="1"/>
  <c r="AH85" i="24" s="1"/>
  <c r="F149" i="34" s="1"/>
  <c r="AD52" i="24"/>
  <c r="AD67" i="24" s="1"/>
  <c r="AD85" i="24" s="1"/>
  <c r="I117" i="34" s="1"/>
  <c r="H76" i="31"/>
  <c r="BC52" i="24"/>
  <c r="BC67" i="24" s="1"/>
  <c r="M54" i="31" s="1"/>
  <c r="BM52" i="24"/>
  <c r="BM67" i="24" s="1"/>
  <c r="I273" i="34" s="1"/>
  <c r="M52" i="24"/>
  <c r="M67" i="24" s="1"/>
  <c r="M85" i="24" s="1"/>
  <c r="C678" i="24" s="1"/>
  <c r="C140" i="34"/>
  <c r="W52" i="24"/>
  <c r="W67" i="24" s="1"/>
  <c r="W85" i="24" s="1"/>
  <c r="C35" i="15" s="1"/>
  <c r="AW52" i="24"/>
  <c r="AW67" i="24" s="1"/>
  <c r="AW85" i="24" s="1"/>
  <c r="G213" i="34" s="1"/>
  <c r="G52" i="24"/>
  <c r="G67" i="24" s="1"/>
  <c r="G17" i="34" s="1"/>
  <c r="AG52" i="24"/>
  <c r="AG67" i="24" s="1"/>
  <c r="AG85" i="24" s="1"/>
  <c r="C45" i="15" s="1"/>
  <c r="L52" i="24"/>
  <c r="L67" i="24" s="1"/>
  <c r="E49" i="34" s="1"/>
  <c r="S52" i="24"/>
  <c r="S67" i="24" s="1"/>
  <c r="E81" i="34" s="1"/>
  <c r="X52" i="24"/>
  <c r="X67" i="24" s="1"/>
  <c r="C113" i="34" s="1"/>
  <c r="C52" i="24"/>
  <c r="C67" i="24" s="1"/>
  <c r="M2" i="31" s="1"/>
  <c r="CA52" i="24"/>
  <c r="CA67" i="24" s="1"/>
  <c r="M78" i="31" s="1"/>
  <c r="BI52" i="24"/>
  <c r="BI67" i="24" s="1"/>
  <c r="E273" i="34" s="1"/>
  <c r="M75" i="31"/>
  <c r="BX85" i="24"/>
  <c r="F341" i="34" s="1"/>
  <c r="F337" i="34"/>
  <c r="F17" i="34"/>
  <c r="D273" i="34"/>
  <c r="M59" i="31"/>
  <c r="M5" i="31"/>
  <c r="M70" i="31"/>
  <c r="AL85" i="24"/>
  <c r="C703" i="24" s="1"/>
  <c r="H305" i="34"/>
  <c r="BV52" i="24"/>
  <c r="BV67" i="24" s="1"/>
  <c r="AS52" i="24"/>
  <c r="AS67" i="24" s="1"/>
  <c r="AR52" i="24"/>
  <c r="AR67" i="24" s="1"/>
  <c r="AQ52" i="24"/>
  <c r="AQ67" i="24" s="1"/>
  <c r="AC52" i="24"/>
  <c r="AC67" i="24" s="1"/>
  <c r="BG52" i="24"/>
  <c r="BG67" i="24" s="1"/>
  <c r="AP52" i="24"/>
  <c r="AP67" i="24" s="1"/>
  <c r="AM52" i="24"/>
  <c r="AM67" i="24" s="1"/>
  <c r="M38" i="31" s="1"/>
  <c r="BO52" i="24"/>
  <c r="BO67" i="24" s="1"/>
  <c r="Q52" i="24"/>
  <c r="Q67" i="24" s="1"/>
  <c r="AB52" i="24"/>
  <c r="AB67" i="24" s="1"/>
  <c r="Z52" i="24"/>
  <c r="Z67" i="24" s="1"/>
  <c r="Z85" i="24" s="1"/>
  <c r="E117" i="34" s="1"/>
  <c r="V52" i="24"/>
  <c r="V67" i="24" s="1"/>
  <c r="CC52" i="24"/>
  <c r="CC67" i="24" s="1"/>
  <c r="BZ52" i="24"/>
  <c r="BZ67" i="24" s="1"/>
  <c r="AA52" i="24"/>
  <c r="AA67" i="24" s="1"/>
  <c r="J52" i="24"/>
  <c r="J67" i="24" s="1"/>
  <c r="C49" i="34" s="1"/>
  <c r="U52" i="24"/>
  <c r="U67" i="24" s="1"/>
  <c r="BB52" i="24"/>
  <c r="BB67" i="24" s="1"/>
  <c r="AT52" i="24"/>
  <c r="AT67" i="24" s="1"/>
  <c r="K52" i="24"/>
  <c r="K67" i="24" s="1"/>
  <c r="AO52" i="24"/>
  <c r="AO67" i="24" s="1"/>
  <c r="AJ52" i="24"/>
  <c r="AJ67" i="24" s="1"/>
  <c r="AK52" i="24"/>
  <c r="AK67" i="24" s="1"/>
  <c r="CB52" i="24"/>
  <c r="CB67" i="24" s="1"/>
  <c r="N52" i="24"/>
  <c r="N67" i="24" s="1"/>
  <c r="N85" i="24" s="1"/>
  <c r="BY52" i="24"/>
  <c r="BY67" i="24" s="1"/>
  <c r="C177" i="34"/>
  <c r="M4" i="31"/>
  <c r="I52" i="24"/>
  <c r="I67" i="24" s="1"/>
  <c r="AY52" i="24"/>
  <c r="AY67" i="24" s="1"/>
  <c r="AZ52" i="24"/>
  <c r="AZ67" i="24" s="1"/>
  <c r="BL52" i="24"/>
  <c r="BL67" i="24" s="1"/>
  <c r="BJ52" i="24"/>
  <c r="BJ67" i="24" s="1"/>
  <c r="BW52" i="24"/>
  <c r="BW67" i="24" s="1"/>
  <c r="D85" i="24"/>
  <c r="C16" i="15" s="1"/>
  <c r="G16" i="15" s="1"/>
  <c r="E85" i="24"/>
  <c r="E21" i="34" s="1"/>
  <c r="D17" i="34"/>
  <c r="M52" i="31"/>
  <c r="D350" i="24"/>
  <c r="C167" i="8"/>
  <c r="D27" i="33"/>
  <c r="D716" i="25"/>
  <c r="D12" i="33"/>
  <c r="I378" i="34"/>
  <c r="K612" i="24"/>
  <c r="C639" i="24"/>
  <c r="C121" i="8"/>
  <c r="D384" i="24"/>
  <c r="E624" i="25"/>
  <c r="C50" i="8"/>
  <c r="D352" i="24"/>
  <c r="C103" i="8" s="1"/>
  <c r="H2" i="31"/>
  <c r="CE62" i="24"/>
  <c r="I364" i="34" s="1"/>
  <c r="C12" i="34"/>
  <c r="E373" i="34"/>
  <c r="C94" i="15"/>
  <c r="G94" i="15" s="1"/>
  <c r="E613" i="25"/>
  <c r="E380" i="24"/>
  <c r="I305" i="34" l="1"/>
  <c r="BT85" i="24"/>
  <c r="I309" i="34" s="1"/>
  <c r="C83" i="15"/>
  <c r="G83" i="15" s="1"/>
  <c r="BR85" i="24"/>
  <c r="G309" i="34" s="1"/>
  <c r="M69" i="31"/>
  <c r="R85" i="24"/>
  <c r="C30" i="15" s="1"/>
  <c r="M67" i="31"/>
  <c r="D81" i="34"/>
  <c r="M31" i="31"/>
  <c r="G209" i="34"/>
  <c r="M19" i="31"/>
  <c r="D145" i="34"/>
  <c r="G241" i="34"/>
  <c r="M46" i="31"/>
  <c r="BF85" i="24"/>
  <c r="I245" i="34" s="1"/>
  <c r="BA85" i="24"/>
  <c r="D245" i="34" s="1"/>
  <c r="F21" i="34"/>
  <c r="C18" i="15"/>
  <c r="G18" i="15" s="1"/>
  <c r="C84" i="15"/>
  <c r="G84" i="15" s="1"/>
  <c r="M12" i="31"/>
  <c r="F49" i="34"/>
  <c r="BD85" i="24"/>
  <c r="G245" i="34" s="1"/>
  <c r="M56" i="31"/>
  <c r="BU85" i="24"/>
  <c r="C341" i="34" s="1"/>
  <c r="F241" i="34"/>
  <c r="H241" i="34"/>
  <c r="C337" i="34"/>
  <c r="M48" i="31"/>
  <c r="BC85" i="24"/>
  <c r="C67" i="15" s="1"/>
  <c r="G67" i="15" s="1"/>
  <c r="I241" i="34"/>
  <c r="I49" i="34"/>
  <c r="BM85" i="24"/>
  <c r="I277" i="34" s="1"/>
  <c r="AV85" i="24"/>
  <c r="C60" i="15" s="1"/>
  <c r="F209" i="34"/>
  <c r="M64" i="31"/>
  <c r="D117" i="34"/>
  <c r="C37" i="15"/>
  <c r="BQ85" i="24"/>
  <c r="F309" i="34" s="1"/>
  <c r="F305" i="34"/>
  <c r="M22" i="31"/>
  <c r="M24" i="31"/>
  <c r="C640" i="24"/>
  <c r="P85" i="24"/>
  <c r="I53" i="34" s="1"/>
  <c r="C72" i="15"/>
  <c r="G72" i="15" s="1"/>
  <c r="D113" i="34"/>
  <c r="BK85" i="24"/>
  <c r="G277" i="34" s="1"/>
  <c r="C636" i="24"/>
  <c r="F85" i="34"/>
  <c r="C690" i="24"/>
  <c r="C697" i="24"/>
  <c r="C44" i="15"/>
  <c r="G44" i="15" s="1"/>
  <c r="C32" i="15"/>
  <c r="G32" i="15" s="1"/>
  <c r="M29" i="31"/>
  <c r="I113" i="34"/>
  <c r="BN85" i="24"/>
  <c r="C619" i="24" s="1"/>
  <c r="M60" i="31"/>
  <c r="AI85" i="24"/>
  <c r="C700" i="24" s="1"/>
  <c r="M18" i="31"/>
  <c r="M34" i="31"/>
  <c r="H17" i="34"/>
  <c r="M33" i="31"/>
  <c r="F145" i="34"/>
  <c r="I81" i="34"/>
  <c r="AU85" i="24"/>
  <c r="C712" i="24" s="1"/>
  <c r="G273" i="34"/>
  <c r="C699" i="24"/>
  <c r="C62" i="15"/>
  <c r="C614" i="24"/>
  <c r="D615" i="24" s="1"/>
  <c r="C69" i="15"/>
  <c r="G69" i="15" s="1"/>
  <c r="H69" i="15" s="1"/>
  <c r="I69" i="15" s="1"/>
  <c r="C46" i="15"/>
  <c r="G46" i="15" s="1"/>
  <c r="C631" i="24"/>
  <c r="C61" i="15"/>
  <c r="H213" i="34"/>
  <c r="F53" i="34"/>
  <c r="C673" i="24"/>
  <c r="C25" i="15"/>
  <c r="G25" i="15" s="1"/>
  <c r="C695" i="24"/>
  <c r="C42" i="15"/>
  <c r="G42" i="15" s="1"/>
  <c r="C80" i="15"/>
  <c r="G80" i="15" s="1"/>
  <c r="C621" i="24"/>
  <c r="I85" i="34"/>
  <c r="H49" i="34"/>
  <c r="M30" i="31"/>
  <c r="M49" i="31"/>
  <c r="L85" i="24"/>
  <c r="E53" i="34" s="1"/>
  <c r="C20" i="15"/>
  <c r="G20" i="15" s="1"/>
  <c r="CA85" i="24"/>
  <c r="C647" i="24" s="1"/>
  <c r="H209" i="34"/>
  <c r="M11" i="31"/>
  <c r="O85" i="24"/>
  <c r="H53" i="34" s="1"/>
  <c r="G45" i="15"/>
  <c r="H45" i="15" s="1"/>
  <c r="I45" i="15" s="1"/>
  <c r="M6" i="31"/>
  <c r="I337" i="34"/>
  <c r="X85" i="24"/>
  <c r="C117" i="34" s="1"/>
  <c r="M32" i="31"/>
  <c r="C85" i="24"/>
  <c r="C15" i="15" s="1"/>
  <c r="G15" i="15" s="1"/>
  <c r="M65" i="31"/>
  <c r="M7" i="31"/>
  <c r="M23" i="31"/>
  <c r="C17" i="34"/>
  <c r="AE85" i="24"/>
  <c r="C43" i="15" s="1"/>
  <c r="G43" i="15" s="1"/>
  <c r="C698" i="24"/>
  <c r="AN85" i="24"/>
  <c r="E181" i="34" s="1"/>
  <c r="C688" i="24"/>
  <c r="E177" i="34"/>
  <c r="G85" i="24"/>
  <c r="C672" i="24" s="1"/>
  <c r="E149" i="34"/>
  <c r="E145" i="34"/>
  <c r="E305" i="34"/>
  <c r="S85" i="24"/>
  <c r="C88" i="15"/>
  <c r="G88" i="15" s="1"/>
  <c r="C644" i="24"/>
  <c r="BI85" i="24"/>
  <c r="C73" i="15" s="1"/>
  <c r="G73" i="15" s="1"/>
  <c r="CE67" i="24"/>
  <c r="I369" i="34" s="1"/>
  <c r="CE52" i="24"/>
  <c r="C624" i="24"/>
  <c r="C68" i="15"/>
  <c r="G68" i="15" s="1"/>
  <c r="C82" i="15"/>
  <c r="G82" i="15" s="1"/>
  <c r="E113" i="34"/>
  <c r="C181" i="34"/>
  <c r="C50" i="15"/>
  <c r="G50" i="15" s="1"/>
  <c r="C38" i="15"/>
  <c r="G38" i="15" s="1"/>
  <c r="C626" i="24"/>
  <c r="C17" i="15"/>
  <c r="G17" i="15" s="1"/>
  <c r="C670" i="24"/>
  <c r="C691" i="24"/>
  <c r="I145" i="34"/>
  <c r="M36" i="31"/>
  <c r="AK85" i="24"/>
  <c r="AA85" i="24"/>
  <c r="M26" i="31"/>
  <c r="F113" i="34"/>
  <c r="G177" i="34"/>
  <c r="M41" i="31"/>
  <c r="M40" i="31"/>
  <c r="AO85" i="24"/>
  <c r="F177" i="34"/>
  <c r="CC85" i="24"/>
  <c r="M80" i="31"/>
  <c r="D369" i="34"/>
  <c r="BG85" i="24"/>
  <c r="C273" i="34"/>
  <c r="M58" i="31"/>
  <c r="V85" i="24"/>
  <c r="H81" i="34"/>
  <c r="M21" i="31"/>
  <c r="AC85" i="24"/>
  <c r="M28" i="31"/>
  <c r="H113" i="34"/>
  <c r="D177" i="34"/>
  <c r="AM85" i="24"/>
  <c r="AQ85" i="24"/>
  <c r="M42" i="31"/>
  <c r="H177" i="34"/>
  <c r="BW85" i="24"/>
  <c r="E337" i="34"/>
  <c r="M74" i="31"/>
  <c r="AR85" i="24"/>
  <c r="M43" i="31"/>
  <c r="I177" i="34"/>
  <c r="BJ85" i="24"/>
  <c r="M61" i="31"/>
  <c r="F273" i="34"/>
  <c r="C209" i="34"/>
  <c r="M44" i="31"/>
  <c r="AS85" i="24"/>
  <c r="AP85" i="24"/>
  <c r="C54" i="15" s="1"/>
  <c r="G54" i="15" s="1"/>
  <c r="H273" i="34"/>
  <c r="M63" i="31"/>
  <c r="BL85" i="24"/>
  <c r="M73" i="31"/>
  <c r="D337" i="34"/>
  <c r="BV85" i="24"/>
  <c r="AZ85" i="24"/>
  <c r="M51" i="31"/>
  <c r="C241" i="34"/>
  <c r="M10" i="31"/>
  <c r="K85" i="24"/>
  <c r="D49" i="34"/>
  <c r="M77" i="31"/>
  <c r="H337" i="34"/>
  <c r="BZ85" i="24"/>
  <c r="I209" i="34"/>
  <c r="AY85" i="24"/>
  <c r="M50" i="31"/>
  <c r="M45" i="31"/>
  <c r="D209" i="34"/>
  <c r="AT85" i="24"/>
  <c r="C669" i="24"/>
  <c r="I17" i="34"/>
  <c r="I85" i="24"/>
  <c r="M8" i="31"/>
  <c r="BB85" i="24"/>
  <c r="M53" i="31"/>
  <c r="E241" i="34"/>
  <c r="G81" i="34"/>
  <c r="M20" i="31"/>
  <c r="U85" i="24"/>
  <c r="H145" i="34"/>
  <c r="M35" i="31"/>
  <c r="AJ85" i="24"/>
  <c r="M25" i="31"/>
  <c r="M9" i="31"/>
  <c r="J85" i="24"/>
  <c r="M27" i="31"/>
  <c r="G113" i="34"/>
  <c r="AB85" i="24"/>
  <c r="CB85" i="24"/>
  <c r="M79" i="31"/>
  <c r="C369" i="34"/>
  <c r="D21" i="34"/>
  <c r="BY85" i="24"/>
  <c r="G337" i="34"/>
  <c r="M76" i="31"/>
  <c r="C81" i="34"/>
  <c r="Q85" i="24"/>
  <c r="M16" i="31"/>
  <c r="M13" i="31"/>
  <c r="G49" i="34"/>
  <c r="BO85" i="24"/>
  <c r="D305" i="34"/>
  <c r="M66" i="31"/>
  <c r="C679" i="24"/>
  <c r="C26" i="15"/>
  <c r="G26" i="15" s="1"/>
  <c r="G53" i="34"/>
  <c r="C138" i="8"/>
  <c r="D417" i="24"/>
  <c r="G35" i="15"/>
  <c r="H35" i="15" s="1"/>
  <c r="I35" i="15" s="1"/>
  <c r="E702" i="25"/>
  <c r="E686" i="25"/>
  <c r="E670" i="25"/>
  <c r="E628" i="25"/>
  <c r="E699" i="25"/>
  <c r="E683" i="25"/>
  <c r="E712" i="25"/>
  <c r="E696" i="25"/>
  <c r="E680" i="25"/>
  <c r="E709" i="25"/>
  <c r="E693" i="25"/>
  <c r="E677" i="25"/>
  <c r="E706" i="25"/>
  <c r="E690" i="25"/>
  <c r="E674" i="25"/>
  <c r="E703" i="25"/>
  <c r="E687" i="25"/>
  <c r="E671" i="25"/>
  <c r="E648" i="25"/>
  <c r="E646" i="25"/>
  <c r="E717" i="25"/>
  <c r="E700" i="25"/>
  <c r="E684" i="25"/>
  <c r="E644" i="25"/>
  <c r="E642" i="25"/>
  <c r="E640" i="25"/>
  <c r="E638" i="25"/>
  <c r="E636" i="25"/>
  <c r="E634" i="25"/>
  <c r="E632" i="25"/>
  <c r="E710" i="25"/>
  <c r="E694" i="25"/>
  <c r="E678" i="25"/>
  <c r="E707" i="25"/>
  <c r="E691" i="25"/>
  <c r="E675" i="25"/>
  <c r="E704" i="25"/>
  <c r="E688" i="25"/>
  <c r="E672" i="25"/>
  <c r="E626" i="25"/>
  <c r="E701" i="25"/>
  <c r="E685" i="25"/>
  <c r="E645" i="25"/>
  <c r="E641" i="25"/>
  <c r="E637" i="25"/>
  <c r="E633" i="25"/>
  <c r="E708" i="25"/>
  <c r="E689" i="25"/>
  <c r="E669" i="25"/>
  <c r="E692" i="25"/>
  <c r="E673" i="25"/>
  <c r="E711" i="25"/>
  <c r="E627" i="25"/>
  <c r="E676" i="25"/>
  <c r="E695" i="25"/>
  <c r="E714" i="25"/>
  <c r="E679" i="25"/>
  <c r="E643" i="25"/>
  <c r="E639" i="25"/>
  <c r="E635" i="25"/>
  <c r="E630" i="25"/>
  <c r="E713" i="25"/>
  <c r="E682" i="25"/>
  <c r="E697" i="25"/>
  <c r="E631" i="25"/>
  <c r="E705" i="25"/>
  <c r="E681" i="25"/>
  <c r="E629" i="25"/>
  <c r="E698" i="25"/>
  <c r="E647" i="25"/>
  <c r="E625" i="25"/>
  <c r="G30" i="15"/>
  <c r="H30" i="15" s="1"/>
  <c r="C629" i="24" l="1"/>
  <c r="D85" i="34"/>
  <c r="C81" i="15"/>
  <c r="G81" i="15" s="1"/>
  <c r="C683" i="24"/>
  <c r="C65" i="15"/>
  <c r="G65" i="15" s="1"/>
  <c r="C630" i="24"/>
  <c r="C70" i="15"/>
  <c r="G70" i="15" s="1"/>
  <c r="G37" i="15"/>
  <c r="H37" i="15" s="1"/>
  <c r="I37" i="15" s="1"/>
  <c r="C309" i="34"/>
  <c r="C705" i="24"/>
  <c r="C635" i="24"/>
  <c r="C28" i="15"/>
  <c r="F245" i="34"/>
  <c r="C633" i="24"/>
  <c r="F213" i="34"/>
  <c r="C85" i="15"/>
  <c r="G85" i="15" s="1"/>
  <c r="C638" i="24"/>
  <c r="C641" i="24"/>
  <c r="C713" i="24"/>
  <c r="C77" i="15"/>
  <c r="G77" i="15" s="1"/>
  <c r="C75" i="15"/>
  <c r="G75" i="15" s="1"/>
  <c r="C681" i="24"/>
  <c r="C623" i="24"/>
  <c r="G149" i="34"/>
  <c r="C668" i="24"/>
  <c r="E213" i="34"/>
  <c r="C78" i="15"/>
  <c r="G78" i="15" s="1"/>
  <c r="C59" i="15"/>
  <c r="G59" i="15" s="1"/>
  <c r="C47" i="15"/>
  <c r="G47" i="15" s="1"/>
  <c r="C21" i="34"/>
  <c r="H43" i="15"/>
  <c r="I43" i="15" s="1"/>
  <c r="C677" i="24"/>
  <c r="C36" i="15"/>
  <c r="C24" i="15"/>
  <c r="G24" i="15" s="1"/>
  <c r="H24" i="15" s="1"/>
  <c r="E277" i="34"/>
  <c r="C634" i="24"/>
  <c r="C19" i="15"/>
  <c r="G19" i="15" s="1"/>
  <c r="C696" i="24"/>
  <c r="C27" i="15"/>
  <c r="G27" i="15" s="1"/>
  <c r="C684" i="24"/>
  <c r="E85" i="34"/>
  <c r="C31" i="15"/>
  <c r="G31" i="15" s="1"/>
  <c r="C689" i="24"/>
  <c r="I341" i="34"/>
  <c r="C91" i="15"/>
  <c r="G91" i="15" s="1"/>
  <c r="C149" i="34"/>
  <c r="C52" i="15"/>
  <c r="G52" i="15" s="1"/>
  <c r="C680" i="24"/>
  <c r="G21" i="34"/>
  <c r="CE85" i="24"/>
  <c r="C716" i="24" s="1"/>
  <c r="G181" i="34"/>
  <c r="H17" i="15"/>
  <c r="C707" i="24"/>
  <c r="C33" i="15"/>
  <c r="G85" i="34"/>
  <c r="C686" i="24"/>
  <c r="C643" i="24"/>
  <c r="E341" i="34"/>
  <c r="C87" i="15"/>
  <c r="G87" i="15" s="1"/>
  <c r="F181" i="34"/>
  <c r="C53" i="15"/>
  <c r="C706" i="24"/>
  <c r="C56" i="15"/>
  <c r="G56" i="15" s="1"/>
  <c r="C709" i="24"/>
  <c r="I181" i="34"/>
  <c r="C711" i="24"/>
  <c r="C58" i="15"/>
  <c r="G58" i="15" s="1"/>
  <c r="D213" i="34"/>
  <c r="G341" i="34"/>
  <c r="C89" i="15"/>
  <c r="G89" i="15" s="1"/>
  <c r="C645" i="24"/>
  <c r="C92" i="15"/>
  <c r="G92" i="15" s="1"/>
  <c r="C622" i="24"/>
  <c r="C373" i="34"/>
  <c r="C64" i="15"/>
  <c r="C628" i="24"/>
  <c r="C245" i="34"/>
  <c r="D373" i="34"/>
  <c r="C93" i="15"/>
  <c r="G93" i="15" s="1"/>
  <c r="C620" i="24"/>
  <c r="H181" i="34"/>
  <c r="C55" i="15"/>
  <c r="G55" i="15" s="1"/>
  <c r="C708" i="24"/>
  <c r="C682" i="24"/>
  <c r="C85" i="34"/>
  <c r="C29" i="15"/>
  <c r="H277" i="34"/>
  <c r="C76" i="15"/>
  <c r="G76" i="15" s="1"/>
  <c r="C637" i="24"/>
  <c r="C625" i="24"/>
  <c r="I213" i="34"/>
  <c r="C63" i="15"/>
  <c r="C213" i="34"/>
  <c r="C710" i="24"/>
  <c r="C57" i="15"/>
  <c r="G57" i="15" s="1"/>
  <c r="C694" i="24"/>
  <c r="H117" i="34"/>
  <c r="C41" i="15"/>
  <c r="D341" i="34"/>
  <c r="C642" i="24"/>
  <c r="C86" i="15"/>
  <c r="G86" i="15" s="1"/>
  <c r="C66" i="15"/>
  <c r="G66" i="15" s="1"/>
  <c r="C632" i="24"/>
  <c r="E245" i="34"/>
  <c r="I21" i="34"/>
  <c r="C674" i="24"/>
  <c r="C21" i="15"/>
  <c r="G21" i="15" s="1"/>
  <c r="C23" i="15"/>
  <c r="C676" i="24"/>
  <c r="D53" i="34"/>
  <c r="C692" i="24"/>
  <c r="F117" i="34"/>
  <c r="C39" i="15"/>
  <c r="G39" i="15" s="1"/>
  <c r="C51" i="15"/>
  <c r="G51" i="15" s="1"/>
  <c r="D181" i="34"/>
  <c r="C704" i="24"/>
  <c r="C90" i="15"/>
  <c r="G90" i="15" s="1"/>
  <c r="C646" i="24"/>
  <c r="H341" i="34"/>
  <c r="C40" i="15"/>
  <c r="G40" i="15" s="1"/>
  <c r="C693" i="24"/>
  <c r="G117" i="34"/>
  <c r="C74" i="15"/>
  <c r="G74" i="15" s="1"/>
  <c r="F277" i="34"/>
  <c r="C617" i="24"/>
  <c r="I149" i="34"/>
  <c r="C702" i="24"/>
  <c r="C49" i="15"/>
  <c r="G49" i="15" s="1"/>
  <c r="C71" i="15"/>
  <c r="G71" i="15" s="1"/>
  <c r="C277" i="34"/>
  <c r="C618" i="24"/>
  <c r="D309" i="34"/>
  <c r="C627" i="24"/>
  <c r="C79" i="15"/>
  <c r="G79" i="15" s="1"/>
  <c r="C34" i="15"/>
  <c r="G34" i="15" s="1"/>
  <c r="C687" i="24"/>
  <c r="H85" i="34"/>
  <c r="C53" i="34"/>
  <c r="C22" i="15"/>
  <c r="G22" i="15" s="1"/>
  <c r="C675" i="24"/>
  <c r="H149" i="34"/>
  <c r="C48" i="15"/>
  <c r="C701" i="24"/>
  <c r="G28" i="15"/>
  <c r="H28" i="15" s="1"/>
  <c r="I28" i="15" s="1"/>
  <c r="C168" i="8"/>
  <c r="D421" i="24"/>
  <c r="E716" i="25"/>
  <c r="F625" i="25"/>
  <c r="D716" i="24"/>
  <c r="D700" i="24"/>
  <c r="D684" i="24"/>
  <c r="D668" i="24"/>
  <c r="D628" i="24"/>
  <c r="D618" i="24"/>
  <c r="D703" i="24"/>
  <c r="D697" i="24"/>
  <c r="D681" i="24"/>
  <c r="D706" i="24"/>
  <c r="D694" i="24"/>
  <c r="D678" i="24"/>
  <c r="D646" i="24"/>
  <c r="D617" i="24"/>
  <c r="D709" i="24"/>
  <c r="D691" i="24"/>
  <c r="D712" i="24"/>
  <c r="D688" i="24"/>
  <c r="D672" i="24"/>
  <c r="D616" i="24"/>
  <c r="D685" i="24"/>
  <c r="D669" i="24"/>
  <c r="D702" i="24"/>
  <c r="D696" i="24"/>
  <c r="D680" i="24"/>
  <c r="D626" i="24"/>
  <c r="D619" i="24"/>
  <c r="D707" i="24"/>
  <c r="D695" i="24"/>
  <c r="D647" i="24"/>
  <c r="D627" i="24"/>
  <c r="D690" i="24"/>
  <c r="D644" i="24"/>
  <c r="D686" i="24"/>
  <c r="D631" i="24"/>
  <c r="D682" i="24"/>
  <c r="D641" i="24"/>
  <c r="D638" i="24"/>
  <c r="D692" i="24"/>
  <c r="D673" i="24"/>
  <c r="D635" i="24"/>
  <c r="D632" i="24"/>
  <c r="D629" i="24"/>
  <c r="D711" i="24"/>
  <c r="D687" i="24"/>
  <c r="D675" i="24"/>
  <c r="D671" i="24"/>
  <c r="D625" i="24"/>
  <c r="D622" i="24"/>
  <c r="D708" i="24"/>
  <c r="D624" i="24"/>
  <c r="D704" i="24"/>
  <c r="D705" i="24"/>
  <c r="D689" i="24"/>
  <c r="D677" i="24"/>
  <c r="D710" i="24"/>
  <c r="D637" i="24"/>
  <c r="D699" i="24"/>
  <c r="D670" i="24"/>
  <c r="D713" i="24"/>
  <c r="D679" i="24"/>
  <c r="D643" i="24"/>
  <c r="D640" i="24"/>
  <c r="D623" i="24"/>
  <c r="D634" i="24"/>
  <c r="D676" i="24"/>
  <c r="D701" i="24"/>
  <c r="D645" i="24"/>
  <c r="D621" i="24"/>
  <c r="D642" i="24"/>
  <c r="D636" i="24"/>
  <c r="D674" i="24"/>
  <c r="D683" i="24"/>
  <c r="D693" i="24"/>
  <c r="D633" i="24"/>
  <c r="D620" i="24"/>
  <c r="D630" i="24"/>
  <c r="D698" i="24"/>
  <c r="D639" i="24"/>
  <c r="H65" i="15" l="1"/>
  <c r="I65" i="15" s="1"/>
  <c r="G36" i="15"/>
  <c r="H36" i="15" s="1"/>
  <c r="I36" i="15" s="1"/>
  <c r="I373" i="34"/>
  <c r="C648" i="24"/>
  <c r="M716" i="24" s="1"/>
  <c r="C715" i="24"/>
  <c r="G41" i="15"/>
  <c r="H41" i="15" s="1"/>
  <c r="G48" i="15"/>
  <c r="H48" i="15" s="1"/>
  <c r="I48" i="15" s="1"/>
  <c r="G63" i="15"/>
  <c r="H63" i="15" s="1"/>
  <c r="G64" i="15"/>
  <c r="H64" i="15"/>
  <c r="I64" i="15" s="1"/>
  <c r="G23" i="15"/>
  <c r="H23" i="15" s="1"/>
  <c r="I23" i="15" s="1"/>
  <c r="G53" i="15"/>
  <c r="H53" i="15" s="1"/>
  <c r="G29" i="15"/>
  <c r="H29" i="15" s="1"/>
  <c r="G33" i="15"/>
  <c r="H33" i="15" s="1"/>
  <c r="I33" i="15" s="1"/>
  <c r="E612" i="24"/>
  <c r="F699" i="25"/>
  <c r="F683" i="25"/>
  <c r="F712" i="25"/>
  <c r="F696" i="25"/>
  <c r="F680" i="25"/>
  <c r="F709" i="25"/>
  <c r="F693" i="25"/>
  <c r="F677" i="25"/>
  <c r="F706" i="25"/>
  <c r="F690" i="25"/>
  <c r="F674" i="25"/>
  <c r="F703" i="25"/>
  <c r="F687" i="25"/>
  <c r="F671" i="25"/>
  <c r="F648" i="25"/>
  <c r="F646" i="25"/>
  <c r="F630" i="25"/>
  <c r="F627" i="25"/>
  <c r="F717" i="25"/>
  <c r="F700" i="25"/>
  <c r="F684" i="25"/>
  <c r="F644" i="25"/>
  <c r="F642" i="25"/>
  <c r="F640" i="25"/>
  <c r="F638" i="25"/>
  <c r="F636" i="25"/>
  <c r="F634" i="25"/>
  <c r="F713" i="25"/>
  <c r="F697" i="25"/>
  <c r="F681" i="25"/>
  <c r="F707" i="25"/>
  <c r="F691" i="25"/>
  <c r="F675" i="25"/>
  <c r="F704" i="25"/>
  <c r="F688" i="25"/>
  <c r="F672" i="25"/>
  <c r="F626" i="25"/>
  <c r="F701" i="25"/>
  <c r="F685" i="25"/>
  <c r="F669" i="25"/>
  <c r="F629" i="25"/>
  <c r="F714" i="25"/>
  <c r="F698" i="25"/>
  <c r="F682" i="25"/>
  <c r="F708" i="25"/>
  <c r="F689" i="25"/>
  <c r="F692" i="25"/>
  <c r="F673" i="25"/>
  <c r="F628" i="25"/>
  <c r="F711" i="25"/>
  <c r="F632" i="25"/>
  <c r="F676" i="25"/>
  <c r="F695" i="25"/>
  <c r="F710" i="25"/>
  <c r="F679" i="25"/>
  <c r="F643" i="25"/>
  <c r="F639" i="25"/>
  <c r="F635" i="25"/>
  <c r="F647" i="25"/>
  <c r="F631" i="25"/>
  <c r="F702" i="25"/>
  <c r="F686" i="25"/>
  <c r="F633" i="25"/>
  <c r="F705" i="25"/>
  <c r="F645" i="25"/>
  <c r="F694" i="25"/>
  <c r="F637" i="25"/>
  <c r="F670" i="25"/>
  <c r="F678" i="25"/>
  <c r="F641" i="25"/>
  <c r="C172" i="8"/>
  <c r="D424" i="24"/>
  <c r="C177" i="8" s="1"/>
  <c r="D715" i="24"/>
  <c r="E623" i="24"/>
  <c r="E712" i="24" l="1"/>
  <c r="E703" i="24"/>
  <c r="E697" i="24"/>
  <c r="E681" i="24"/>
  <c r="E706" i="24"/>
  <c r="E694" i="24"/>
  <c r="E678" i="24"/>
  <c r="E646" i="24"/>
  <c r="E709" i="24"/>
  <c r="E691" i="24"/>
  <c r="E675" i="24"/>
  <c r="E644" i="24"/>
  <c r="E642" i="24"/>
  <c r="E640" i="24"/>
  <c r="E638" i="24"/>
  <c r="E636" i="24"/>
  <c r="E634" i="24"/>
  <c r="E632" i="24"/>
  <c r="E630" i="24"/>
  <c r="E624" i="24"/>
  <c r="F624" i="24" s="1"/>
  <c r="F694" i="24" s="1"/>
  <c r="E688" i="24"/>
  <c r="E685" i="24"/>
  <c r="E669" i="24"/>
  <c r="E627" i="24"/>
  <c r="E716" i="24"/>
  <c r="E701" i="24"/>
  <c r="E698" i="24"/>
  <c r="E682" i="24"/>
  <c r="E705" i="24"/>
  <c r="E693" i="24"/>
  <c r="E677" i="24"/>
  <c r="E695" i="24"/>
  <c r="E647" i="24"/>
  <c r="E628" i="24"/>
  <c r="E690" i="24"/>
  <c r="E639" i="24"/>
  <c r="E680" i="24"/>
  <c r="E641" i="24"/>
  <c r="E707" i="24"/>
  <c r="E686" i="24"/>
  <c r="E668" i="24"/>
  <c r="E692" i="24"/>
  <c r="E673" i="24"/>
  <c r="E635" i="24"/>
  <c r="E629" i="24"/>
  <c r="E704" i="24"/>
  <c r="E711" i="24"/>
  <c r="E700" i="24"/>
  <c r="E687" i="24"/>
  <c r="E671" i="24"/>
  <c r="E625" i="24"/>
  <c r="E631" i="24"/>
  <c r="E645" i="24"/>
  <c r="E674" i="24"/>
  <c r="E708" i="24"/>
  <c r="E689" i="24"/>
  <c r="E683" i="24"/>
  <c r="E713" i="24"/>
  <c r="E684" i="24"/>
  <c r="E679" i="24"/>
  <c r="E643" i="24"/>
  <c r="E670" i="24"/>
  <c r="E710" i="24"/>
  <c r="E702" i="24"/>
  <c r="E637" i="24"/>
  <c r="E699" i="24"/>
  <c r="E672" i="24"/>
  <c r="E696" i="24"/>
  <c r="E676" i="24"/>
  <c r="E633" i="24"/>
  <c r="E626" i="24"/>
  <c r="F716" i="25"/>
  <c r="G626" i="25"/>
  <c r="F686" i="24" l="1"/>
  <c r="F697" i="24"/>
  <c r="F631" i="24"/>
  <c r="F689" i="24"/>
  <c r="F676" i="24"/>
  <c r="F645" i="24"/>
  <c r="F669" i="24"/>
  <c r="F643" i="24"/>
  <c r="F680" i="24"/>
  <c r="F672" i="24"/>
  <c r="F668" i="24"/>
  <c r="F690" i="24"/>
  <c r="F708" i="24"/>
  <c r="F683" i="24"/>
  <c r="F627" i="24"/>
  <c r="F688" i="24"/>
  <c r="F712" i="24"/>
  <c r="F681" i="24"/>
  <c r="F628" i="24"/>
  <c r="F630" i="24"/>
  <c r="F625" i="24"/>
  <c r="G625" i="24" s="1"/>
  <c r="F671" i="24"/>
  <c r="F638" i="24"/>
  <c r="F636" i="24"/>
  <c r="F639" i="24"/>
  <c r="F696" i="24"/>
  <c r="F706" i="24"/>
  <c r="F632" i="24"/>
  <c r="F634" i="24"/>
  <c r="F687" i="24"/>
  <c r="F700" i="24"/>
  <c r="F674" i="24"/>
  <c r="F641" i="24"/>
  <c r="F709" i="24"/>
  <c r="F679" i="24"/>
  <c r="F675" i="24"/>
  <c r="F670" i="24"/>
  <c r="F642" i="24"/>
  <c r="F710" i="24"/>
  <c r="F635" i="24"/>
  <c r="F698" i="24"/>
  <c r="F691" i="24"/>
  <c r="F699" i="24"/>
  <c r="F711" i="24"/>
  <c r="F640" i="24"/>
  <c r="F707" i="24"/>
  <c r="F705" i="24"/>
  <c r="F644" i="24"/>
  <c r="F626" i="24"/>
  <c r="F677" i="24"/>
  <c r="F673" i="24"/>
  <c r="F701" i="24"/>
  <c r="F646" i="24"/>
  <c r="F695" i="24"/>
  <c r="F637" i="24"/>
  <c r="F702" i="24"/>
  <c r="F682" i="24"/>
  <c r="F647" i="24"/>
  <c r="F693" i="24"/>
  <c r="F684" i="24"/>
  <c r="F692" i="24"/>
  <c r="F716" i="24"/>
  <c r="F678" i="24"/>
  <c r="F704" i="24"/>
  <c r="F629" i="24"/>
  <c r="F633" i="24"/>
  <c r="F713" i="24"/>
  <c r="F703" i="24"/>
  <c r="F685" i="24"/>
  <c r="G712" i="25"/>
  <c r="G696" i="25"/>
  <c r="G680" i="25"/>
  <c r="G709" i="25"/>
  <c r="G693" i="25"/>
  <c r="G677" i="25"/>
  <c r="G706" i="25"/>
  <c r="G690" i="25"/>
  <c r="G674" i="25"/>
  <c r="G703" i="25"/>
  <c r="G687" i="25"/>
  <c r="G671" i="25"/>
  <c r="G648" i="25"/>
  <c r="G646" i="25"/>
  <c r="G630" i="25"/>
  <c r="G627" i="25"/>
  <c r="G717" i="25"/>
  <c r="G700" i="25"/>
  <c r="G684" i="25"/>
  <c r="G644" i="25"/>
  <c r="G642" i="25"/>
  <c r="G640" i="25"/>
  <c r="G638" i="25"/>
  <c r="G636" i="25"/>
  <c r="G634" i="25"/>
  <c r="G632" i="25"/>
  <c r="G713" i="25"/>
  <c r="G697" i="25"/>
  <c r="G681" i="25"/>
  <c r="G710" i="25"/>
  <c r="G694" i="25"/>
  <c r="G678" i="25"/>
  <c r="G704" i="25"/>
  <c r="G688" i="25"/>
  <c r="G672" i="25"/>
  <c r="G701" i="25"/>
  <c r="G685" i="25"/>
  <c r="G669" i="25"/>
  <c r="G629" i="25"/>
  <c r="G714" i="25"/>
  <c r="G698" i="25"/>
  <c r="G682" i="25"/>
  <c r="G711" i="25"/>
  <c r="G695" i="25"/>
  <c r="G679" i="25"/>
  <c r="G692" i="25"/>
  <c r="G673" i="25"/>
  <c r="G628" i="25"/>
  <c r="G676" i="25"/>
  <c r="G707" i="25"/>
  <c r="G699" i="25"/>
  <c r="G691" i="25"/>
  <c r="G643" i="25"/>
  <c r="G639" i="25"/>
  <c r="G635" i="25"/>
  <c r="G647" i="25"/>
  <c r="G631" i="25"/>
  <c r="G683" i="25"/>
  <c r="G675" i="25"/>
  <c r="G705" i="25"/>
  <c r="G689" i="25"/>
  <c r="G645" i="25"/>
  <c r="G637" i="25"/>
  <c r="G702" i="25"/>
  <c r="G708" i="25"/>
  <c r="G686" i="25"/>
  <c r="G633" i="25"/>
  <c r="G641" i="25"/>
  <c r="G670" i="25"/>
  <c r="E715" i="24"/>
  <c r="F715" i="24" l="1"/>
  <c r="G685" i="24"/>
  <c r="G687" i="24"/>
  <c r="G637" i="24"/>
  <c r="G683" i="24"/>
  <c r="G688" i="24"/>
  <c r="G628" i="24"/>
  <c r="G680" i="24"/>
  <c r="G671" i="24"/>
  <c r="G631" i="24"/>
  <c r="G682" i="24"/>
  <c r="G674" i="24"/>
  <c r="G686" i="24"/>
  <c r="G632" i="24"/>
  <c r="G711" i="24"/>
  <c r="G699" i="24"/>
  <c r="G634" i="24"/>
  <c r="G710" i="24"/>
  <c r="G709" i="24"/>
  <c r="G692" i="24"/>
  <c r="G689" i="24"/>
  <c r="G712" i="24"/>
  <c r="G639" i="24"/>
  <c r="G676" i="24"/>
  <c r="G630" i="24"/>
  <c r="G707" i="24"/>
  <c r="G681" i="24"/>
  <c r="G673" i="24"/>
  <c r="G670" i="24"/>
  <c r="G677" i="24"/>
  <c r="G635" i="24"/>
  <c r="G668" i="24"/>
  <c r="G643" i="24"/>
  <c r="G697" i="24"/>
  <c r="G708" i="24"/>
  <c r="G716" i="24"/>
  <c r="G696" i="24"/>
  <c r="G693" i="24"/>
  <c r="G633" i="24"/>
  <c r="G695" i="24"/>
  <c r="G691" i="24"/>
  <c r="G690" i="24"/>
  <c r="G675" i="24"/>
  <c r="G702" i="24"/>
  <c r="G706" i="24"/>
  <c r="G636" i="24"/>
  <c r="G703" i="24"/>
  <c r="G644" i="24"/>
  <c r="G672" i="24"/>
  <c r="G640" i="24"/>
  <c r="G669" i="24"/>
  <c r="G679" i="24"/>
  <c r="G713" i="24"/>
  <c r="G627" i="24"/>
  <c r="G638" i="24"/>
  <c r="G626" i="24"/>
  <c r="G642" i="24"/>
  <c r="G645" i="24"/>
  <c r="G641" i="24"/>
  <c r="G701" i="24"/>
  <c r="G629" i="24"/>
  <c r="G694" i="24"/>
  <c r="G700" i="24"/>
  <c r="G647" i="24"/>
  <c r="G704" i="24"/>
  <c r="G684" i="24"/>
  <c r="G678" i="24"/>
  <c r="G646" i="24"/>
  <c r="G705" i="24"/>
  <c r="G698" i="24"/>
  <c r="G716" i="25"/>
  <c r="H629" i="25"/>
  <c r="G715" i="24" l="1"/>
  <c r="H628" i="24"/>
  <c r="H709" i="25"/>
  <c r="H693" i="25"/>
  <c r="H677" i="25"/>
  <c r="H706" i="25"/>
  <c r="H690" i="25"/>
  <c r="H674" i="25"/>
  <c r="H703" i="25"/>
  <c r="H687" i="25"/>
  <c r="H671" i="25"/>
  <c r="H648" i="25"/>
  <c r="H646" i="25"/>
  <c r="H630" i="25"/>
  <c r="H717" i="25"/>
  <c r="H700" i="25"/>
  <c r="H684" i="25"/>
  <c r="H644" i="25"/>
  <c r="H642" i="25"/>
  <c r="H640" i="25"/>
  <c r="H638" i="25"/>
  <c r="H636" i="25"/>
  <c r="H634" i="25"/>
  <c r="H632" i="25"/>
  <c r="H713" i="25"/>
  <c r="H697" i="25"/>
  <c r="H681" i="25"/>
  <c r="H710" i="25"/>
  <c r="H694" i="25"/>
  <c r="H678" i="25"/>
  <c r="H707" i="25"/>
  <c r="H691" i="25"/>
  <c r="H675" i="25"/>
  <c r="H701" i="25"/>
  <c r="H685" i="25"/>
  <c r="H669" i="25"/>
  <c r="H714" i="25"/>
  <c r="H698" i="25"/>
  <c r="H682" i="25"/>
  <c r="H711" i="25"/>
  <c r="H695" i="25"/>
  <c r="H679" i="25"/>
  <c r="H647" i="25"/>
  <c r="H708" i="25"/>
  <c r="H692" i="25"/>
  <c r="H676" i="25"/>
  <c r="H712" i="25"/>
  <c r="H673" i="25"/>
  <c r="H704" i="25"/>
  <c r="H696" i="25"/>
  <c r="H688" i="25"/>
  <c r="H680" i="25"/>
  <c r="H699" i="25"/>
  <c r="H672" i="25"/>
  <c r="H643" i="25"/>
  <c r="H639" i="25"/>
  <c r="H635" i="25"/>
  <c r="H631" i="25"/>
  <c r="H683" i="25"/>
  <c r="H702" i="25"/>
  <c r="H686" i="25"/>
  <c r="H705" i="25"/>
  <c r="H670" i="25"/>
  <c r="H689" i="25"/>
  <c r="H645" i="25"/>
  <c r="H637" i="25"/>
  <c r="H641" i="25"/>
  <c r="H633" i="25"/>
  <c r="H703" i="24" l="1"/>
  <c r="H710" i="24"/>
  <c r="H639" i="24"/>
  <c r="H636" i="24"/>
  <c r="H641" i="24"/>
  <c r="H709" i="24"/>
  <c r="H633" i="24"/>
  <c r="H699" i="24"/>
  <c r="H673" i="24"/>
  <c r="H683" i="24"/>
  <c r="H640" i="24"/>
  <c r="H716" i="24"/>
  <c r="H696" i="24"/>
  <c r="H671" i="24"/>
  <c r="H687" i="24"/>
  <c r="H638" i="24"/>
  <c r="H689" i="24"/>
  <c r="H678" i="24"/>
  <c r="H688" i="24"/>
  <c r="H686" i="24"/>
  <c r="H632" i="24"/>
  <c r="H712" i="24"/>
  <c r="H635" i="24"/>
  <c r="H697" i="24"/>
  <c r="H701" i="24"/>
  <c r="H644" i="24"/>
  <c r="H708" i="24"/>
  <c r="H700" i="24"/>
  <c r="H679" i="24"/>
  <c r="H684" i="24"/>
  <c r="H670" i="24"/>
  <c r="H630" i="24"/>
  <c r="H672" i="24"/>
  <c r="H694" i="24"/>
  <c r="H706" i="24"/>
  <c r="H705" i="24"/>
  <c r="H629" i="24"/>
  <c r="H645" i="24"/>
  <c r="H631" i="24"/>
  <c r="H713" i="24"/>
  <c r="H669" i="24"/>
  <c r="H643" i="24"/>
  <c r="H693" i="24"/>
  <c r="H711" i="24"/>
  <c r="H647" i="24"/>
  <c r="H685" i="24"/>
  <c r="H668" i="24"/>
  <c r="H634" i="24"/>
  <c r="H681" i="24"/>
  <c r="H691" i="24"/>
  <c r="H695" i="24"/>
  <c r="H674" i="24"/>
  <c r="H677" i="24"/>
  <c r="H675" i="24"/>
  <c r="H702" i="24"/>
  <c r="H690" i="24"/>
  <c r="H698" i="24"/>
  <c r="H646" i="24"/>
  <c r="H637" i="24"/>
  <c r="H642" i="24"/>
  <c r="H707" i="24"/>
  <c r="H682" i="24"/>
  <c r="H704" i="24"/>
  <c r="H676" i="24"/>
  <c r="H692" i="24"/>
  <c r="H680" i="24"/>
  <c r="H716" i="25"/>
  <c r="I630" i="25"/>
  <c r="H715" i="24" l="1"/>
  <c r="I629" i="24"/>
  <c r="I706" i="25"/>
  <c r="I690" i="25"/>
  <c r="I674" i="25"/>
  <c r="I703" i="25"/>
  <c r="I687" i="25"/>
  <c r="I671" i="25"/>
  <c r="I648" i="25"/>
  <c r="I646" i="25"/>
  <c r="I717" i="25"/>
  <c r="I700" i="25"/>
  <c r="I684" i="25"/>
  <c r="I644" i="25"/>
  <c r="I642" i="25"/>
  <c r="I640" i="25"/>
  <c r="I638" i="25"/>
  <c r="I636" i="25"/>
  <c r="I634" i="25"/>
  <c r="I632" i="25"/>
  <c r="I713" i="25"/>
  <c r="I697" i="25"/>
  <c r="I681" i="25"/>
  <c r="I710" i="25"/>
  <c r="I694" i="25"/>
  <c r="I678" i="25"/>
  <c r="I707" i="25"/>
  <c r="I691" i="25"/>
  <c r="I675" i="25"/>
  <c r="I704" i="25"/>
  <c r="I688" i="25"/>
  <c r="I672" i="25"/>
  <c r="I714" i="25"/>
  <c r="I698" i="25"/>
  <c r="I682" i="25"/>
  <c r="I711" i="25"/>
  <c r="I695" i="25"/>
  <c r="I679" i="25"/>
  <c r="I647" i="25"/>
  <c r="I708" i="25"/>
  <c r="I692" i="25"/>
  <c r="I676" i="25"/>
  <c r="I645" i="25"/>
  <c r="I643" i="25"/>
  <c r="I641" i="25"/>
  <c r="I639" i="25"/>
  <c r="I637" i="25"/>
  <c r="I635" i="25"/>
  <c r="I633" i="25"/>
  <c r="I631" i="25"/>
  <c r="I705" i="25"/>
  <c r="I689" i="25"/>
  <c r="I673" i="25"/>
  <c r="I677" i="25"/>
  <c r="I669" i="25"/>
  <c r="I696" i="25"/>
  <c r="I680" i="25"/>
  <c r="I699" i="25"/>
  <c r="I683" i="25"/>
  <c r="I702" i="25"/>
  <c r="I709" i="25"/>
  <c r="I701" i="25"/>
  <c r="I712" i="25"/>
  <c r="I686" i="25"/>
  <c r="I685" i="25"/>
  <c r="I693" i="25"/>
  <c r="I670" i="25"/>
  <c r="I707" i="24" l="1"/>
  <c r="I711" i="24"/>
  <c r="I699" i="24"/>
  <c r="I635" i="24"/>
  <c r="I690" i="24"/>
  <c r="I632" i="24"/>
  <c r="I686" i="24"/>
  <c r="I647" i="24"/>
  <c r="I640" i="24"/>
  <c r="I688" i="24"/>
  <c r="I692" i="24"/>
  <c r="I687" i="24"/>
  <c r="I631" i="24"/>
  <c r="I706" i="24"/>
  <c r="I708" i="24"/>
  <c r="I700" i="24"/>
  <c r="I675" i="24"/>
  <c r="I633" i="24"/>
  <c r="I696" i="24"/>
  <c r="I642" i="24"/>
  <c r="I710" i="24"/>
  <c r="I638" i="24"/>
  <c r="I691" i="24"/>
  <c r="I709" i="24"/>
  <c r="I673" i="24"/>
  <c r="I641" i="24"/>
  <c r="I693" i="24"/>
  <c r="I682" i="24"/>
  <c r="I689" i="24"/>
  <c r="I674" i="24"/>
  <c r="I680" i="24"/>
  <c r="I705" i="24"/>
  <c r="I712" i="24"/>
  <c r="I634" i="24"/>
  <c r="I630" i="24"/>
  <c r="J630" i="24" s="1"/>
  <c r="I668" i="24"/>
  <c r="I681" i="24"/>
  <c r="I713" i="24"/>
  <c r="I683" i="24"/>
  <c r="I643" i="24"/>
  <c r="I672" i="24"/>
  <c r="I703" i="24"/>
  <c r="I704" i="24"/>
  <c r="I678" i="24"/>
  <c r="I677" i="24"/>
  <c r="I702" i="24"/>
  <c r="I636" i="24"/>
  <c r="I685" i="24"/>
  <c r="I670" i="24"/>
  <c r="I669" i="24"/>
  <c r="I716" i="24"/>
  <c r="I639" i="24"/>
  <c r="I698" i="24"/>
  <c r="I694" i="24"/>
  <c r="I645" i="24"/>
  <c r="I701" i="24"/>
  <c r="I646" i="24"/>
  <c r="I676" i="24"/>
  <c r="I697" i="24"/>
  <c r="I684" i="24"/>
  <c r="I671" i="24"/>
  <c r="I695" i="24"/>
  <c r="I644" i="24"/>
  <c r="I637" i="24"/>
  <c r="I679" i="24"/>
  <c r="I716" i="25"/>
  <c r="J631" i="25"/>
  <c r="J697" i="24" l="1"/>
  <c r="J642" i="24"/>
  <c r="J701" i="24"/>
  <c r="J635" i="24"/>
  <c r="J706" i="24"/>
  <c r="J683" i="24"/>
  <c r="J672" i="24"/>
  <c r="J690" i="24"/>
  <c r="J681" i="24"/>
  <c r="J698" i="24"/>
  <c r="J645" i="24"/>
  <c r="J693" i="24"/>
  <c r="J691" i="24"/>
  <c r="J716" i="24"/>
  <c r="J641" i="24"/>
  <c r="J670" i="24"/>
  <c r="J632" i="24"/>
  <c r="J685" i="24"/>
  <c r="J634" i="24"/>
  <c r="J710" i="24"/>
  <c r="J696" i="24"/>
  <c r="J679" i="24"/>
  <c r="J707" i="24"/>
  <c r="J713" i="24"/>
  <c r="J702" i="24"/>
  <c r="J684" i="24"/>
  <c r="J668" i="24"/>
  <c r="J687" i="24"/>
  <c r="J695" i="24"/>
  <c r="J678" i="24"/>
  <c r="J673" i="24"/>
  <c r="J708" i="24"/>
  <c r="J640" i="24"/>
  <c r="J686" i="24"/>
  <c r="J711" i="24"/>
  <c r="J643" i="24"/>
  <c r="J647" i="24"/>
  <c r="J700" i="24"/>
  <c r="J689" i="24"/>
  <c r="J644" i="24"/>
  <c r="J677" i="24"/>
  <c r="J709" i="24"/>
  <c r="J704" i="24"/>
  <c r="J692" i="24"/>
  <c r="J676" i="24"/>
  <c r="J682" i="24"/>
  <c r="J712" i="24"/>
  <c r="J705" i="24"/>
  <c r="J671" i="24"/>
  <c r="J631" i="24"/>
  <c r="J675" i="24"/>
  <c r="J636" i="24"/>
  <c r="J688" i="24"/>
  <c r="J638" i="24"/>
  <c r="J703" i="24"/>
  <c r="J699" i="24"/>
  <c r="J674" i="24"/>
  <c r="J639" i="24"/>
  <c r="J637" i="24"/>
  <c r="J669" i="24"/>
  <c r="J680" i="24"/>
  <c r="J633" i="24"/>
  <c r="J646" i="24"/>
  <c r="J694" i="24"/>
  <c r="I715" i="24"/>
  <c r="J703" i="25"/>
  <c r="J687" i="25"/>
  <c r="J671" i="25"/>
  <c r="J648" i="25"/>
  <c r="J646" i="25"/>
  <c r="J717" i="25"/>
  <c r="J700" i="25"/>
  <c r="J684" i="25"/>
  <c r="J644" i="25"/>
  <c r="J642" i="25"/>
  <c r="J640" i="25"/>
  <c r="J638" i="25"/>
  <c r="J636" i="25"/>
  <c r="J634" i="25"/>
  <c r="J632" i="25"/>
  <c r="J713" i="25"/>
  <c r="J697" i="25"/>
  <c r="J681" i="25"/>
  <c r="J710" i="25"/>
  <c r="J694" i="25"/>
  <c r="J678" i="25"/>
  <c r="J707" i="25"/>
  <c r="J691" i="25"/>
  <c r="J675" i="25"/>
  <c r="J704" i="25"/>
  <c r="J688" i="25"/>
  <c r="J672" i="25"/>
  <c r="J701" i="25"/>
  <c r="J685" i="25"/>
  <c r="J669" i="25"/>
  <c r="J711" i="25"/>
  <c r="J695" i="25"/>
  <c r="J679" i="25"/>
  <c r="J647" i="25"/>
  <c r="J708" i="25"/>
  <c r="J692" i="25"/>
  <c r="J676" i="25"/>
  <c r="J645" i="25"/>
  <c r="J643" i="25"/>
  <c r="J641" i="25"/>
  <c r="J639" i="25"/>
  <c r="J637" i="25"/>
  <c r="J635" i="25"/>
  <c r="J633" i="25"/>
  <c r="J705" i="25"/>
  <c r="J689" i="25"/>
  <c r="J673" i="25"/>
  <c r="J702" i="25"/>
  <c r="J686" i="25"/>
  <c r="J670" i="25"/>
  <c r="J696" i="25"/>
  <c r="J680" i="25"/>
  <c r="J699" i="25"/>
  <c r="J683" i="25"/>
  <c r="J714" i="25"/>
  <c r="J698" i="25"/>
  <c r="J682" i="25"/>
  <c r="J690" i="25"/>
  <c r="J674" i="25"/>
  <c r="J712" i="25"/>
  <c r="J709" i="25"/>
  <c r="J677" i="25"/>
  <c r="J706" i="25"/>
  <c r="J693" i="25"/>
  <c r="L647" i="24" l="1"/>
  <c r="L712" i="24" s="1"/>
  <c r="K644" i="24"/>
  <c r="K681" i="24" s="1"/>
  <c r="J715" i="24"/>
  <c r="L648" i="25"/>
  <c r="L694" i="25" s="1"/>
  <c r="J716" i="25"/>
  <c r="L681" i="25"/>
  <c r="K645" i="25"/>
  <c r="L685" i="24" l="1"/>
  <c r="L710" i="24"/>
  <c r="L687" i="24"/>
  <c r="L674" i="24"/>
  <c r="L697" i="24"/>
  <c r="L706" i="24"/>
  <c r="L690" i="24"/>
  <c r="L703" i="24"/>
  <c r="L688" i="24"/>
  <c r="L681" i="24"/>
  <c r="M681" i="24" s="1"/>
  <c r="I55" i="34" s="1"/>
  <c r="L699" i="24"/>
  <c r="K686" i="24"/>
  <c r="L676" i="25"/>
  <c r="L693" i="25"/>
  <c r="L710" i="25"/>
  <c r="L697" i="25"/>
  <c r="L713" i="25"/>
  <c r="K669" i="24"/>
  <c r="K705" i="24"/>
  <c r="L668" i="24"/>
  <c r="L675" i="24"/>
  <c r="L680" i="24"/>
  <c r="K684" i="24"/>
  <c r="K696" i="24"/>
  <c r="K695" i="24"/>
  <c r="K675" i="24"/>
  <c r="K671" i="24"/>
  <c r="L677" i="24"/>
  <c r="L684" i="25"/>
  <c r="L700" i="25"/>
  <c r="L692" i="25"/>
  <c r="L682" i="25"/>
  <c r="L714" i="25"/>
  <c r="L680" i="25"/>
  <c r="L696" i="25"/>
  <c r="L695" i="25"/>
  <c r="L711" i="25"/>
  <c r="L698" i="25"/>
  <c r="L669" i="25"/>
  <c r="L683" i="25"/>
  <c r="L701" i="25"/>
  <c r="L672" i="25"/>
  <c r="L712" i="25"/>
  <c r="L670" i="25"/>
  <c r="L688" i="25"/>
  <c r="L709" i="25"/>
  <c r="L686" i="25"/>
  <c r="L704" i="25"/>
  <c r="L702" i="25"/>
  <c r="L708" i="25"/>
  <c r="L685" i="25"/>
  <c r="L677" i="25"/>
  <c r="L690" i="25"/>
  <c r="L699" i="25"/>
  <c r="L717" i="25"/>
  <c r="L674" i="25"/>
  <c r="L675" i="25"/>
  <c r="L671" i="25"/>
  <c r="L673" i="25"/>
  <c r="L691" i="25"/>
  <c r="L706" i="25"/>
  <c r="L689" i="25"/>
  <c r="L707" i="25"/>
  <c r="L687" i="25"/>
  <c r="L705" i="25"/>
  <c r="L678" i="25"/>
  <c r="L703" i="25"/>
  <c r="L679" i="25"/>
  <c r="K697" i="24"/>
  <c r="K712" i="24"/>
  <c r="M712" i="24" s="1"/>
  <c r="E215" i="34" s="1"/>
  <c r="L672" i="24"/>
  <c r="K707" i="24"/>
  <c r="L676" i="24"/>
  <c r="L696" i="24"/>
  <c r="K711" i="24"/>
  <c r="L692" i="24"/>
  <c r="K679" i="24"/>
  <c r="L694" i="24"/>
  <c r="K690" i="24"/>
  <c r="M690" i="24" s="1"/>
  <c r="D119" i="34" s="1"/>
  <c r="L711" i="24"/>
  <c r="L673" i="24"/>
  <c r="L679" i="24"/>
  <c r="L704" i="24"/>
  <c r="L708" i="24"/>
  <c r="K694" i="24"/>
  <c r="K692" i="24"/>
  <c r="L671" i="24"/>
  <c r="K674" i="24"/>
  <c r="K700" i="24"/>
  <c r="K672" i="24"/>
  <c r="K677" i="24"/>
  <c r="K670" i="24"/>
  <c r="L689" i="24"/>
  <c r="L678" i="24"/>
  <c r="K691" i="24"/>
  <c r="L695" i="24"/>
  <c r="L716" i="24"/>
  <c r="K673" i="24"/>
  <c r="K708" i="24"/>
  <c r="K699" i="24"/>
  <c r="K685" i="24"/>
  <c r="L698" i="24"/>
  <c r="L682" i="24"/>
  <c r="K678" i="24"/>
  <c r="L669" i="24"/>
  <c r="L707" i="24"/>
  <c r="K713" i="24"/>
  <c r="K683" i="24"/>
  <c r="L705" i="24"/>
  <c r="K706" i="24"/>
  <c r="M706" i="24" s="1"/>
  <c r="F183" i="34" s="1"/>
  <c r="K688" i="24"/>
  <c r="L700" i="24"/>
  <c r="K689" i="24"/>
  <c r="L691" i="24"/>
  <c r="L701" i="24"/>
  <c r="L683" i="24"/>
  <c r="L684" i="24"/>
  <c r="K682" i="24"/>
  <c r="K702" i="24"/>
  <c r="K710" i="24"/>
  <c r="M710" i="24" s="1"/>
  <c r="C215" i="34" s="1"/>
  <c r="K703" i="24"/>
  <c r="K668" i="24"/>
  <c r="K704" i="24"/>
  <c r="L670" i="24"/>
  <c r="K676" i="24"/>
  <c r="K701" i="24"/>
  <c r="L702" i="24"/>
  <c r="K716" i="24"/>
  <c r="K687" i="24"/>
  <c r="L713" i="24"/>
  <c r="K693" i="24"/>
  <c r="L686" i="24"/>
  <c r="K680" i="24"/>
  <c r="L693" i="24"/>
  <c r="L709" i="24"/>
  <c r="K709" i="24"/>
  <c r="K698" i="24"/>
  <c r="L716" i="25"/>
  <c r="K717" i="25"/>
  <c r="K700" i="25"/>
  <c r="M700" i="25" s="1"/>
  <c r="K684" i="25"/>
  <c r="M684" i="25" s="1"/>
  <c r="K713" i="25"/>
  <c r="M713" i="25" s="1"/>
  <c r="K697" i="25"/>
  <c r="M697" i="25" s="1"/>
  <c r="K681" i="25"/>
  <c r="M681" i="25" s="1"/>
  <c r="K710" i="25"/>
  <c r="M710" i="25" s="1"/>
  <c r="K694" i="25"/>
  <c r="M694" i="25" s="1"/>
  <c r="K678" i="25"/>
  <c r="M678" i="25" s="1"/>
  <c r="K707" i="25"/>
  <c r="M707" i="25" s="1"/>
  <c r="K691" i="25"/>
  <c r="M691" i="25" s="1"/>
  <c r="K675" i="25"/>
  <c r="K704" i="25"/>
  <c r="M704" i="25" s="1"/>
  <c r="K688" i="25"/>
  <c r="K672" i="25"/>
  <c r="K701" i="25"/>
  <c r="M701" i="25" s="1"/>
  <c r="K685" i="25"/>
  <c r="K669" i="25"/>
  <c r="K714" i="25"/>
  <c r="K698" i="25"/>
  <c r="K682" i="25"/>
  <c r="M682" i="25" s="1"/>
  <c r="K708" i="25"/>
  <c r="K692" i="25"/>
  <c r="M692" i="25" s="1"/>
  <c r="K676" i="25"/>
  <c r="M676" i="25" s="1"/>
  <c r="K705" i="25"/>
  <c r="M705" i="25" s="1"/>
  <c r="K689" i="25"/>
  <c r="M689" i="25" s="1"/>
  <c r="K673" i="25"/>
  <c r="K702" i="25"/>
  <c r="M702" i="25" s="1"/>
  <c r="K686" i="25"/>
  <c r="M686" i="25" s="1"/>
  <c r="K670" i="25"/>
  <c r="K699" i="25"/>
  <c r="K683" i="25"/>
  <c r="M683" i="25" s="1"/>
  <c r="K680" i="25"/>
  <c r="M680" i="25" s="1"/>
  <c r="K711" i="25"/>
  <c r="K695" i="25"/>
  <c r="K703" i="25"/>
  <c r="K679" i="25"/>
  <c r="K687" i="25"/>
  <c r="M687" i="25" s="1"/>
  <c r="K706" i="25"/>
  <c r="M706" i="25" s="1"/>
  <c r="K709" i="25"/>
  <c r="M709" i="25" s="1"/>
  <c r="K690" i="25"/>
  <c r="K693" i="25"/>
  <c r="M693" i="25" s="1"/>
  <c r="K674" i="25"/>
  <c r="K712" i="25"/>
  <c r="K696" i="25"/>
  <c r="K671" i="25"/>
  <c r="K677" i="25"/>
  <c r="M674" i="24" l="1"/>
  <c r="I23" i="34" s="1"/>
  <c r="M688" i="24"/>
  <c r="I87" i="34" s="1"/>
  <c r="M697" i="24"/>
  <c r="D151" i="34" s="1"/>
  <c r="M685" i="24"/>
  <c r="F87" i="34" s="1"/>
  <c r="M703" i="24"/>
  <c r="C183" i="34" s="1"/>
  <c r="M680" i="24"/>
  <c r="H55" i="34" s="1"/>
  <c r="M686" i="24"/>
  <c r="G87" i="34" s="1"/>
  <c r="M699" i="24"/>
  <c r="F151" i="34" s="1"/>
  <c r="M687" i="24"/>
  <c r="H87" i="34" s="1"/>
  <c r="M696" i="24"/>
  <c r="C151" i="34" s="1"/>
  <c r="M669" i="24"/>
  <c r="D23" i="34" s="1"/>
  <c r="M675" i="24"/>
  <c r="C55" i="34" s="1"/>
  <c r="M684" i="24"/>
  <c r="E87" i="34" s="1"/>
  <c r="M696" i="25"/>
  <c r="M705" i="24"/>
  <c r="E183" i="34" s="1"/>
  <c r="M695" i="24"/>
  <c r="I119" i="34" s="1"/>
  <c r="M689" i="24"/>
  <c r="C119" i="34" s="1"/>
  <c r="M709" i="24"/>
  <c r="I183" i="34" s="1"/>
  <c r="M677" i="24"/>
  <c r="E55" i="34" s="1"/>
  <c r="M671" i="24"/>
  <c r="F23" i="34" s="1"/>
  <c r="M707" i="24"/>
  <c r="G183" i="34" s="1"/>
  <c r="M672" i="24"/>
  <c r="G23" i="34" s="1"/>
  <c r="M713" i="24"/>
  <c r="F215" i="34" s="1"/>
  <c r="M672" i="25"/>
  <c r="M673" i="25"/>
  <c r="M675" i="25"/>
  <c r="M712" i="25"/>
  <c r="M701" i="24"/>
  <c r="H151" i="34" s="1"/>
  <c r="M678" i="24"/>
  <c r="F55" i="34" s="1"/>
  <c r="M698" i="25"/>
  <c r="M695" i="25"/>
  <c r="M714" i="25"/>
  <c r="M676" i="24"/>
  <c r="D55" i="34" s="1"/>
  <c r="M679" i="24"/>
  <c r="G55" i="34" s="1"/>
  <c r="M671" i="25"/>
  <c r="M674" i="25"/>
  <c r="M691" i="24"/>
  <c r="E119" i="34" s="1"/>
  <c r="M711" i="25"/>
  <c r="M683" i="24"/>
  <c r="D87" i="34" s="1"/>
  <c r="M694" i="24"/>
  <c r="H119" i="34" s="1"/>
  <c r="M700" i="24"/>
  <c r="G151" i="34" s="1"/>
  <c r="M670" i="24"/>
  <c r="E23" i="34" s="1"/>
  <c r="M711" i="24"/>
  <c r="D215" i="34" s="1"/>
  <c r="M702" i="24"/>
  <c r="I151" i="34" s="1"/>
  <c r="M704" i="24"/>
  <c r="D183" i="34" s="1"/>
  <c r="M692" i="24"/>
  <c r="F119" i="34" s="1"/>
  <c r="M708" i="24"/>
  <c r="H183" i="34" s="1"/>
  <c r="M679" i="25"/>
  <c r="M690" i="25"/>
  <c r="M685" i="25"/>
  <c r="M708" i="25"/>
  <c r="M677" i="25"/>
  <c r="M703" i="25"/>
  <c r="M699" i="25"/>
  <c r="M670" i="25"/>
  <c r="M688" i="25"/>
  <c r="M682" i="24"/>
  <c r="C87" i="34" s="1"/>
  <c r="L715" i="24"/>
  <c r="M673" i="24"/>
  <c r="H23" i="34" s="1"/>
  <c r="K715" i="24"/>
  <c r="M668" i="24"/>
  <c r="M693" i="24"/>
  <c r="M698" i="24"/>
  <c r="E151" i="34" s="1"/>
  <c r="K716" i="25"/>
  <c r="M669" i="25"/>
  <c r="M716" i="25" s="1"/>
  <c r="G119" i="34" l="1"/>
  <c r="C23" i="34"/>
  <c r="M715" i="24"/>
</calcChain>
</file>

<file path=xl/sharedStrings.xml><?xml version="1.0" encoding="utf-8"?>
<sst xmlns="http://schemas.openxmlformats.org/spreadsheetml/2006/main" count="4834" uniqueCount="1383">
  <si>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</si>
  <si>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</si>
  <si>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</si>
  <si>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</si>
  <si>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</si>
  <si>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</si>
  <si>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</si>
  <si>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</si>
  <si>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</si>
  <si>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</si>
  <si>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</si>
  <si>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</si>
  <si>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</si>
  <si>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</si>
  <si>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</si>
  <si>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</si>
  <si>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</si>
  <si>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</si>
  <si>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</si>
  <si>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</si>
  <si>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</si>
  <si>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</si>
  <si>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</si>
  <si>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</si>
  <si>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</si>
  <si>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</si>
  <si>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</si>
  <si>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</si>
  <si>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</si>
  <si>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</si>
  <si>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</si>
  <si>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</si>
  <si>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</si>
  <si>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</si>
  <si>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</si>
  <si>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</si>
  <si>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</si>
  <si>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</si>
  <si>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</si>
  <si>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</si>
  <si>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</si>
  <si>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</si>
  <si>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</si>
  <si>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</si>
  <si>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</si>
  <si>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</si>
  <si>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</si>
  <si>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</si>
  <si>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</si>
  <si>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</si>
  <si>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</si>
  <si>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</si>
  <si>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</si>
  <si>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</si>
  <si>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</si>
  <si>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</si>
  <si>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</si>
  <si>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</si>
  <si>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</si>
  <si>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</si>
  <si>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</si>
  <si>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</si>
  <si>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</si>
  <si>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</si>
  <si>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</si>
  <si>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</si>
  <si>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</si>
  <si>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</si>
  <si>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</si>
  <si>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</si>
  <si>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</si>
  <si>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</si>
  <si>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</si>
  <si>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</si>
  <si>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</si>
  <si>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</si>
  <si>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</si>
  <si>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</si>
  <si>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</si>
  <si>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</si>
  <si>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</si>
  <si>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</si>
  <si>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</si>
  <si>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</si>
  <si>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</si>
  <si>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</si>
  <si>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</si>
  <si>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</si>
  <si>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</si>
  <si>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</si>
  <si>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</si>
  <si>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</si>
  <si>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</si>
  <si>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</si>
  <si>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</si>
  <si>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</si>
  <si>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</si>
  <si>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</si>
  <si>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</si>
  <si>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</si>
  <si>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</si>
  <si>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</si>
  <si>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</si>
  <si>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</si>
  <si>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</si>
  <si>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</si>
  <si>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</si>
  <si>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</si>
  <si>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</si>
  <si>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</si>
  <si>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</si>
  <si>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</si>
  <si>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</si>
  <si>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</si>
  <si>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</si>
  <si>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</si>
  <si>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</si>
  <si>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</si>
  <si>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</si>
  <si>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</si>
  <si>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</si>
  <si>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</si>
  <si>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</si>
  <si>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</si>
  <si>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</si>
  <si>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</si>
  <si>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</si>
  <si>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</si>
  <si>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</si>
  <si>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</si>
  <si>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</si>
  <si>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</si>
  <si>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</si>
  <si>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</si>
  <si>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</si>
  <si>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</si>
  <si>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</si>
  <si>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</si>
  <si>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</si>
  <si>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</si>
  <si>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</si>
  <si>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</si>
  <si>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</si>
  <si>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</si>
  <si>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</si>
  <si>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</si>
  <si>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</si>
  <si>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</si>
  <si>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</si>
  <si>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</si>
  <si>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</si>
  <si>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</si>
  <si>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</si>
  <si>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</si>
  <si>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</si>
  <si>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</si>
  <si>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</si>
  <si>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</si>
  <si>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</si>
  <si>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</si>
  <si>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</si>
  <si>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</si>
  <si>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</si>
  <si>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</si>
  <si>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</si>
  <si>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</si>
  <si>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</si>
  <si>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</si>
  <si>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</si>
  <si>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</si>
  <si>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</si>
  <si>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</si>
  <si>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</si>
  <si>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</si>
  <si>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</si>
  <si>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</si>
  <si>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</si>
  <si>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</si>
  <si>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</si>
  <si>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</si>
  <si>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</si>
  <si>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</si>
  <si>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</si>
  <si>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</si>
  <si>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</si>
  <si>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</si>
  <si>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</si>
  <si>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</si>
  <si>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</si>
  <si>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</si>
  <si>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</si>
  <si>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</si>
  <si>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</si>
  <si>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</si>
  <si>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</si>
  <si>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</si>
  <si>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</si>
  <si>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</si>
  <si>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</si>
  <si>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</si>
  <si>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</si>
  <si>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</si>
  <si>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</si>
  <si>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</si>
  <si>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</si>
  <si>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</si>
  <si>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</si>
  <si>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</si>
  <si>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</si>
  <si>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</si>
  <si>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</si>
  <si>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</si>
  <si>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</si>
  <si>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</si>
  <si>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</si>
  <si>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</si>
  <si>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</si>
  <si>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</si>
  <si>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</si>
  <si>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</si>
  <si>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</si>
  <si>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</si>
  <si>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</si>
  <si>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</si>
  <si>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</si>
  <si>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</si>
  <si>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</si>
  <si>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</si>
  <si>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</si>
  <si>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</si>
  <si>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</si>
  <si>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</si>
  <si>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</si>
  <si>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</si>
  <si>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</si>
  <si>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</si>
  <si>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</si>
  <si>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</si>
  <si>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</si>
  <si>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</si>
  <si>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</si>
  <si>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</si>
  <si>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</si>
  <si>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</si>
  <si>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</si>
  <si>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</si>
  <si>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</si>
  <si>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</si>
  <si>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</si>
  <si>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</si>
  <si>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</si>
  <si>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</si>
  <si>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</si>
  <si>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</si>
  <si>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</si>
  <si>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</si>
  <si>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</si>
  <si>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</si>
  <si>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</si>
  <si>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</si>
  <si>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</si>
  <si>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</si>
  <si>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</si>
  <si>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</si>
  <si>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</si>
  <si>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</si>
  <si>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</si>
  <si>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</si>
  <si>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</si>
  <si>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</si>
  <si>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</si>
  <si>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</si>
  <si>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</si>
  <si>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</si>
  <si>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</si>
  <si>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</si>
  <si>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</si>
  <si>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</si>
  <si>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</si>
  <si>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</si>
  <si>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</si>
  <si>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</si>
  <si>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</si>
  <si>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</si>
  <si>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</si>
  <si>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</si>
  <si>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</si>
  <si>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</si>
  <si>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</si>
  <si>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</si>
  <si>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</si>
  <si>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</si>
  <si>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</si>
  <si>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</si>
  <si>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</si>
  <si>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</si>
  <si>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</si>
  <si>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</si>
  <si>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</si>
  <si>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</si>
  <si>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107</t>
  </si>
  <si>
    <t>Hospital Name</t>
  </si>
  <si>
    <t>NORTH VALLEY HOSPITAL OCPHD#4</t>
  </si>
  <si>
    <t>Mailing Address</t>
  </si>
  <si>
    <t>203 S WESTERN AVE</t>
  </si>
  <si>
    <t>City</t>
  </si>
  <si>
    <t>TONASKET</t>
  </si>
  <si>
    <t>State</t>
  </si>
  <si>
    <t>WA 98855</t>
  </si>
  <si>
    <t>Zip</t>
  </si>
  <si>
    <t>County</t>
  </si>
  <si>
    <t>OKANOGAN</t>
  </si>
  <si>
    <t>Chief Executive Officer</t>
  </si>
  <si>
    <t>John McReynolds</t>
  </si>
  <si>
    <t>Chief Financial Officer</t>
  </si>
  <si>
    <t>Matthew Matthiessen</t>
  </si>
  <si>
    <t>Chair of Governing Board</t>
  </si>
  <si>
    <t>Jean Pfeifer</t>
  </si>
  <si>
    <t>Telephone Number</t>
  </si>
  <si>
    <t>509-486-3119</t>
  </si>
  <si>
    <t>Facsimile Number</t>
  </si>
  <si>
    <t>509-486-4637</t>
  </si>
  <si>
    <t>Name of Submitter</t>
  </si>
  <si>
    <t>Jeanette Ring</t>
  </si>
  <si>
    <t>Email of Submitter</t>
  </si>
  <si>
    <t>jring@dzacpa.com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</si>
  <si>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</si>
  <si>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</si>
  <si>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</si>
  <si>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</si>
  <si>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</si>
  <si>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</si>
  <si>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</si>
  <si>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</si>
  <si>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</si>
  <si>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</si>
  <si>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</si>
  <si>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</si>
  <si>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</si>
  <si>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</si>
  <si>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</si>
  <si>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</si>
  <si>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</si>
  <si>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</si>
  <si>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</si>
  <si>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</si>
  <si>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</si>
  <si>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</si>
  <si>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</si>
  <si>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</si>
  <si>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</si>
  <si>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</si>
  <si>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</si>
  <si>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</si>
  <si>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</si>
  <si>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</si>
  <si>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</si>
  <si>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</si>
  <si>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</si>
  <si>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</si>
  <si>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</si>
  <si>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</si>
  <si>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</si>
  <si>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</si>
  <si>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</si>
  <si>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</si>
  <si>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</si>
  <si>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</si>
  <si>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</si>
  <si>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</si>
  <si>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</si>
  <si>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</si>
  <si>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</si>
  <si>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</si>
  <si>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</si>
  <si>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</si>
  <si>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</si>
  <si>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</si>
  <si>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</si>
  <si>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</si>
  <si>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</si>
  <si>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</si>
  <si>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</si>
  <si>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</si>
  <si>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</si>
  <si>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</si>
  <si>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</si>
  <si>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</si>
  <si>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</si>
  <si>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</si>
  <si>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</si>
  <si>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</si>
  <si>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</si>
  <si>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</si>
  <si>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</si>
  <si>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</si>
  <si>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</si>
  <si>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</si>
  <si>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</si>
  <si>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</si>
  <si>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</si>
  <si>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</si>
  <si>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</si>
  <si>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</si>
  <si>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</si>
  <si>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</si>
  <si>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</si>
  <si>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</si>
  <si>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</si>
  <si>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</si>
  <si>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</si>
  <si>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</si>
  <si>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</si>
  <si>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</si>
  <si>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</si>
  <si>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</si>
  <si>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</si>
  <si>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</si>
  <si>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</si>
  <si>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</si>
  <si>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</si>
  <si>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</si>
  <si>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</si>
  <si>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</si>
  <si>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</si>
  <si>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</si>
  <si>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</si>
  <si>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</si>
  <si>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</si>
  <si>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</si>
  <si>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</si>
  <si>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</si>
  <si>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</si>
  <si>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</si>
  <si>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</si>
  <si>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</si>
  <si>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</si>
  <si>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</si>
  <si>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</si>
  <si>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</si>
  <si>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</si>
  <si>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</si>
  <si>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</si>
  <si>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</si>
  <si>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</si>
  <si>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</si>
  <si>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</si>
  <si>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</si>
  <si>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</si>
  <si>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</si>
  <si>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</si>
  <si>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</si>
  <si>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</si>
  <si>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</si>
  <si>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</si>
  <si>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</si>
  <si>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</si>
  <si>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</si>
  <si>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</si>
  <si>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</si>
  <si>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</si>
  <si>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</si>
  <si>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</si>
  <si>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</si>
  <si>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</si>
  <si>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</si>
  <si>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</si>
  <si>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</si>
  <si>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</si>
  <si>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</si>
  <si>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</si>
  <si>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</si>
  <si>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</si>
  <si>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</si>
  <si>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</si>
  <si>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</si>
  <si>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</si>
  <si>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</si>
  <si>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</si>
  <si>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</si>
  <si>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</si>
  <si>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</si>
  <si>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</si>
  <si>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</si>
  <si>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</si>
  <si>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</si>
  <si>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</si>
  <si>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</si>
  <si>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</si>
  <si>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</si>
  <si>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</si>
  <si>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</si>
  <si>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</si>
  <si>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</si>
  <si>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</si>
  <si>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</si>
  <si>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</si>
  <si>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</si>
  <si>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</si>
  <si>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</si>
  <si>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</si>
  <si>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</si>
  <si>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</si>
  <si>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</si>
  <si>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</si>
  <si>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</si>
  <si>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</si>
  <si>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</si>
  <si>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</si>
  <si>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</si>
  <si>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</si>
  <si>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</si>
  <si>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</si>
  <si>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</si>
  <si>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</si>
  <si>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</si>
  <si>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</si>
  <si>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</si>
  <si>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</si>
  <si>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</si>
  <si>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</si>
  <si>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</si>
  <si>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</si>
  <si>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</si>
  <si>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</si>
  <si>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</si>
  <si>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</si>
  <si>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</si>
  <si>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</si>
  <si>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</si>
  <si>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</si>
  <si>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</si>
  <si>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</si>
  <si>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</si>
  <si>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</si>
  <si>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</si>
  <si>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</si>
  <si>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</si>
  <si>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</si>
  <si>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</si>
  <si>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</si>
  <si>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</si>
  <si>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</si>
  <si>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</si>
  <si>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</si>
  <si>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</si>
  <si>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</si>
  <si>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</si>
  <si>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</si>
  <si>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</si>
  <si>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</si>
  <si>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</si>
  <si>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</si>
  <si>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</si>
  <si>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</si>
  <si>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</si>
  <si>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</si>
  <si>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</si>
  <si>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</si>
  <si>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</si>
  <si>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</si>
  <si>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</si>
  <si>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</si>
  <si>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</si>
  <si>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</si>
  <si>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</si>
  <si>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</si>
  <si>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</si>
  <si>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</si>
  <si>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</si>
  <si>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</si>
  <si>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</si>
  <si>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</si>
  <si>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</si>
  <si>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</si>
  <si>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</si>
  <si>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</si>
  <si>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</si>
  <si>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</si>
  <si>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</si>
  <si>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</si>
  <si>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</si>
  <si>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</si>
  <si>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</si>
  <si>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</si>
  <si>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</si>
  <si>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</si>
  <si>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</si>
  <si>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</si>
  <si>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</si>
  <si>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</si>
  <si>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</si>
  <si>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</si>
  <si>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</si>
  <si>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</si>
  <si>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</si>
  <si>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</si>
  <si>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</si>
  <si>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</si>
  <si>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</si>
  <si>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</si>
  <si>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</si>
  <si>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</si>
  <si>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</si>
  <si>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</si>
  <si>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</si>
  <si>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</si>
  <si>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</si>
  <si>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</si>
  <si>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</si>
  <si>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</si>
  <si>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</si>
  <si>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</si>
  <si>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</si>
  <si>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</si>
  <si>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</si>
  <si>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</si>
  <si>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</si>
  <si>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</si>
  <si>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</si>
  <si>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</si>
  <si>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</si>
  <si>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</si>
  <si>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</si>
  <si>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</si>
  <si>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</si>
  <si>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</si>
  <si>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</si>
  <si>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</si>
  <si>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</si>
  <si>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</si>
  <si>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</si>
  <si>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</si>
  <si>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</si>
  <si>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</si>
  <si>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</si>
  <si>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</si>
  <si>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</si>
  <si>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</si>
  <si>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</si>
  <si>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</si>
  <si>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</si>
  <si>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</si>
  <si>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</si>
  <si>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</si>
  <si>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</si>
  <si>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</si>
  <si>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</si>
  <si>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</si>
  <si>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</si>
  <si>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</si>
  <si>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</si>
  <si>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</si>
  <si>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</si>
  <si>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</si>
  <si>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</si>
  <si>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</si>
  <si>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</si>
  <si>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</si>
  <si>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</si>
  <si>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</si>
  <si>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</si>
  <si>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</si>
  <si>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</si>
  <si>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</si>
  <si>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</si>
  <si>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</si>
  <si>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</si>
  <si>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</si>
  <si>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</si>
  <si>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</si>
  <si>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</si>
  <si>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</si>
  <si>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</si>
  <si>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</si>
  <si>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</si>
  <si>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</si>
  <si>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</si>
  <si>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</si>
  <si>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</si>
  <si>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</si>
  <si>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</si>
  <si>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</si>
  <si>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</si>
  <si>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</si>
  <si>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</si>
  <si>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</si>
  <si>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</si>
  <si>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</si>
  <si>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</si>
  <si>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</si>
  <si>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</si>
  <si>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</si>
  <si>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</si>
  <si>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</si>
  <si>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</si>
  <si>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</si>
  <si>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</si>
  <si>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</si>
  <si>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</si>
  <si>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</si>
  <si>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</si>
  <si>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</si>
  <si>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</si>
  <si>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</si>
  <si>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</si>
  <si>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</si>
  <si>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</si>
  <si>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</si>
  <si>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</si>
  <si>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</si>
  <si>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</si>
  <si>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</si>
  <si>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</si>
  <si>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</si>
  <si>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</si>
  <si>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</si>
  <si>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</si>
  <si>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</si>
  <si>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</si>
  <si>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</si>
  <si>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</si>
  <si>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</si>
  <si>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</si>
  <si>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</si>
  <si>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</si>
  <si>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</si>
  <si>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</si>
  <si>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</si>
  <si>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</si>
  <si>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</si>
  <si>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</si>
  <si>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</si>
  <si>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</si>
  <si>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</si>
  <si>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</si>
  <si>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</si>
  <si>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</si>
  <si>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</si>
  <si>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</si>
  <si>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</si>
  <si>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</si>
  <si>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</si>
  <si>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</si>
  <si>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</si>
  <si>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</si>
  <si>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</si>
  <si>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</si>
  <si>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</si>
  <si>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</si>
  <si>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</si>
  <si>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</si>
  <si>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</si>
  <si>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</si>
  <si>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</si>
  <si>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</si>
  <si>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</si>
  <si>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</si>
  <si>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</si>
  <si>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</si>
  <si>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</si>
  <si>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</si>
  <si>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</si>
  <si>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</si>
  <si>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</si>
  <si>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</si>
  <si>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</si>
  <si>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</si>
  <si>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</si>
  <si>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</si>
  <si>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</si>
  <si>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</si>
  <si>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</si>
  <si>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</si>
  <si>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</si>
  <si>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</si>
  <si>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</si>
  <si>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</si>
  <si>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</si>
  <si>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</si>
  <si>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</si>
  <si>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</si>
  <si>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</si>
  <si>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</si>
  <si>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</si>
  <si>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</si>
  <si>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</si>
  <si>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</si>
  <si>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</si>
  <si>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</si>
  <si>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</si>
  <si>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</si>
  <si>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</si>
  <si>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</si>
  <si>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</si>
  <si>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</si>
  <si>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</si>
  <si>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</si>
  <si>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</si>
  <si>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</si>
  <si>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</si>
  <si>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</si>
  <si>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</si>
  <si>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</si>
  <si>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</si>
  <si>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</si>
  <si>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</si>
  <si>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</si>
  <si>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</si>
  <si>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</si>
  <si>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</si>
  <si>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</si>
  <si>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</si>
  <si>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</si>
  <si>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</si>
  <si>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</si>
  <si>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</si>
  <si>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</si>
  <si>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</si>
  <si>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</si>
  <si>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</si>
  <si>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</si>
  <si>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</si>
  <si>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</si>
  <si>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</si>
  <si>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</si>
  <si>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</si>
  <si>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</si>
  <si>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</si>
  <si>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</si>
  <si>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</si>
  <si>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</si>
  <si>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</si>
  <si>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</si>
  <si>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</si>
  <si>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</si>
  <si>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</si>
  <si>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</si>
  <si>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</si>
  <si>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</si>
  <si>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</si>
  <si>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</si>
  <si>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</si>
  <si>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</si>
  <si>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</si>
  <si>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</si>
  <si>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</si>
  <si>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</si>
  <si>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</si>
  <si>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</si>
  <si>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</si>
  <si>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</si>
  <si>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</si>
  <si>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</si>
  <si>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</si>
  <si>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</si>
  <si>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</si>
  <si>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</si>
  <si>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</si>
  <si>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</si>
  <si>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</si>
  <si>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</si>
  <si>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</si>
  <si>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</si>
  <si>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</si>
  <si>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</si>
  <si>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</si>
  <si>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</si>
  <si>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</si>
  <si>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</si>
  <si>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</si>
  <si>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</si>
  <si>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</si>
  <si>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</si>
  <si>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</si>
  <si>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</si>
  <si>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</si>
  <si>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</si>
  <si>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</si>
  <si>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</si>
  <si>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</si>
  <si>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</si>
  <si>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</si>
  <si>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</si>
  <si>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</si>
  <si>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</si>
  <si>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</si>
  <si>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</si>
  <si>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</si>
  <si>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</si>
  <si>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</si>
  <si>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</si>
  <si>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</si>
  <si>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</si>
  <si>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</si>
  <si>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</si>
  <si>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</si>
  <si>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</si>
  <si>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</si>
  <si>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</si>
  <si>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</si>
  <si>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</si>
  <si>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</si>
  <si>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</si>
  <si>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</si>
  <si>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</si>
  <si>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</si>
  <si>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</si>
  <si>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</si>
  <si>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</si>
  <si>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</si>
  <si>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</si>
  <si>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</si>
  <si>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</si>
  <si>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</si>
  <si>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</si>
  <si>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</si>
  <si>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</si>
  <si>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</si>
  <si>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</si>
  <si>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</si>
  <si>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</si>
  <si>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</si>
  <si>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</si>
  <si>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</si>
  <si>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</si>
  <si>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</si>
  <si>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</si>
  <si>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</si>
  <si>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</si>
  <si>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</si>
  <si>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</si>
  <si>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</si>
  <si>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</si>
  <si>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</si>
  <si>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</si>
  <si>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</si>
  <si>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</si>
  <si>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</si>
  <si>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</si>
  <si>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</si>
  <si>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</si>
  <si>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</si>
  <si>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</si>
  <si>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</si>
  <si>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</si>
  <si>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</si>
  <si>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</si>
  <si>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</si>
  <si>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</si>
  <si>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</si>
  <si>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</si>
  <si>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</si>
  <si>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</si>
  <si>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</si>
  <si>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</si>
  <si>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</si>
  <si>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</si>
  <si>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</si>
  <si>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</si>
  <si>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</si>
  <si>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</si>
  <si>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</si>
  <si>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</si>
  <si>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</si>
  <si>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</si>
  <si>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</si>
  <si>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</si>
  <si>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</si>
  <si>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</si>
  <si>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</si>
  <si>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</si>
  <si>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</si>
  <si>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</si>
  <si>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</si>
  <si>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</si>
  <si>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</si>
  <si>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</si>
  <si>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</si>
  <si>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</si>
  <si>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</si>
  <si>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</si>
  <si>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</si>
  <si>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</si>
  <si>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</si>
  <si>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</si>
  <si>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</si>
  <si>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</si>
  <si>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</si>
  <si>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</si>
  <si>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</si>
  <si>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</si>
  <si>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</si>
  <si>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</si>
  <si>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</si>
  <si>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</si>
  <si>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</si>
  <si>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</si>
  <si>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</si>
  <si>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</si>
  <si>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</si>
  <si>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</si>
  <si>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</si>
  <si>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</si>
  <si>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</si>
  <si>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</si>
  <si>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</si>
  <si>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</si>
  <si>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</si>
  <si>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</si>
  <si>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</si>
  <si>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</si>
  <si>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</si>
  <si>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</si>
  <si>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</si>
  <si>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</si>
  <si>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</si>
  <si>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</si>
  <si>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</si>
  <si>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</si>
  <si>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</si>
  <si>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</si>
  <si>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</si>
  <si>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</si>
  <si>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</si>
  <si>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</si>
  <si>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</si>
  <si>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</si>
  <si>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</si>
  <si>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</si>
  <si>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</si>
  <si>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</si>
  <si>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</si>
  <si>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</si>
  <si>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</si>
  <si>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</si>
  <si>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</si>
  <si>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</si>
  <si>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</si>
  <si>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</si>
  <si>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</si>
  <si>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</si>
  <si>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</si>
  <si>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</si>
  <si>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</si>
  <si>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</si>
  <si>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</si>
  <si>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</si>
  <si>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</si>
  <si>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</si>
  <si>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</si>
  <si>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</si>
  <si>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</si>
  <si>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</si>
  <si>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</si>
  <si>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</si>
  <si>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</si>
  <si>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</si>
  <si>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</si>
  <si>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</si>
  <si>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</si>
  <si>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</si>
  <si>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</si>
  <si>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</si>
  <si>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</si>
  <si>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</si>
  <si>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</si>
  <si>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</si>
  <si>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</si>
  <si>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</si>
  <si>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</si>
  <si>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</si>
  <si>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</si>
  <si>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</si>
  <si>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</si>
  <si>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</si>
  <si>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</si>
  <si>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</si>
  <si>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</si>
  <si>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</si>
  <si>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</si>
  <si>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</si>
  <si>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</si>
  <si>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</si>
  <si>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</si>
  <si>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</si>
  <si>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</si>
  <si>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</si>
  <si>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</si>
  <si>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</si>
  <si>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</si>
  <si>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</si>
  <si>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</si>
  <si>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</si>
  <si>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</si>
  <si>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</si>
  <si>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</si>
  <si>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</si>
  <si>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</si>
  <si>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</si>
  <si>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</si>
  <si>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</si>
  <si>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</si>
  <si>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</si>
  <si>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</si>
  <si>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</si>
  <si>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</si>
  <si>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</si>
  <si>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</si>
  <si>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</si>
  <si>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</si>
  <si>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</si>
  <si>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</si>
  <si>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</si>
  <si>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</si>
  <si>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</si>
  <si>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</si>
  <si>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</si>
  <si>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</si>
  <si>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</si>
  <si>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</si>
  <si>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</si>
  <si>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</si>
  <si>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</si>
  <si>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</si>
  <si>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</si>
  <si>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</si>
  <si>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</si>
  <si>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</si>
  <si>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</si>
  <si>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</si>
  <si>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</si>
  <si>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</si>
  <si>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</si>
  <si>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</si>
  <si>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</si>
  <si>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</si>
  <si>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</si>
  <si>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</si>
  <si>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</si>
  <si>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</si>
  <si>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</si>
  <si>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</si>
  <si>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</si>
  <si>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</si>
  <si>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</si>
  <si>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</si>
  <si>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</si>
  <si>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</si>
  <si>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</si>
  <si>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</si>
  <si>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</si>
  <si>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</si>
  <si>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</si>
  <si>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</si>
  <si>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</si>
  <si>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</si>
  <si>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</si>
  <si>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</si>
  <si>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</si>
  <si>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</si>
  <si>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</si>
  <si>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</si>
  <si>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</si>
  <si>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</si>
  <si>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</si>
  <si>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</si>
  <si>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</si>
  <si>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</si>
  <si>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</si>
  <si>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</si>
  <si>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</si>
  <si>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</si>
  <si>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</si>
  <si>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</si>
  <si>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</si>
  <si>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</si>
  <si>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</si>
  <si>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</si>
  <si>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</si>
  <si>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</si>
  <si>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</si>
  <si>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</si>
  <si>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</si>
  <si>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</si>
  <si>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</si>
  <si>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</si>
  <si>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</si>
  <si>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</si>
  <si>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</si>
  <si>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</si>
  <si>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</si>
  <si>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</si>
  <si>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</si>
  <si>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</si>
  <si>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</si>
  <si>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</si>
  <si>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</si>
  <si>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</si>
  <si>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</si>
  <si>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</si>
  <si>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</si>
  <si>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</si>
  <si>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</si>
  <si>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</si>
  <si>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</si>
  <si>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</si>
  <si>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</si>
  <si>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</si>
  <si>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</si>
  <si>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</si>
  <si>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</si>
  <si>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</si>
  <si>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</si>
  <si>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</si>
  <si>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</si>
  <si>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</si>
  <si>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</si>
  <si>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</si>
  <si>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</si>
  <si>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</si>
  <si>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</si>
  <si>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</si>
  <si>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</si>
  <si>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</si>
  <si>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</si>
  <si>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</si>
  <si>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</si>
  <si>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</si>
  <si>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</si>
  <si>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</si>
  <si>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</si>
  <si>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</si>
  <si>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</si>
  <si>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</si>
  <si>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</si>
  <si>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</si>
  <si>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</si>
  <si>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</si>
  <si>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</si>
  <si>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</si>
  <si>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</si>
  <si>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</si>
  <si>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</si>
  <si>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</si>
  <si>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</si>
  <si>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</si>
  <si>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</si>
  <si>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</si>
  <si>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</si>
  <si>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</si>
  <si>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</si>
  <si>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</si>
  <si>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</si>
  <si>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</si>
  <si>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</si>
  <si>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</si>
  <si>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</si>
  <si>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</si>
  <si>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</si>
  <si>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</si>
  <si>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</si>
  <si>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</si>
  <si>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</si>
  <si>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</si>
  <si>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</si>
  <si>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</si>
  <si>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</si>
  <si>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</si>
  <si>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</si>
  <si>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</si>
  <si>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</si>
  <si>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</si>
  <si>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</si>
  <si>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</si>
  <si>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</si>
  <si>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</si>
  <si>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</si>
  <si>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</si>
  <si>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</si>
  <si>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</si>
  <si>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</si>
  <si>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</si>
  <si>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</si>
  <si>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</si>
  <si>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</si>
  <si>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</si>
  <si>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</si>
  <si>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</si>
  <si>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</si>
  <si>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</si>
  <si>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</si>
  <si>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</si>
  <si>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</si>
  <si>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</si>
  <si>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</si>
  <si>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</si>
  <si>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</si>
  <si>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</si>
  <si>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</si>
  <si>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</si>
  <si>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</si>
  <si>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</si>
  <si>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</si>
  <si>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</si>
  <si>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</si>
  <si>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</si>
  <si>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</si>
  <si>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</si>
  <si>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</si>
  <si>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</si>
  <si>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</si>
  <si>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</si>
  <si>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</si>
  <si>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</si>
  <si>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</si>
  <si>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</si>
  <si>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</si>
  <si>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</si>
  <si>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</si>
  <si>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</si>
  <si>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</si>
  <si>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</si>
  <si>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</si>
  <si>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</si>
  <si>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</si>
  <si>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</si>
  <si>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</si>
  <si>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</si>
  <si>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</si>
  <si>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</si>
  <si>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</si>
  <si>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</si>
  <si>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</si>
  <si>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</si>
  <si>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</si>
  <si>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</si>
  <si>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</si>
  <si>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</si>
  <si>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</si>
  <si>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</si>
  <si>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</si>
  <si>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</si>
  <si>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</si>
  <si>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</si>
  <si>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</si>
  <si>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</si>
  <si>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</si>
  <si>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</si>
  <si>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</si>
  <si>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</si>
  <si>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</si>
  <si>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</si>
  <si>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</si>
  <si>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</si>
  <si>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</si>
  <si>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</si>
  <si>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</si>
  <si>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</si>
  <si>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</si>
  <si>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</si>
  <si>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</si>
  <si>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</si>
  <si>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Adam Tibbs</t>
  </si>
  <si>
    <t>There was a decrease in the unit of measure and yet more than double the allocation of Purchased services due to the significant increase in purchased services found above in Acute Care.</t>
  </si>
  <si>
    <t>There was over $700,000 increase in purchased services which caused almost 300% increase in allocated purchased services.</t>
  </si>
  <si>
    <t>The amount of recovery room encounters dropped significantly by more than half the amount.</t>
  </si>
  <si>
    <t>There were half as many encounters for anesthesiology in the CY. The reason for the significant drop in expenses is because there was a significant shift from professional fees going away ($500,000+ in PY) and salaries and wages appearing in the CY ($75,000).</t>
  </si>
  <si>
    <t>There was half the number of encounters in the CY and a $50,000 increase in purchased services.</t>
  </si>
  <si>
    <t>There was $60,000 in allocation of Purchased services due to the significant increase in purchased services found above in Acute Care. Salaries and wages also increase by $30,000.</t>
  </si>
  <si>
    <t>In FY23 we entered recoveries in column 8320, which reduced the amount of expenses in this comparison.</t>
  </si>
  <si>
    <t>Fluctuation Analysis and Response:</t>
  </si>
  <si>
    <t>OTHER REVENUE-GENERAL</t>
  </si>
  <si>
    <t>REBATES-GENERAL</t>
  </si>
  <si>
    <t>MEDICAL RECORDS-GENERAL</t>
  </si>
  <si>
    <t>OTHER REVENUE-INTER-COMPANY</t>
  </si>
  <si>
    <t>MISC. REV</t>
  </si>
  <si>
    <t>DIETARY REVENUE-FOOD SERVICE</t>
  </si>
  <si>
    <t>LAUNDRY REVENUE-LAUNDRY</t>
  </si>
  <si>
    <t>MISC RECEIPTS -OTHER REV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</si>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</sst>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9"/>
      <name val="Calibri"/>
      <family val="2"/>
    </font>
    <font>
      <u/>
      <sz val="11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23">
    <xf numFmtId="37" fontId="0" fillId="0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9" borderId="0"/>
    <xf numFmtId="0" fontId="5" fillId="29" borderId="0"/>
    <xf numFmtId="0" fontId="38" fillId="29" borderId="0"/>
    <xf numFmtId="0" fontId="5" fillId="29" borderId="0"/>
    <xf numFmtId="0" fontId="5" fillId="29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30" borderId="0"/>
    <xf numFmtId="0" fontId="41" fillId="30" borderId="0"/>
    <xf numFmtId="0" fontId="37" fillId="3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  <xf numFmtId="0" fontId="34" fillId="0" borderId="0" applyBorder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34" fillId="0" borderId="0" applyBorder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8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8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8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8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8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8" fillId="29" borderId="0" applyNumberFormat="0" applyBorder="0" applyAlignment="0" applyProtection="0"/>
    <xf numFmtId="0" fontId="3" fillId="29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30" borderId="0" applyNumberFormat="0" applyBorder="0" applyAlignment="0" applyProtection="0"/>
    <xf numFmtId="0" fontId="41" fillId="30" borderId="0" applyNumberFormat="0" applyBorder="0" applyAlignment="0" applyProtection="0"/>
    <xf numFmtId="0" fontId="37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0" fontId="3" fillId="10" borderId="3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365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8" fillId="0" borderId="1" xfId="0" quotePrefix="1" applyFont="1" applyBorder="1" applyProtection="1">
      <protection locked="0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8" fillId="0" borderId="1" xfId="547" quotePrefix="1" applyNumberFormat="1" applyFont="1" applyBorder="1" applyProtection="1">
      <protection locked="0"/>
    </xf>
    <xf numFmtId="37" fontId="18" fillId="0" borderId="1" xfId="547" applyNumberFormat="1" applyFont="1" applyBorder="1" applyProtection="1">
      <protection locked="0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8" fillId="4" borderId="1" xfId="0" quotePrefix="1" applyFont="1" applyFill="1" applyBorder="1" applyProtection="1">
      <protection locked="0"/>
    </xf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8" fontId="18" fillId="4" borderId="14" xfId="0" applyNumberFormat="1" applyFont="1" applyFill="1" applyBorder="1" applyProtection="1">
      <protection locked="0"/>
    </xf>
    <xf numFmtId="38" fontId="18" fillId="4" borderId="8" xfId="0" applyNumberFormat="1" applyFont="1" applyFill="1" applyBorder="1" applyProtection="1">
      <protection locked="0"/>
    </xf>
    <xf numFmtId="38" fontId="18" fillId="4" borderId="2" xfId="0" applyNumberFormat="1" applyFont="1" applyFill="1" applyBorder="1" applyProtection="1">
      <protection locked="0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8" fillId="4" borderId="1" xfId="0" applyNumberFormat="1" applyFont="1" applyFill="1" applyBorder="1" applyProtection="1">
      <protection locked="0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4" borderId="1" xfId="0" applyFont="1" applyFill="1" applyBorder="1" applyProtection="1">
      <protection locked="0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38" fontId="26" fillId="4" borderId="1" xfId="0" applyNumberFormat="1" applyFont="1" applyFill="1" applyBorder="1" applyProtection="1">
      <protection locked="0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8" fontId="18" fillId="4" borderId="1" xfId="0" applyNumberFormat="1" applyFont="1" applyFill="1" applyBorder="1" applyAlignment="1" applyProtection="1">
      <alignment horizontal="right"/>
      <protection locked="0"/>
    </xf>
    <xf numFmtId="38" fontId="18" fillId="0" borderId="1" xfId="0" applyNumberFormat="1" applyFont="1" applyBorder="1" applyProtection="1">
      <protection locked="0"/>
    </xf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8" fontId="18" fillId="11" borderId="1" xfId="0" applyNumberFormat="1" applyFont="1" applyFill="1" applyBorder="1" applyProtection="1">
      <protection locked="0"/>
    </xf>
    <xf numFmtId="37" fontId="18" fillId="11" borderId="1" xfId="0" quotePrefix="1" applyFont="1" applyFill="1" applyBorder="1" applyProtection="1">
      <protection locked="0"/>
    </xf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18" fillId="0" borderId="1" xfId="0" applyFont="1" applyBorder="1" applyProtection="1">
      <protection locked="0"/>
    </xf>
    <xf numFmtId="37" fontId="16" fillId="7" borderId="0" xfId="547" applyNumberFormat="1" applyFont="1" applyFill="1"/>
    <xf numFmtId="2" fontId="18" fillId="0" borderId="1" xfId="0" quotePrefix="1" applyNumberFormat="1" applyFont="1" applyBorder="1" applyProtection="1">
      <protection locked="0"/>
    </xf>
    <xf numFmtId="2" fontId="18" fillId="0" borderId="1" xfId="547" quotePrefix="1" applyNumberFormat="1" applyFont="1" applyBorder="1" applyProtection="1">
      <protection locked="0"/>
    </xf>
    <xf numFmtId="2" fontId="18" fillId="0" borderId="1" xfId="939" quotePrefix="1" applyNumberFormat="1" applyFont="1" applyBorder="1" applyProtection="1">
      <protection locked="0"/>
    </xf>
    <xf numFmtId="2" fontId="18" fillId="0" borderId="1" xfId="547" applyNumberFormat="1" applyFont="1" applyBorder="1" applyProtection="1">
      <protection locked="0"/>
    </xf>
    <xf numFmtId="37" fontId="18" fillId="0" borderId="1" xfId="939" quotePrefix="1" applyNumberFormat="1" applyFont="1" applyBorder="1" applyProtection="1">
      <protection locked="0"/>
    </xf>
    <xf numFmtId="1" fontId="18" fillId="0" borderId="1" xfId="0" quotePrefix="1" applyNumberFormat="1" applyFont="1" applyBorder="1" applyProtection="1">
      <protection locked="0"/>
    </xf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167" fontId="18" fillId="4" borderId="1" xfId="0" quotePrefix="1" applyNumberFormat="1" applyFont="1" applyFill="1" applyBorder="1" applyProtection="1">
      <protection locked="0"/>
    </xf>
    <xf numFmtId="38" fontId="18" fillId="4" borderId="1" xfId="0" quotePrefix="1" applyNumberFormat="1" applyFont="1" applyFill="1" applyBorder="1" applyAlignment="1" applyProtection="1">
      <alignment horizontal="left"/>
      <protection locked="0"/>
    </xf>
    <xf numFmtId="166" fontId="18" fillId="4" borderId="14" xfId="0" applyNumberFormat="1" applyFont="1" applyFill="1" applyBorder="1" applyAlignment="1" applyProtection="1">
      <alignment horizontal="left"/>
      <protection locked="0"/>
    </xf>
    <xf numFmtId="49" fontId="18" fillId="4" borderId="1" xfId="0" quotePrefix="1" applyNumberFormat="1" applyFont="1" applyFill="1" applyBorder="1" applyProtection="1">
      <protection locked="0"/>
    </xf>
    <xf numFmtId="38" fontId="18" fillId="4" borderId="1" xfId="0" applyNumberFormat="1" applyFont="1" applyFill="1" applyBorder="1" applyAlignment="1" applyProtection="1">
      <alignment horizontal="center"/>
      <protection locked="0"/>
    </xf>
    <xf numFmtId="0" fontId="17" fillId="0" borderId="0" xfId="631" applyFont="1">
      <alignment vertical="top"/>
      <protection locked="0"/>
    </xf>
    <xf numFmtId="168" fontId="18" fillId="4" borderId="1" xfId="0" quotePrefix="1" applyNumberFormat="1" applyFont="1" applyFill="1" applyBorder="1" applyAlignment="1" applyProtection="1">
      <alignment horizontal="left"/>
      <protection locked="0"/>
    </xf>
    <xf numFmtId="38" fontId="18" fillId="4" borderId="14" xfId="0" quotePrefix="1" applyNumberFormat="1" applyFont="1" applyFill="1" applyBorder="1" applyProtection="1">
      <protection locked="0"/>
    </xf>
    <xf numFmtId="37" fontId="8" fillId="31" borderId="0" xfId="0" applyFont="1" applyFill="1"/>
    <xf numFmtId="38" fontId="8" fillId="31" borderId="0" xfId="0" applyNumberFormat="1" applyFont="1" applyFill="1"/>
    <xf numFmtId="37" fontId="8" fillId="31" borderId="0" xfId="0" quotePrefix="1" applyFont="1" applyFill="1" applyAlignment="1">
      <alignment horizontal="left"/>
    </xf>
    <xf numFmtId="37" fontId="8" fillId="31" borderId="34" xfId="0" applyFont="1" applyFill="1" applyBorder="1"/>
    <xf numFmtId="38" fontId="8" fillId="31" borderId="34" xfId="0" applyNumberFormat="1" applyFont="1" applyFill="1" applyBorder="1"/>
    <xf numFmtId="37" fontId="8" fillId="31" borderId="35" xfId="0" applyFont="1" applyFill="1" applyBorder="1"/>
    <xf numFmtId="38" fontId="8" fillId="31" borderId="35" xfId="0" applyNumberFormat="1" applyFont="1" applyFill="1" applyBorder="1"/>
    <xf numFmtId="37" fontId="33" fillId="31" borderId="36" xfId="0" quotePrefix="1" applyFont="1" applyFill="1" applyBorder="1" applyAlignment="1">
      <alignment horizontal="left"/>
    </xf>
    <xf numFmtId="37" fontId="8" fillId="31" borderId="37" xfId="0" quotePrefix="1" applyFont="1" applyFill="1" applyBorder="1" applyAlignment="1">
      <alignment vertical="center" readingOrder="1"/>
    </xf>
    <xf numFmtId="37" fontId="7" fillId="31" borderId="37" xfId="0" quotePrefix="1" applyFont="1" applyFill="1" applyBorder="1"/>
    <xf numFmtId="37" fontId="8" fillId="31" borderId="37" xfId="0" applyFont="1" applyFill="1" applyBorder="1" applyAlignment="1">
      <alignment vertical="center" readingOrder="1"/>
    </xf>
    <xf numFmtId="37" fontId="7" fillId="31" borderId="38" xfId="0" quotePrefix="1" applyFont="1" applyFill="1" applyBorder="1"/>
    <xf numFmtId="37" fontId="8" fillId="31" borderId="39" xfId="0" applyFont="1" applyFill="1" applyBorder="1"/>
    <xf numFmtId="37" fontId="8" fillId="31" borderId="40" xfId="0" applyFont="1" applyFill="1" applyBorder="1"/>
    <xf numFmtId="37" fontId="8" fillId="31" borderId="41" xfId="0" applyFont="1" applyFill="1" applyBorder="1"/>
    <xf numFmtId="37" fontId="44" fillId="0" borderId="0" xfId="0" applyFont="1"/>
    <xf numFmtId="37" fontId="16" fillId="11" borderId="0" xfId="0" applyFont="1" applyFill="1" applyProtection="1"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37" fontId="29" fillId="0" borderId="0" xfId="0" applyFont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1" xfId="0" applyFont="1" applyBorder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2" fontId="16" fillId="0" borderId="0" xfId="0" applyNumberFormat="1" applyFont="1" applyAlignment="1">
      <alignment horizontal="right"/>
    </xf>
    <xf numFmtId="37" fontId="18" fillId="32" borderId="1" xfId="0" applyFont="1" applyFill="1" applyBorder="1" applyProtection="1">
      <protection locked="0"/>
    </xf>
    <xf numFmtId="37" fontId="18" fillId="32" borderId="1" xfId="0" quotePrefix="1" applyFont="1" applyFill="1" applyBorder="1" applyProtection="1">
      <protection locked="0"/>
    </xf>
    <xf numFmtId="37" fontId="16" fillId="32" borderId="0" xfId="0" applyFont="1" applyFill="1"/>
    <xf numFmtId="2" fontId="18" fillId="32" borderId="1" xfId="547" quotePrefix="1" applyNumberFormat="1" applyFont="1" applyFill="1" applyBorder="1" applyProtection="1">
      <protection locked="0"/>
    </xf>
    <xf numFmtId="37" fontId="18" fillId="32" borderId="1" xfId="547" quotePrefix="1" applyNumberFormat="1" applyFont="1" applyFill="1" applyBorder="1" applyProtection="1">
      <protection locked="0"/>
    </xf>
    <xf numFmtId="37" fontId="18" fillId="32" borderId="1" xfId="547" applyNumberFormat="1" applyFont="1" applyFill="1" applyBorder="1" applyProtection="1">
      <protection locked="0"/>
    </xf>
    <xf numFmtId="2" fontId="18" fillId="32" borderId="1" xfId="0" quotePrefix="1" applyNumberFormat="1" applyFont="1" applyFill="1" applyBorder="1" applyProtection="1">
      <protection locked="0"/>
    </xf>
    <xf numFmtId="2" fontId="18" fillId="32" borderId="1" xfId="939" quotePrefix="1" applyNumberFormat="1" applyFont="1" applyFill="1" applyBorder="1" applyProtection="1">
      <protection locked="0"/>
    </xf>
    <xf numFmtId="2" fontId="18" fillId="32" borderId="1" xfId="547" applyNumberFormat="1" applyFont="1" applyFill="1" applyBorder="1" applyProtection="1">
      <protection locked="0"/>
    </xf>
    <xf numFmtId="2" fontId="16" fillId="32" borderId="0" xfId="0" applyNumberFormat="1" applyFont="1" applyFill="1"/>
    <xf numFmtId="37" fontId="18" fillId="32" borderId="1" xfId="939" quotePrefix="1" applyNumberFormat="1" applyFont="1" applyFill="1" applyBorder="1" applyProtection="1">
      <protection locked="0"/>
    </xf>
    <xf numFmtId="1" fontId="18" fillId="32" borderId="1" xfId="0" quotePrefix="1" applyNumberFormat="1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167" fontId="18" fillId="31" borderId="1" xfId="0" quotePrefix="1" applyNumberFormat="1" applyFont="1" applyFill="1" applyBorder="1" applyProtection="1">
      <protection locked="0"/>
    </xf>
    <xf numFmtId="38" fontId="18" fillId="31" borderId="8" xfId="0" applyNumberFormat="1" applyFont="1" applyFill="1" applyBorder="1" applyProtection="1">
      <protection locked="0"/>
    </xf>
    <xf numFmtId="38" fontId="18" fillId="31" borderId="2" xfId="0" applyNumberFormat="1" applyFont="1" applyFill="1" applyBorder="1" applyProtection="1">
      <protection locked="0"/>
    </xf>
    <xf numFmtId="38" fontId="18" fillId="31" borderId="1" xfId="0" quotePrefix="1" applyNumberFormat="1" applyFont="1" applyFill="1" applyBorder="1" applyAlignment="1" applyProtection="1">
      <alignment horizontal="left"/>
      <protection locked="0"/>
    </xf>
    <xf numFmtId="38" fontId="18" fillId="31" borderId="14" xfId="0" applyNumberFormat="1" applyFont="1" applyFill="1" applyBorder="1" applyProtection="1">
      <protection locked="0"/>
    </xf>
    <xf numFmtId="38" fontId="18" fillId="31" borderId="14" xfId="0" quotePrefix="1" applyNumberFormat="1" applyFont="1" applyFill="1" applyBorder="1" applyProtection="1">
      <protection locked="0"/>
    </xf>
    <xf numFmtId="166" fontId="18" fillId="31" borderId="14" xfId="0" applyNumberFormat="1" applyFont="1" applyFill="1" applyBorder="1" applyAlignment="1" applyProtection="1">
      <alignment horizontal="left"/>
      <protection locked="0"/>
    </xf>
    <xf numFmtId="49" fontId="18" fillId="31" borderId="1" xfId="0" quotePrefix="1" applyNumberFormat="1" applyFont="1" applyFill="1" applyBorder="1" applyProtection="1">
      <protection locked="0"/>
    </xf>
    <xf numFmtId="168" fontId="18" fillId="31" borderId="1" xfId="0" quotePrefix="1" applyNumberFormat="1" applyFont="1" applyFill="1" applyBorder="1" applyAlignment="1" applyProtection="1">
      <alignment horizontal="left"/>
      <protection locked="0"/>
    </xf>
    <xf numFmtId="38" fontId="18" fillId="31" borderId="1" xfId="0" applyNumberFormat="1" applyFont="1" applyFill="1" applyBorder="1" applyProtection="1">
      <protection locked="0"/>
    </xf>
    <xf numFmtId="38" fontId="18" fillId="31" borderId="1" xfId="0" applyNumberFormat="1" applyFont="1" applyFill="1" applyBorder="1" applyAlignment="1" applyProtection="1">
      <alignment horizontal="right"/>
      <protection locked="0"/>
    </xf>
    <xf numFmtId="38" fontId="18" fillId="32" borderId="1" xfId="0" applyNumberFormat="1" applyFont="1" applyFill="1" applyBorder="1" applyProtection="1">
      <protection locked="0"/>
    </xf>
    <xf numFmtId="37" fontId="18" fillId="31" borderId="1" xfId="0" applyFont="1" applyFill="1" applyBorder="1" applyProtection="1">
      <protection locked="0"/>
    </xf>
    <xf numFmtId="38" fontId="26" fillId="31" borderId="1" xfId="0" applyNumberFormat="1" applyFont="1" applyFill="1" applyBorder="1" applyProtection="1">
      <protection locked="0"/>
    </xf>
    <xf numFmtId="37" fontId="16" fillId="31" borderId="0" xfId="0" applyFont="1" applyFill="1" applyProtection="1">
      <protection locked="0"/>
    </xf>
    <xf numFmtId="38" fontId="18" fillId="31" borderId="1" xfId="0" applyNumberFormat="1" applyFont="1" applyFill="1" applyBorder="1" applyAlignment="1" applyProtection="1">
      <alignment horizontal="center"/>
      <protection locked="0"/>
    </xf>
    <xf numFmtId="37" fontId="51" fillId="0" borderId="0" xfId="0" applyFont="1" applyAlignment="1">
      <alignment vertical="center" wrapText="1"/>
    </xf>
    <xf numFmtId="43" fontId="10" fillId="0" borderId="0" xfId="547"/>
    <xf numFmtId="9" fontId="10" fillId="0" borderId="0" xfId="939"/>
    <xf numFmtId="37" fontId="45" fillId="0" borderId="35" xfId="0" applyFont="1" applyBorder="1"/>
    <xf numFmtId="49" fontId="34" fillId="0" borderId="0" xfId="1344" applyNumberFormat="1" applyAlignment="1">
      <alignment wrapText="1"/>
    </xf>
    <xf numFmtId="170" fontId="34" fillId="0" borderId="0" xfId="1344" applyNumberFormat="1" applyAlignment="1">
      <alignment wrapText="1"/>
    </xf>
    <xf numFmtId="37" fontId="18" fillId="3" borderId="0" xfId="0" applyFont="1" applyFill="1" applyAlignment="1">
      <alignment horizontal="center" vertical="center"/>
    </xf>
    <xf numFmtId="49" fontId="34" fillId="0" borderId="0" xfId="1344" applyNumberFormat="1" applyAlignment="1">
      <alignment horizontal="left" wrapText="1"/>
    </xf>
    <xf numFmtId="37" fontId="52" fillId="0" borderId="0" xfId="0" applyFont="1" applyAlignment="1">
      <alignment vertical="center"/>
    </xf>
    <xf numFmtId="37" fontId="16" fillId="0" borderId="0" xfId="0" applyFont="1" applyFill="1" applyBorder="1"/>
    <xf numFmtId="37" fontId="20" fillId="0" borderId="0" xfId="0" applyFont="1" applyFill="1" applyBorder="1" applyAlignment="1">
      <alignment vertical="center" readingOrder="1"/>
    </xf>
    <xf numFmtId="37" fontId="33" fillId="0" borderId="0" xfId="0" quotePrefix="1" applyFont="1" applyFill="1" applyBorder="1" applyAlignment="1">
      <alignment horizontal="left"/>
    </xf>
    <xf numFmtId="37" fontId="8" fillId="0" borderId="0" xfId="0" applyFont="1" applyFill="1" applyBorder="1"/>
    <xf numFmtId="38" fontId="8" fillId="0" borderId="0" xfId="0" applyNumberFormat="1" applyFont="1" applyFill="1" applyBorder="1"/>
    <xf numFmtId="37" fontId="8" fillId="0" borderId="0" xfId="0" quotePrefix="1" applyFont="1" applyFill="1" applyBorder="1" applyAlignment="1">
      <alignment vertical="center" readingOrder="1"/>
    </xf>
    <xf numFmtId="37" fontId="8" fillId="0" borderId="0" xfId="0" quotePrefix="1" applyFont="1" applyFill="1" applyBorder="1" applyAlignment="1">
      <alignment horizontal="left"/>
    </xf>
    <xf numFmtId="37" fontId="7" fillId="0" borderId="0" xfId="0" quotePrefix="1" applyFont="1" applyFill="1" applyBorder="1"/>
    <xf numFmtId="37" fontId="8" fillId="0" borderId="0" xfId="0" applyFont="1" applyFill="1" applyBorder="1" applyAlignment="1">
      <alignment vertical="center" readingOrder="1"/>
    </xf>
    <xf numFmtId="37" fontId="53" fillId="0" borderId="0" xfId="0" applyFont="1" applyAlignment="1">
      <alignment horizontal="left" vertical="center" wrapText="1"/>
    </xf>
  </cellXfs>
  <cellStyles count="1923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1488" xr:uid="{E4E596CE-768D-438E-840E-B8ADFC9B1A28}"/>
    <cellStyle name="20% - Accent1 2 2 2 2 3" xfId="1016" xr:uid="{1F18537D-9F70-4927-B0F8-78AB17225049}"/>
    <cellStyle name="20% - Accent1 2 2 2 3" xfId="6" xr:uid="{26B135B0-DBFD-4C38-A5EC-6D20E6884E6B}"/>
    <cellStyle name="20% - Accent1 2 2 2 3 2" xfId="1487" xr:uid="{090601A0-7B6A-454D-8DBE-B03F1DC5D501}"/>
    <cellStyle name="20% - Accent1 2 2 2 4" xfId="1015" xr:uid="{4316471E-25F6-4DF7-816A-05CA482F8453}"/>
    <cellStyle name="20% - Accent1 2 2 3" xfId="7" xr:uid="{34F5D2DF-3B78-45CA-AF8C-7504DC647A68}"/>
    <cellStyle name="20% - Accent1 2 2 3 2" xfId="8" xr:uid="{C4648ED7-8BBA-4763-8A8C-C5C55F3DF9F3}"/>
    <cellStyle name="20% - Accent1 2 2 3 2 2" xfId="1489" xr:uid="{1AC0550F-D5B4-4C9E-AFF8-046C53BFE0A0}"/>
    <cellStyle name="20% - Accent1 2 2 3 3" xfId="1017" xr:uid="{2272D8A9-F4DE-45BE-A1FB-C77C3BC12A60}"/>
    <cellStyle name="20% - Accent1 2 2 4" xfId="9" xr:uid="{B7D043C1-DD45-4BBD-9896-4711A3F21FE3}"/>
    <cellStyle name="20% - Accent1 2 2 4 2" xfId="1486" xr:uid="{BDF20E09-CB01-4271-91D7-A9FD4FC92F6D}"/>
    <cellStyle name="20% - Accent1 2 2 5" xfId="1014" xr:uid="{1DE0F95C-89D8-44C8-8504-10380D93F6FC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1491" xr:uid="{914863EC-4E9A-4195-82E6-8ECAF0B9873E}"/>
    <cellStyle name="20% - Accent1 2 3 2 3" xfId="1019" xr:uid="{4A9DC316-A1B7-43B5-8F22-DF8ED9E90221}"/>
    <cellStyle name="20% - Accent1 2 3 3" xfId="13" xr:uid="{8FC03139-8E01-4F15-863D-86507BD2AEFF}"/>
    <cellStyle name="20% - Accent1 2 3 3 2" xfId="1490" xr:uid="{4469EA84-B8B0-4E2D-AB65-75F38484794D}"/>
    <cellStyle name="20% - Accent1 2 3 4" xfId="1018" xr:uid="{B676F802-5E2E-475F-BFCC-274B54C0ECB9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1493" xr:uid="{12E7B3D1-E2C6-4807-9EAA-C4133311FB00}"/>
    <cellStyle name="20% - Accent1 2 4 2 3" xfId="1021" xr:uid="{E89423FD-D271-49C5-A033-22DD16B12800}"/>
    <cellStyle name="20% - Accent1 2 4 3" xfId="17" xr:uid="{C0B7DE4B-6ECB-4D3B-AC96-111103DC3EE7}"/>
    <cellStyle name="20% - Accent1 2 4 3 2" xfId="1492" xr:uid="{97E847C6-18D9-4BF7-A5C1-6BC17EA03C09}"/>
    <cellStyle name="20% - Accent1 2 4 4" xfId="1020" xr:uid="{DD2A0AF8-759B-4AE0-9392-C95EA93675AA}"/>
    <cellStyle name="20% - Accent1 2 5" xfId="18" xr:uid="{58B1AA26-8193-43E6-BBF2-C55FD7D65910}"/>
    <cellStyle name="20% - Accent1 2 5 2" xfId="19" xr:uid="{37736DF4-6DF2-4727-A4FF-04F5E070DE0E}"/>
    <cellStyle name="20% - Accent1 2 5 2 2" xfId="1494" xr:uid="{8C562A1E-BCE3-4430-B4BC-E4E4DF13679B}"/>
    <cellStyle name="20% - Accent1 2 5 3" xfId="1022" xr:uid="{247CB4C6-90A2-4146-9AC1-70A4BCC65544}"/>
    <cellStyle name="20% - Accent1 2 6" xfId="20" xr:uid="{546318D8-AE79-4E37-B145-C0B95A126CFB}"/>
    <cellStyle name="20% - Accent1 2 6 2" xfId="21" xr:uid="{3D451600-FDD9-4816-9338-8C7E1761BC26}"/>
    <cellStyle name="20% - Accent1 2 6 2 2" xfId="1495" xr:uid="{46A5CC39-187D-431E-815E-FC1E2EB67DCD}"/>
    <cellStyle name="20% - Accent1 2 6 3" xfId="1023" xr:uid="{95CC80E9-D37B-4EA0-BADE-89D5EA33980B}"/>
    <cellStyle name="20% - Accent1 2 7" xfId="22" xr:uid="{25D7F9F4-F515-44CF-9CA8-2C45DE2E61A5}"/>
    <cellStyle name="20% - Accent1 2 7 2" xfId="1485" xr:uid="{E3055084-8C1B-4AA5-B8FE-508FCD46575A}"/>
    <cellStyle name="20% - Accent1 2 8" xfId="1013" xr:uid="{42C1B33B-7996-4F2E-8768-98CC4AF23D78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498" xr:uid="{C09D2E2C-85C5-40E3-8B81-F2B7230D3303}"/>
    <cellStyle name="20% - Accent1 3 2 2 3" xfId="1026" xr:uid="{F88A5EB8-6F1F-44CD-AD9E-7979236F8393}"/>
    <cellStyle name="20% - Accent1 3 2 3" xfId="27" xr:uid="{915F006D-7270-4E55-A104-6414B38CEE22}"/>
    <cellStyle name="20% - Accent1 3 2 3 2" xfId="1497" xr:uid="{210A6A9E-0A27-4010-91EA-AC573313C3CB}"/>
    <cellStyle name="20% - Accent1 3 2 4" xfId="1025" xr:uid="{6119F2B8-641B-4B1C-B582-B7A91830D232}"/>
    <cellStyle name="20% - Accent1 3 3" xfId="28" xr:uid="{1F6A3954-B96E-470E-8071-25CE5EBF3A9D}"/>
    <cellStyle name="20% - Accent1 3 3 2" xfId="29" xr:uid="{B2550B72-EA84-4BE6-AF7B-2C835D64613B}"/>
    <cellStyle name="20% - Accent1 3 3 2 2" xfId="1499" xr:uid="{EE4670BA-7AE5-4A9D-AC55-B9CECA47E4E5}"/>
    <cellStyle name="20% - Accent1 3 3 3" xfId="1027" xr:uid="{4AE5BFA4-0CDF-4D62-821B-1E7B9122E4D6}"/>
    <cellStyle name="20% - Accent1 3 4" xfId="30" xr:uid="{A9EFB3CA-FCF6-4567-A86D-8C52AAD7B2E3}"/>
    <cellStyle name="20% - Accent1 3 4 2" xfId="1496" xr:uid="{A2FCC4A1-EF4A-4580-BB6F-1B9491AB0213}"/>
    <cellStyle name="20% - Accent1 3 5" xfId="1024" xr:uid="{ED020851-49A9-4877-BDC6-924023A76A29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501" xr:uid="{96A71019-ACB8-4D49-857C-13DAD9CDA3F1}"/>
    <cellStyle name="20% - Accent1 4 2 3" xfId="1029" xr:uid="{5995B743-D3BE-4C1B-BDB1-4A062670764A}"/>
    <cellStyle name="20% - Accent1 4 3" xfId="34" xr:uid="{96B4F023-C39D-4BA4-B1AB-3661D47C75B8}"/>
    <cellStyle name="20% - Accent1 4 3 2" xfId="1500" xr:uid="{84A4C252-1A88-4D7B-BD96-5E9DC0879DFD}"/>
    <cellStyle name="20% - Accent1 4 4" xfId="1028" xr:uid="{818A1C6D-4441-4186-975B-76D9A17BDEF3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503" xr:uid="{6887F7DF-62F2-4C5A-ADA7-494D591909E8}"/>
    <cellStyle name="20% - Accent1 5 2 3" xfId="1031" xr:uid="{86781197-C4B4-4738-8A80-CFE0C5858CCA}"/>
    <cellStyle name="20% - Accent1 5 3" xfId="38" xr:uid="{CEC706B5-4F10-4E7E-8B73-DE3981B3F7BC}"/>
    <cellStyle name="20% - Accent1 5 3 2" xfId="1502" xr:uid="{E3D5A5EB-5E9D-46C7-8EA8-B11877FEF6F0}"/>
    <cellStyle name="20% - Accent1 5 4" xfId="1030" xr:uid="{5B64DD2D-3889-4C21-8904-A7BA088BC0F0}"/>
    <cellStyle name="20% - Accent1 6" xfId="39" xr:uid="{842F35D3-FF51-4E2E-BAE7-84DCDBA2CF4E}"/>
    <cellStyle name="20% - Accent1 6 2" xfId="40" xr:uid="{1F023914-F1E2-4747-8E4F-A7D8DCEE6E25}"/>
    <cellStyle name="20% - Accent1 6 2 2" xfId="1504" xr:uid="{78C6B3A2-589C-4B52-B445-275E3915ECB0}"/>
    <cellStyle name="20% - Accent1 6 3" xfId="1032" xr:uid="{E9F9A17F-9112-4A39-BF5E-E4B5ED0638AC}"/>
    <cellStyle name="20% - Accent1 7" xfId="41" xr:uid="{6F00EB95-F44A-4E02-A4A2-66BF32EF93D0}"/>
    <cellStyle name="20% - Accent1 7 2" xfId="42" xr:uid="{086D3584-1284-4CDB-951C-0AF0F7898BCE}"/>
    <cellStyle name="20% - Accent1 7 2 2" xfId="1505" xr:uid="{410E801C-CC84-4EBD-BB6E-47D1F7EE4552}"/>
    <cellStyle name="20% - Accent1 7 3" xfId="1033" xr:uid="{9BA7D02A-0492-4486-8C0F-13419AF1A591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509" xr:uid="{9CEDCFF1-A5AF-4E2B-B176-AF91EDB0073A}"/>
    <cellStyle name="20% - Accent2 2 2 2 2 3" xfId="1037" xr:uid="{855038DC-D422-4E9B-93B6-2F0F595E471F}"/>
    <cellStyle name="20% - Accent2 2 2 2 3" xfId="48" xr:uid="{7244480A-65E0-4EA4-9387-F45579C204D5}"/>
    <cellStyle name="20% - Accent2 2 2 2 3 2" xfId="1508" xr:uid="{FB85496F-27E6-4862-8609-905BDF56E35D}"/>
    <cellStyle name="20% - Accent2 2 2 2 4" xfId="1036" xr:uid="{A4A27876-D977-4438-AF0F-1589CFB2559A}"/>
    <cellStyle name="20% - Accent2 2 2 3" xfId="49" xr:uid="{DDF33C4C-23FD-44C0-85CA-CAE1ED3FEC71}"/>
    <cellStyle name="20% - Accent2 2 2 3 2" xfId="50" xr:uid="{8B11CEA3-28DE-4658-A806-AD36D8417B14}"/>
    <cellStyle name="20% - Accent2 2 2 3 2 2" xfId="1510" xr:uid="{629C3CD1-5CB2-4618-987E-F314A1FC30AE}"/>
    <cellStyle name="20% - Accent2 2 2 3 3" xfId="1038" xr:uid="{3B96E09F-37C2-4165-8ACA-25A064EE9660}"/>
    <cellStyle name="20% - Accent2 2 2 4" xfId="51" xr:uid="{B7FF2C2D-815B-41A8-8B42-4DB583DB47A2}"/>
    <cellStyle name="20% - Accent2 2 2 4 2" xfId="1507" xr:uid="{804C5445-8F0C-4046-8F2B-AD1813D9C4EB}"/>
    <cellStyle name="20% - Accent2 2 2 5" xfId="1035" xr:uid="{35C5E2C8-643E-467D-821F-EB1B02EC9DEC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512" xr:uid="{BA45FCDC-06FE-4883-90D3-7E6E349C2C01}"/>
    <cellStyle name="20% - Accent2 2 3 2 3" xfId="1040" xr:uid="{985EDBC4-D531-437A-B16E-8EA1C902D3CF}"/>
    <cellStyle name="20% - Accent2 2 3 3" xfId="55" xr:uid="{95AE32F4-8DDA-4B1D-9212-7506CA167704}"/>
    <cellStyle name="20% - Accent2 2 3 3 2" xfId="1511" xr:uid="{7E8FF03B-43AA-4CF9-8CB3-DDF95572DEAA}"/>
    <cellStyle name="20% - Accent2 2 3 4" xfId="1039" xr:uid="{C8A83307-029D-4477-81D2-2AF6D257ACE3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514" xr:uid="{093EC7EF-F003-4AAF-B4DB-9FFA22CCFB49}"/>
    <cellStyle name="20% - Accent2 2 4 2 3" xfId="1042" xr:uid="{7E21DC04-2959-4C43-AC64-D0A82DBADBA0}"/>
    <cellStyle name="20% - Accent2 2 4 3" xfId="59" xr:uid="{C213FAFE-5142-445B-BA47-88BF4FE7D849}"/>
    <cellStyle name="20% - Accent2 2 4 3 2" xfId="1513" xr:uid="{6E2F81BA-C455-4EFD-A230-98E6522119CF}"/>
    <cellStyle name="20% - Accent2 2 4 4" xfId="1041" xr:uid="{2B05DCBC-5508-47F6-9109-F78E0C6FF152}"/>
    <cellStyle name="20% - Accent2 2 5" xfId="60" xr:uid="{50F9AD3F-06F7-499E-B5B2-DBE13CEA8349}"/>
    <cellStyle name="20% - Accent2 2 5 2" xfId="61" xr:uid="{033CC59D-B5E7-4060-8CA4-72033EBE92CF}"/>
    <cellStyle name="20% - Accent2 2 5 2 2" xfId="1515" xr:uid="{0DD76605-00C2-4C06-8F51-054E4FA2F46C}"/>
    <cellStyle name="20% - Accent2 2 5 3" xfId="1043" xr:uid="{9351B936-015A-47D1-9404-7E146E2FCF96}"/>
    <cellStyle name="20% - Accent2 2 6" xfId="62" xr:uid="{0F43AF63-D2E8-4CA8-8F99-70A3DA69682F}"/>
    <cellStyle name="20% - Accent2 2 6 2" xfId="63" xr:uid="{398F51DF-FA74-4B59-8C4F-F922359FEF55}"/>
    <cellStyle name="20% - Accent2 2 6 2 2" xfId="1516" xr:uid="{FC5BD817-40B2-44DA-9821-8AA0D5FC9FEC}"/>
    <cellStyle name="20% - Accent2 2 6 3" xfId="1044" xr:uid="{C406F529-CA80-4AE0-9A16-94A4EB2F97C4}"/>
    <cellStyle name="20% - Accent2 2 7" xfId="64" xr:uid="{95D3EA1B-DB6B-4696-A849-D90133B1255C}"/>
    <cellStyle name="20% - Accent2 2 7 2" xfId="1506" xr:uid="{F71A4339-A7AE-4573-8D38-5404ADCC017C}"/>
    <cellStyle name="20% - Accent2 2 8" xfId="1034" xr:uid="{32A9293D-1529-4515-B3C6-3115E2059A7D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519" xr:uid="{459A9B19-69B3-41D8-ABD2-2F749057277B}"/>
    <cellStyle name="20% - Accent2 3 2 2 3" xfId="1047" xr:uid="{AB7921DD-F47A-446D-ADFD-00C12B4A9C75}"/>
    <cellStyle name="20% - Accent2 3 2 3" xfId="69" xr:uid="{52C6F2E7-8514-4A46-8C05-0D0F608B75F9}"/>
    <cellStyle name="20% - Accent2 3 2 3 2" xfId="1518" xr:uid="{81E77558-6D54-43FD-8F75-18745DA8C99B}"/>
    <cellStyle name="20% - Accent2 3 2 4" xfId="1046" xr:uid="{36474B06-8D68-44A4-9900-E19A9280C6B4}"/>
    <cellStyle name="20% - Accent2 3 3" xfId="70" xr:uid="{1491CE4D-5C03-4F94-AE3D-DBA968D0D958}"/>
    <cellStyle name="20% - Accent2 3 3 2" xfId="71" xr:uid="{C329CA93-655B-4FB1-96B3-6F5EB0163AE4}"/>
    <cellStyle name="20% - Accent2 3 3 2 2" xfId="1520" xr:uid="{4EA13CD9-F6C2-4A10-8885-F0DBC66D8E26}"/>
    <cellStyle name="20% - Accent2 3 3 3" xfId="1048" xr:uid="{48A8EE02-4B43-422B-BF0B-C02171A2FADE}"/>
    <cellStyle name="20% - Accent2 3 4" xfId="72" xr:uid="{DC7E5E7B-1789-4A23-960D-9A98ACD9779D}"/>
    <cellStyle name="20% - Accent2 3 4 2" xfId="1517" xr:uid="{3C9EAC93-181B-4DFD-9DFB-D8569A7E94D8}"/>
    <cellStyle name="20% - Accent2 3 5" xfId="1045" xr:uid="{81311087-B5BE-4B12-9158-BE0C3D4D9503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522" xr:uid="{CD8E8207-485C-463C-8B37-67502E708D1F}"/>
    <cellStyle name="20% - Accent2 4 2 3" xfId="1050" xr:uid="{1BE60B28-DA27-4ABF-AF02-10D2D58E18D2}"/>
    <cellStyle name="20% - Accent2 4 3" xfId="76" xr:uid="{64D18BD1-190F-4D3F-9F0E-F5C4930C8057}"/>
    <cellStyle name="20% - Accent2 4 3 2" xfId="1521" xr:uid="{19EF5900-A5F6-4BED-9D66-E84CB90E22C8}"/>
    <cellStyle name="20% - Accent2 4 4" xfId="1049" xr:uid="{2599789A-DFBA-4383-8C46-0248E34A59C2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524" xr:uid="{3E4A3C3D-9F17-4E72-9BBC-28E83259F9CF}"/>
    <cellStyle name="20% - Accent2 5 2 3" xfId="1052" xr:uid="{17CA9A41-36BE-4BD0-A274-DF889B07482C}"/>
    <cellStyle name="20% - Accent2 5 3" xfId="80" xr:uid="{7D4E7CFD-BC5D-43BD-A4E3-FB3118B12FD5}"/>
    <cellStyle name="20% - Accent2 5 3 2" xfId="1523" xr:uid="{4E11F33F-8617-4EE1-B99E-755B16EE1A57}"/>
    <cellStyle name="20% - Accent2 5 4" xfId="1051" xr:uid="{D9122261-7CB6-415D-AFD0-0C4C0EE087B8}"/>
    <cellStyle name="20% - Accent2 6" xfId="81" xr:uid="{22237C09-BE89-4E4F-8E35-32B2192A6E41}"/>
    <cellStyle name="20% - Accent2 6 2" xfId="82" xr:uid="{43D901A5-C3C5-47F2-80AB-DAAA3E3E7EA2}"/>
    <cellStyle name="20% - Accent2 6 2 2" xfId="1525" xr:uid="{1936448C-B95A-4081-8336-C04464D318FE}"/>
    <cellStyle name="20% - Accent2 6 3" xfId="1053" xr:uid="{FF891AF9-133C-4534-959E-CC5649F63FFC}"/>
    <cellStyle name="20% - Accent2 7" xfId="83" xr:uid="{E967E575-DDD1-416D-B2C6-DD2EE53D1FD7}"/>
    <cellStyle name="20% - Accent2 7 2" xfId="84" xr:uid="{A2970169-0F62-4ACA-AF43-831E258D563F}"/>
    <cellStyle name="20% - Accent2 7 2 2" xfId="1526" xr:uid="{CDFC5982-D996-4210-B6FA-832C455F6153}"/>
    <cellStyle name="20% - Accent2 7 3" xfId="1054" xr:uid="{4B4F6814-C3CB-4669-A8DD-0241A37B19C1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530" xr:uid="{8CAA1BC8-E44C-41EE-AA48-2A8ED9A5B9FB}"/>
    <cellStyle name="20% - Accent3 2 2 2 2 3" xfId="1058" xr:uid="{A1CD3355-56A8-4695-B9EB-5E6F7CFBE6E4}"/>
    <cellStyle name="20% - Accent3 2 2 2 3" xfId="90" xr:uid="{B7125913-5576-41E4-AC0B-86ABB0911581}"/>
    <cellStyle name="20% - Accent3 2 2 2 3 2" xfId="1529" xr:uid="{A3164DA4-AF82-4F5A-864B-FEA13ECF1D91}"/>
    <cellStyle name="20% - Accent3 2 2 2 4" xfId="1057" xr:uid="{518DADFA-F282-4A12-A170-D688877D2940}"/>
    <cellStyle name="20% - Accent3 2 2 3" xfId="91" xr:uid="{10A9E037-A1B2-408E-AFEA-D065DC60D38C}"/>
    <cellStyle name="20% - Accent3 2 2 3 2" xfId="92" xr:uid="{0F0EB2F4-F9C3-42F6-8151-9D1F230EE4B5}"/>
    <cellStyle name="20% - Accent3 2 2 3 2 2" xfId="1531" xr:uid="{19ABEB7B-444D-4E7A-9B7B-42B8D573E9BD}"/>
    <cellStyle name="20% - Accent3 2 2 3 3" xfId="1059" xr:uid="{F6B3875D-9ECB-40B7-95C6-3D12A49644A5}"/>
    <cellStyle name="20% - Accent3 2 2 4" xfId="93" xr:uid="{DD2ECE43-93A4-4ADA-A8B0-DA2E2E088019}"/>
    <cellStyle name="20% - Accent3 2 2 4 2" xfId="1528" xr:uid="{18871696-9478-4517-949D-29404D06DF31}"/>
    <cellStyle name="20% - Accent3 2 2 5" xfId="1056" xr:uid="{2B3637C1-1728-47CD-AE8D-AD818AF85ED6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533" xr:uid="{7443C0A0-35B4-4DAB-8D56-31F98A2CC1D1}"/>
    <cellStyle name="20% - Accent3 2 3 2 3" xfId="1061" xr:uid="{17BA07CF-DB23-4821-80B9-FBA0DA6A738B}"/>
    <cellStyle name="20% - Accent3 2 3 3" xfId="97" xr:uid="{B4590507-E60C-41FD-B818-3574350D107D}"/>
    <cellStyle name="20% - Accent3 2 3 3 2" xfId="1532" xr:uid="{E2B8BBE7-A781-4D0F-910E-B4445E13F338}"/>
    <cellStyle name="20% - Accent3 2 3 4" xfId="1060" xr:uid="{BA8D2A82-92DA-4949-8873-24A0618F9A54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535" xr:uid="{56E4F9BC-147B-4E3D-9E58-E15D9597654F}"/>
    <cellStyle name="20% - Accent3 2 4 2 3" xfId="1063" xr:uid="{9A5D8F51-DAC3-4410-B614-EBA8D286A527}"/>
    <cellStyle name="20% - Accent3 2 4 3" xfId="101" xr:uid="{826CE6AF-95AD-4615-85DB-C319CD372777}"/>
    <cellStyle name="20% - Accent3 2 4 3 2" xfId="1534" xr:uid="{E1C1B33F-083E-4E17-9D85-C0A570AA6F7E}"/>
    <cellStyle name="20% - Accent3 2 4 4" xfId="1062" xr:uid="{AE38B59E-C18A-43D6-BA48-C9CE916C38CE}"/>
    <cellStyle name="20% - Accent3 2 5" xfId="102" xr:uid="{4099871A-0779-4E7E-83E9-B7F9ED2E58CA}"/>
    <cellStyle name="20% - Accent3 2 5 2" xfId="103" xr:uid="{B3BC5D0B-BC38-448D-9423-F584A89AEC4B}"/>
    <cellStyle name="20% - Accent3 2 5 2 2" xfId="1536" xr:uid="{A0213C02-AE92-4C66-932F-7E0C7416F089}"/>
    <cellStyle name="20% - Accent3 2 5 3" xfId="1064" xr:uid="{FA77623D-EA23-480D-9448-F816D92DD698}"/>
    <cellStyle name="20% - Accent3 2 6" xfId="104" xr:uid="{3DFCD6B4-4223-4D84-BE4D-F61DF549F95B}"/>
    <cellStyle name="20% - Accent3 2 6 2" xfId="105" xr:uid="{243FC673-335E-49CE-B62B-9EB7812BE798}"/>
    <cellStyle name="20% - Accent3 2 6 2 2" xfId="1537" xr:uid="{18FD2EC4-E1DE-4257-B59A-AE40B517DB3A}"/>
    <cellStyle name="20% - Accent3 2 6 3" xfId="1065" xr:uid="{F08DCAD2-CBE5-41C9-BAE1-B29281E90F34}"/>
    <cellStyle name="20% - Accent3 2 7" xfId="106" xr:uid="{DF7D5641-1181-4297-B5BC-0093C49A119F}"/>
    <cellStyle name="20% - Accent3 2 7 2" xfId="1527" xr:uid="{8DC5819A-EA14-4139-B660-FE906C2C4B02}"/>
    <cellStyle name="20% - Accent3 2 8" xfId="1055" xr:uid="{5F281B8E-7D47-46C1-BC2F-563E4D991A6D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540" xr:uid="{F5DC655C-58FD-4343-9871-5E5A2E2B38A3}"/>
    <cellStyle name="20% - Accent3 3 2 2 3" xfId="1068" xr:uid="{F7A5EE83-F14E-4047-B8F8-0D3827C246D2}"/>
    <cellStyle name="20% - Accent3 3 2 3" xfId="111" xr:uid="{153224D8-4C0E-4CD5-96EF-05BD44E1B201}"/>
    <cellStyle name="20% - Accent3 3 2 3 2" xfId="1539" xr:uid="{04BD3C0B-7854-42C8-9284-9D6B0ADE2354}"/>
    <cellStyle name="20% - Accent3 3 2 4" xfId="1067" xr:uid="{7482029D-8B63-4745-89E3-0B0996BD5660}"/>
    <cellStyle name="20% - Accent3 3 3" xfId="112" xr:uid="{B9CD084E-C0ED-4B83-A0CE-52ABE7B0A06E}"/>
    <cellStyle name="20% - Accent3 3 3 2" xfId="113" xr:uid="{038D385C-4F44-4FEF-BDF9-831303BAAC81}"/>
    <cellStyle name="20% - Accent3 3 3 2 2" xfId="1541" xr:uid="{F964CDCD-3D9E-48C2-A8A4-862FC89A43BC}"/>
    <cellStyle name="20% - Accent3 3 3 3" xfId="1069" xr:uid="{C9ACF561-DA3E-4FED-B25E-0048946FF7D1}"/>
    <cellStyle name="20% - Accent3 3 4" xfId="114" xr:uid="{A5D50AF0-3C74-4E64-85A8-EED6DB808E5A}"/>
    <cellStyle name="20% - Accent3 3 4 2" xfId="1538" xr:uid="{345B6B37-A14B-4EE4-9042-BA609E147BFC}"/>
    <cellStyle name="20% - Accent3 3 5" xfId="1066" xr:uid="{14F8D62C-01CF-4124-AD4C-8D52A4439075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543" xr:uid="{20858A2E-1329-4A3F-8B90-81B3219FA657}"/>
    <cellStyle name="20% - Accent3 4 2 3" xfId="1071" xr:uid="{599B99B0-8A13-4CE3-9C37-8367223EE159}"/>
    <cellStyle name="20% - Accent3 4 3" xfId="118" xr:uid="{5C026BCF-5367-44D4-8FC1-75F6D18E8A62}"/>
    <cellStyle name="20% - Accent3 4 3 2" xfId="1542" xr:uid="{A242D2AB-68C7-495F-868D-643016741BDD}"/>
    <cellStyle name="20% - Accent3 4 4" xfId="1070" xr:uid="{1E660AA9-9D47-4F65-B9C3-E49611081EE7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545" xr:uid="{524DFB72-3A64-495A-B376-991C3C6B4DBC}"/>
    <cellStyle name="20% - Accent3 5 2 3" xfId="1073" xr:uid="{6240692D-E2D7-4271-B5BA-739BB892BE74}"/>
    <cellStyle name="20% - Accent3 5 3" xfId="122" xr:uid="{1E91EA4A-E022-44D7-86A9-A79352E38091}"/>
    <cellStyle name="20% - Accent3 5 3 2" xfId="1544" xr:uid="{A74464CB-305D-4AE5-B47D-015727F2D4B2}"/>
    <cellStyle name="20% - Accent3 5 4" xfId="1072" xr:uid="{46E284D8-30F3-4810-9D4D-099CBB09ED76}"/>
    <cellStyle name="20% - Accent3 6" xfId="123" xr:uid="{9276889E-8E59-4273-A464-A8AE33988C93}"/>
    <cellStyle name="20% - Accent3 6 2" xfId="124" xr:uid="{04EDD7CF-27B9-4D34-B71B-227C5BC5C838}"/>
    <cellStyle name="20% - Accent3 6 2 2" xfId="1546" xr:uid="{2B818762-8F6A-4454-8989-C54B39ADADC2}"/>
    <cellStyle name="20% - Accent3 6 3" xfId="1074" xr:uid="{103589DA-B53A-4BDB-AE9B-1D6291C8EF53}"/>
    <cellStyle name="20% - Accent3 7" xfId="125" xr:uid="{3AECE89B-3D1C-4B37-9CB3-5E13CAC0B49C}"/>
    <cellStyle name="20% - Accent3 7 2" xfId="126" xr:uid="{D34F51AF-A0AE-4C9D-90A6-BEC693580D29}"/>
    <cellStyle name="20% - Accent3 7 2 2" xfId="1547" xr:uid="{59863665-7566-4A94-A85C-5E5253774241}"/>
    <cellStyle name="20% - Accent3 7 3" xfId="1075" xr:uid="{E26AD9E8-4EC4-48BD-B7C4-CF97ACD81505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551" xr:uid="{53689411-63E0-4AF1-B827-9A321BA3914E}"/>
    <cellStyle name="20% - Accent4 2 2 2 2 3" xfId="1079" xr:uid="{4C5087CE-3010-4D6C-B52E-6B364ED6F8D3}"/>
    <cellStyle name="20% - Accent4 2 2 2 3" xfId="132" xr:uid="{6BF44937-4509-40C1-B364-2E1132A4C706}"/>
    <cellStyle name="20% - Accent4 2 2 2 3 2" xfId="1550" xr:uid="{1F829AF4-CF8D-4766-ADBA-F93EFAD6B328}"/>
    <cellStyle name="20% - Accent4 2 2 2 4" xfId="1078" xr:uid="{41FF13EF-9F75-4A4C-9A4E-F67EFC37BEE0}"/>
    <cellStyle name="20% - Accent4 2 2 3" xfId="133" xr:uid="{3BBC5F0E-CADD-444A-8D75-ED294FCF82A9}"/>
    <cellStyle name="20% - Accent4 2 2 3 2" xfId="134" xr:uid="{B805CBE9-9F10-4E7A-9595-90643D01085C}"/>
    <cellStyle name="20% - Accent4 2 2 3 2 2" xfId="1552" xr:uid="{FD7A166A-1971-4F7A-B74B-77E61EC6F2B5}"/>
    <cellStyle name="20% - Accent4 2 2 3 3" xfId="1080" xr:uid="{6745EE7A-91A7-434C-909A-E77F666CDE64}"/>
    <cellStyle name="20% - Accent4 2 2 4" xfId="135" xr:uid="{EAEECCD9-D7BC-4127-B19B-536027F0B459}"/>
    <cellStyle name="20% - Accent4 2 2 4 2" xfId="1549" xr:uid="{0E4E985B-99F5-4870-9EAD-1BC4317B27CB}"/>
    <cellStyle name="20% - Accent4 2 2 5" xfId="1077" xr:uid="{079DAB1C-2603-4F8A-ABCE-D8A3BCCB7FBB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554" xr:uid="{D7435645-784E-4548-8A50-63B74A27AB78}"/>
    <cellStyle name="20% - Accent4 2 3 2 3" xfId="1082" xr:uid="{5D29CBA6-DF12-4A62-AC78-9248DAFB77F8}"/>
    <cellStyle name="20% - Accent4 2 3 3" xfId="139" xr:uid="{65479BCD-170C-429D-B21C-9343CE2D0078}"/>
    <cellStyle name="20% - Accent4 2 3 3 2" xfId="1553" xr:uid="{A8C07CEF-C6AF-4D88-81D3-A38AA3DDE71A}"/>
    <cellStyle name="20% - Accent4 2 3 4" xfId="1081" xr:uid="{29B2323A-3532-4EF3-979E-27638B9163F0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556" xr:uid="{713B6497-675B-462B-80D8-451F189672C9}"/>
    <cellStyle name="20% - Accent4 2 4 2 3" xfId="1084" xr:uid="{99D494E2-C060-45C4-A26C-5ADA93229D34}"/>
    <cellStyle name="20% - Accent4 2 4 3" xfId="143" xr:uid="{96F15470-D07F-447B-A7AE-C39A098825C5}"/>
    <cellStyle name="20% - Accent4 2 4 3 2" xfId="1555" xr:uid="{CCDA8A6C-D54B-45EE-B68A-D8F5E75B6045}"/>
    <cellStyle name="20% - Accent4 2 4 4" xfId="1083" xr:uid="{A561AFA5-4212-4407-92DC-EFD37EC8600D}"/>
    <cellStyle name="20% - Accent4 2 5" xfId="144" xr:uid="{2361583A-9289-4407-8AE8-2A4DF52DD5A4}"/>
    <cellStyle name="20% - Accent4 2 5 2" xfId="145" xr:uid="{7C5F27C5-55BE-4CCD-9A42-8BA5FE41A663}"/>
    <cellStyle name="20% - Accent4 2 5 2 2" xfId="1557" xr:uid="{CF8BD8F2-3C4E-4A7E-8C34-3655594F61B8}"/>
    <cellStyle name="20% - Accent4 2 5 3" xfId="1085" xr:uid="{4FE07AC3-85A9-4DA1-876F-831E9AB6F533}"/>
    <cellStyle name="20% - Accent4 2 6" xfId="146" xr:uid="{B7D85DAD-B7BE-4963-BF99-C08500D024D1}"/>
    <cellStyle name="20% - Accent4 2 6 2" xfId="147" xr:uid="{CD9F1B37-5784-4AC4-8F0D-9FC258AF452E}"/>
    <cellStyle name="20% - Accent4 2 6 2 2" xfId="1558" xr:uid="{2DCC548B-54D0-484C-B078-DDB9C6E5D782}"/>
    <cellStyle name="20% - Accent4 2 6 3" xfId="1086" xr:uid="{C7BB8412-6825-4CF3-BD51-85E626AE49E1}"/>
    <cellStyle name="20% - Accent4 2 7" xfId="148" xr:uid="{13D27386-34CB-424C-BA0C-3D688808ED93}"/>
    <cellStyle name="20% - Accent4 2 7 2" xfId="1548" xr:uid="{E3431D1A-4BCA-4CEE-BCF8-0D9E8E794BF9}"/>
    <cellStyle name="20% - Accent4 2 8" xfId="1076" xr:uid="{04CC72F1-205C-4853-A455-BF8BC355C73A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561" xr:uid="{64B7DDFB-F757-4F40-8B91-BE7DBDA9F989}"/>
    <cellStyle name="20% - Accent4 3 2 2 3" xfId="1089" xr:uid="{BCFEE89A-A79F-4C29-BDC1-11E9F84D2B97}"/>
    <cellStyle name="20% - Accent4 3 2 3" xfId="153" xr:uid="{D1EC1766-09BC-4965-BC68-547AF19AC6E3}"/>
    <cellStyle name="20% - Accent4 3 2 3 2" xfId="1560" xr:uid="{4871105D-6494-444F-A5F1-938F6C9DDAE1}"/>
    <cellStyle name="20% - Accent4 3 2 4" xfId="1088" xr:uid="{C1950040-6976-43C0-9FDB-B5D455AE66E7}"/>
    <cellStyle name="20% - Accent4 3 3" xfId="154" xr:uid="{BD53A6F4-6246-4A40-8E09-3116F6D7607E}"/>
    <cellStyle name="20% - Accent4 3 3 2" xfId="155" xr:uid="{04B5C08A-9BF6-4A73-B132-630C4CF3A406}"/>
    <cellStyle name="20% - Accent4 3 3 2 2" xfId="1562" xr:uid="{DED6508E-DCCC-417F-BD81-E8A412E5FB32}"/>
    <cellStyle name="20% - Accent4 3 3 3" xfId="1090" xr:uid="{8CEF8251-FE07-48D6-9E0D-7A3ED33A3B1C}"/>
    <cellStyle name="20% - Accent4 3 4" xfId="156" xr:uid="{6AD688DC-1241-44F8-88F5-FB0F738D0BB4}"/>
    <cellStyle name="20% - Accent4 3 4 2" xfId="1559" xr:uid="{EE0CA67C-D316-452D-AD0D-86AB793AFF2F}"/>
    <cellStyle name="20% - Accent4 3 5" xfId="1087" xr:uid="{4EF72A86-AFFB-487E-9684-AF5F26D9432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564" xr:uid="{CA7A9F9D-BB16-45A2-8252-0271CA57616C}"/>
    <cellStyle name="20% - Accent4 4 2 3" xfId="1092" xr:uid="{22A3685F-12E5-42E5-AE2C-C6E8B58D4A03}"/>
    <cellStyle name="20% - Accent4 4 3" xfId="160" xr:uid="{8468E94A-49EF-4D76-B755-9667CA20DFD4}"/>
    <cellStyle name="20% - Accent4 4 3 2" xfId="1563" xr:uid="{7A9ABA6C-BDA8-4542-98D8-2E5C3DCDA4CE}"/>
    <cellStyle name="20% - Accent4 4 4" xfId="1091" xr:uid="{4675370D-549E-46DA-BF66-69D29E8E9D89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566" xr:uid="{9D3216B3-6DBB-4A0D-B252-46E641D243AC}"/>
    <cellStyle name="20% - Accent4 5 2 3" xfId="1094" xr:uid="{95CBB1F2-23BD-468B-B5EF-B5776B9C0FFB}"/>
    <cellStyle name="20% - Accent4 5 3" xfId="164" xr:uid="{36A8BD4A-1F35-40FD-9630-854D3A3E164E}"/>
    <cellStyle name="20% - Accent4 5 3 2" xfId="1565" xr:uid="{D166C549-7859-4B53-AD11-0E5B8CD965D5}"/>
    <cellStyle name="20% - Accent4 5 4" xfId="1093" xr:uid="{533B5E36-E842-45C7-A321-49E6346746A6}"/>
    <cellStyle name="20% - Accent4 6" xfId="165" xr:uid="{7C12A55B-0156-41AD-AC65-AB142561D03F}"/>
    <cellStyle name="20% - Accent4 6 2" xfId="166" xr:uid="{5757D283-FAE5-439F-B3D9-AF1B42CAD711}"/>
    <cellStyle name="20% - Accent4 6 2 2" xfId="1567" xr:uid="{4001541F-55BE-4940-8BBA-095EFFA68D14}"/>
    <cellStyle name="20% - Accent4 6 3" xfId="1095" xr:uid="{359FA4FA-8EC3-4BA2-93CE-4B9EAFBA005C}"/>
    <cellStyle name="20% - Accent4 7" xfId="167" xr:uid="{383F3CBF-C2A4-4980-97D2-65758AF9B8FA}"/>
    <cellStyle name="20% - Accent4 7 2" xfId="168" xr:uid="{EE6224D7-EC37-46FC-90EA-9F50E45172AC}"/>
    <cellStyle name="20% - Accent4 7 2 2" xfId="1568" xr:uid="{D66C065C-1163-4D17-B7C2-1770DCAC70F3}"/>
    <cellStyle name="20% - Accent4 7 3" xfId="1096" xr:uid="{CF0F5CBC-D4C3-402A-8515-6A50E69B34D5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1572" xr:uid="{C6165490-C649-42D2-91D7-D17B9D850FBA}"/>
    <cellStyle name="20% - Accent5 2 2 2 2 3" xfId="1100" xr:uid="{7A1193E4-57F6-4A8D-A6B1-229A74892204}"/>
    <cellStyle name="20% - Accent5 2 2 2 3" xfId="174" xr:uid="{6BD9DC75-5558-4D03-9656-3564A97EB146}"/>
    <cellStyle name="20% - Accent5 2 2 2 3 2" xfId="1571" xr:uid="{8447DA83-CBA7-46C0-BEA7-C77CB25F61CA}"/>
    <cellStyle name="20% - Accent5 2 2 2 4" xfId="1099" xr:uid="{07CB0341-B0AE-4430-A5AC-060A539A8D74}"/>
    <cellStyle name="20% - Accent5 2 2 3" xfId="175" xr:uid="{FC602D45-3507-49FB-A1DE-E29FF75FB002}"/>
    <cellStyle name="20% - Accent5 2 2 3 2" xfId="176" xr:uid="{58A9FF09-4DD4-45B7-8832-17325360A466}"/>
    <cellStyle name="20% - Accent5 2 2 3 2 2" xfId="1573" xr:uid="{00C7D0D1-049C-49E7-ABCB-E6F1D586124D}"/>
    <cellStyle name="20% - Accent5 2 2 3 3" xfId="1101" xr:uid="{33A33EF3-F1A6-4FDC-A5E3-D4183CBE72C3}"/>
    <cellStyle name="20% - Accent5 2 2 4" xfId="177" xr:uid="{CC587974-EAD5-43DB-87E1-209399EAF932}"/>
    <cellStyle name="20% - Accent5 2 2 4 2" xfId="1570" xr:uid="{F6D0CBC2-BEEF-448B-92C8-708FD37ED357}"/>
    <cellStyle name="20% - Accent5 2 2 5" xfId="1098" xr:uid="{7AE97704-F2B2-41CB-8AA3-0E6CFDB2D86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1575" xr:uid="{DE1B259A-51C9-4084-B37F-2EF4652DF4AA}"/>
    <cellStyle name="20% - Accent5 2 3 2 3" xfId="1103" xr:uid="{1326CB66-B49E-4C41-9F97-B4A9F2303A46}"/>
    <cellStyle name="20% - Accent5 2 3 3" xfId="181" xr:uid="{C5C6DFE8-57D9-4522-ACCD-834E7BF49FF5}"/>
    <cellStyle name="20% - Accent5 2 3 3 2" xfId="1574" xr:uid="{EB37C47D-6920-4903-AC20-398663C5C724}"/>
    <cellStyle name="20% - Accent5 2 3 4" xfId="1102" xr:uid="{CB147A97-E991-4E82-A9CD-7B22AD8ABA56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1577" xr:uid="{09CBFC02-242B-41DA-91B8-EC3D95469A40}"/>
    <cellStyle name="20% - Accent5 2 4 2 3" xfId="1105" xr:uid="{1D270CC6-0AEC-4AFA-BF4B-9D1C17AAD692}"/>
    <cellStyle name="20% - Accent5 2 4 3" xfId="185" xr:uid="{1CA06B35-E07A-46C3-A518-259C1FBC3122}"/>
    <cellStyle name="20% - Accent5 2 4 3 2" xfId="1576" xr:uid="{B29BDDF4-BBCE-4A58-85C8-06B06DB47C09}"/>
    <cellStyle name="20% - Accent5 2 4 4" xfId="1104" xr:uid="{587AD449-7A8B-45FE-85F5-142E9912E212}"/>
    <cellStyle name="20% - Accent5 2 5" xfId="186" xr:uid="{791FC132-8C16-4823-A457-7BE811B53C9E}"/>
    <cellStyle name="20% - Accent5 2 5 2" xfId="187" xr:uid="{972653D4-B8BE-4089-8089-90E5B01D5566}"/>
    <cellStyle name="20% - Accent5 2 5 2 2" xfId="1578" xr:uid="{CDC04416-6651-43F3-9A75-9E11C551766B}"/>
    <cellStyle name="20% - Accent5 2 5 3" xfId="1106" xr:uid="{517BDF13-6686-474E-83B4-763A7EE8B92F}"/>
    <cellStyle name="20% - Accent5 2 6" xfId="188" xr:uid="{1ADAD278-6136-4846-9E71-45A9ABA8D9AC}"/>
    <cellStyle name="20% - Accent5 2 6 2" xfId="189" xr:uid="{22356EAA-C913-4C5C-8383-8FE0DCD55975}"/>
    <cellStyle name="20% - Accent5 2 6 2 2" xfId="1579" xr:uid="{119DDA7E-C081-42AE-85D1-C46C60A52475}"/>
    <cellStyle name="20% - Accent5 2 6 3" xfId="1107" xr:uid="{DB633246-A373-45F4-AAB9-1C8E59301EFB}"/>
    <cellStyle name="20% - Accent5 2 7" xfId="190" xr:uid="{55BC07F6-2D33-47D2-9F6F-735001AC9F99}"/>
    <cellStyle name="20% - Accent5 2 7 2" xfId="1569" xr:uid="{83FEB1BC-10D7-41CF-A764-0F2294B7841D}"/>
    <cellStyle name="20% - Accent5 2 8" xfId="1097" xr:uid="{CBCE9016-3D8A-4434-AAA8-33373B649DC3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1582" xr:uid="{0AE3DA8C-7384-4118-8194-85DA3FBB2587}"/>
    <cellStyle name="20% - Accent5 3 2 2 3" xfId="1110" xr:uid="{F8651CA9-A6FF-40F2-9C1A-33284741BA00}"/>
    <cellStyle name="20% - Accent5 3 2 3" xfId="195" xr:uid="{DF45CF19-E2B1-4591-A3B9-E1E81E2B6FFB}"/>
    <cellStyle name="20% - Accent5 3 2 3 2" xfId="1581" xr:uid="{698BEFA1-B9A8-4A1A-8789-AEC59339A54A}"/>
    <cellStyle name="20% - Accent5 3 2 4" xfId="1109" xr:uid="{775F46F2-87F3-4DFF-A83F-34F6DDB44E7B}"/>
    <cellStyle name="20% - Accent5 3 3" xfId="196" xr:uid="{6802D7DE-4604-45E7-8B0A-6D995E754FF0}"/>
    <cellStyle name="20% - Accent5 3 3 2" xfId="197" xr:uid="{35D0C6B7-12E8-45AD-86F8-0F8FDBEB9312}"/>
    <cellStyle name="20% - Accent5 3 3 2 2" xfId="1583" xr:uid="{A2C22D98-757B-4019-B0B1-213CC026B509}"/>
    <cellStyle name="20% - Accent5 3 3 3" xfId="1111" xr:uid="{36EDCC61-DDB6-4692-A7FC-6639B0565CFA}"/>
    <cellStyle name="20% - Accent5 3 4" xfId="198" xr:uid="{3A2C23E3-5098-4841-8620-60A4BC635EC2}"/>
    <cellStyle name="20% - Accent5 3 4 2" xfId="1580" xr:uid="{F82B8164-37CD-4C09-8BB8-EA507C3D1551}"/>
    <cellStyle name="20% - Accent5 3 5" xfId="1108" xr:uid="{AE29BB84-80E5-4979-8C65-D1C8BB18EA03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1585" xr:uid="{42724DE5-7871-4D40-B575-1BC48A7F532B}"/>
    <cellStyle name="20% - Accent5 4 2 3" xfId="1113" xr:uid="{0FDFA7A9-C480-4DBC-8510-A94EE647B449}"/>
    <cellStyle name="20% - Accent5 4 3" xfId="202" xr:uid="{27B5E4E5-5DD8-41B4-977D-6B7A14C31919}"/>
    <cellStyle name="20% - Accent5 4 3 2" xfId="1584" xr:uid="{E0F03653-E6AB-4F7D-BEB7-E8A3803FCE1D}"/>
    <cellStyle name="20% - Accent5 4 4" xfId="1112" xr:uid="{33C255D7-A18A-4DD9-81C2-80E396A11011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1587" xr:uid="{E2D3CED9-D252-4093-BF12-93F0EC45CF4A}"/>
    <cellStyle name="20% - Accent5 5 2 3" xfId="1115" xr:uid="{6E038605-73C2-4797-87E5-16FC5B2F7CBD}"/>
    <cellStyle name="20% - Accent5 5 3" xfId="206" xr:uid="{15852968-FA1A-49AF-B363-04FFAEC8C114}"/>
    <cellStyle name="20% - Accent5 5 3 2" xfId="1586" xr:uid="{2B7F7740-F72C-4F0D-AAEB-6F530AAD48AF}"/>
    <cellStyle name="20% - Accent5 5 4" xfId="1114" xr:uid="{9952D7FC-91E4-4103-8828-AA833A96A08D}"/>
    <cellStyle name="20% - Accent5 6" xfId="207" xr:uid="{3B347272-4A8E-4B5E-8E59-B018A1E8407A}"/>
    <cellStyle name="20% - Accent5 6 2" xfId="208" xr:uid="{E3FBC8CF-01A1-4BE8-98E0-E0F3F6C98ED5}"/>
    <cellStyle name="20% - Accent5 6 2 2" xfId="1588" xr:uid="{DE2D02BA-49D3-431A-A666-542660FC5961}"/>
    <cellStyle name="20% - Accent5 6 3" xfId="1116" xr:uid="{8B7729F6-ABA1-408B-B682-0509018ABFD6}"/>
    <cellStyle name="20% - Accent5 7" xfId="209" xr:uid="{D1A74165-20A5-412F-880E-1E3E12681512}"/>
    <cellStyle name="20% - Accent5 7 2" xfId="210" xr:uid="{95230AA6-5975-4556-9B67-C6DC9B99C511}"/>
    <cellStyle name="20% - Accent5 7 2 2" xfId="1589" xr:uid="{F2F6D68A-112A-4912-B7AE-6F270847AC9A}"/>
    <cellStyle name="20% - Accent5 7 3" xfId="1117" xr:uid="{5258C444-6DD0-4F36-9267-CF6ACCB38A8F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1593" xr:uid="{A317A2CB-90B9-4115-B54B-3CA0A9FBA662}"/>
    <cellStyle name="20% - Accent6 2 2 2 2 3" xfId="1121" xr:uid="{AE7C4275-D6DF-4072-951E-16D9B79E2EC7}"/>
    <cellStyle name="20% - Accent6 2 2 2 3" xfId="216" xr:uid="{77C4630A-E5F5-4DB4-AA39-1FB7E3F657E5}"/>
    <cellStyle name="20% - Accent6 2 2 2 3 2" xfId="1592" xr:uid="{3B9CF927-C47D-4F3F-8EF8-4427104ED563}"/>
    <cellStyle name="20% - Accent6 2 2 2 4" xfId="1120" xr:uid="{6F094DED-2E06-4025-BDD3-BE53C1229970}"/>
    <cellStyle name="20% - Accent6 2 2 3" xfId="217" xr:uid="{505F7625-9546-4B27-A21D-5BDFFF7B86DE}"/>
    <cellStyle name="20% - Accent6 2 2 3 2" xfId="218" xr:uid="{EF891727-30E3-4F26-B98C-6D57577C89AE}"/>
    <cellStyle name="20% - Accent6 2 2 3 2 2" xfId="1594" xr:uid="{03FE73F6-A59A-4FC1-85C9-15AC6C1A9EC2}"/>
    <cellStyle name="20% - Accent6 2 2 3 3" xfId="1122" xr:uid="{B2136FE3-F8DB-4912-A8D4-88BD30883A13}"/>
    <cellStyle name="20% - Accent6 2 2 4" xfId="219" xr:uid="{612A2DB5-4CAF-4AF0-A530-559A8D4308FE}"/>
    <cellStyle name="20% - Accent6 2 2 4 2" xfId="1591" xr:uid="{7CEE8DFC-508C-4C22-921D-3DCE5A7DB13F}"/>
    <cellStyle name="20% - Accent6 2 2 5" xfId="1119" xr:uid="{F23401E2-BF46-4F6F-8C48-20021C6B9C6D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1596" xr:uid="{7409CF51-248D-4B1D-83B6-7BEF79327DB8}"/>
    <cellStyle name="20% - Accent6 2 3 2 3" xfId="1124" xr:uid="{D39FD3A4-C8EA-4A60-AB06-68A80C17F6B1}"/>
    <cellStyle name="20% - Accent6 2 3 3" xfId="223" xr:uid="{47559E48-956C-4E6A-894F-B7C3B5D0057A}"/>
    <cellStyle name="20% - Accent6 2 3 3 2" xfId="1595" xr:uid="{A969F46E-1ECA-413C-9FF2-6E7D179228D7}"/>
    <cellStyle name="20% - Accent6 2 3 4" xfId="1123" xr:uid="{ACBBDE3E-22D7-4A12-9D7F-9E9739BCF335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1598" xr:uid="{89EE449B-3CD2-473A-B3A4-87D6A4EF9DA4}"/>
    <cellStyle name="20% - Accent6 2 4 2 3" xfId="1126" xr:uid="{9E9A2F8E-87C6-449B-BF43-FC5CC3CEB227}"/>
    <cellStyle name="20% - Accent6 2 4 3" xfId="227" xr:uid="{E4A0CB5D-B2A3-4C28-B05C-7097D4A4D0DD}"/>
    <cellStyle name="20% - Accent6 2 4 3 2" xfId="1597" xr:uid="{9B509C8F-505F-496B-914A-143E8B26674F}"/>
    <cellStyle name="20% - Accent6 2 4 4" xfId="1125" xr:uid="{215EE0BA-B45F-4201-8BD2-F3704DED00D8}"/>
    <cellStyle name="20% - Accent6 2 5" xfId="228" xr:uid="{54FFED0F-1832-4481-803A-E9B80938EF66}"/>
    <cellStyle name="20% - Accent6 2 5 2" xfId="229" xr:uid="{FA1CB3DE-BFE6-451B-8271-A81A040142CF}"/>
    <cellStyle name="20% - Accent6 2 5 2 2" xfId="1599" xr:uid="{4B6022A9-D5EC-4979-9517-4724DED86F83}"/>
    <cellStyle name="20% - Accent6 2 5 3" xfId="1127" xr:uid="{FC9562C5-24EE-4677-A8C8-F9B0B70DFC85}"/>
    <cellStyle name="20% - Accent6 2 6" xfId="230" xr:uid="{2FCCED9E-B857-44AD-A77F-73B1AA4B7192}"/>
    <cellStyle name="20% - Accent6 2 6 2" xfId="231" xr:uid="{562EF24D-5D80-4D0F-B172-32C3C86F18E9}"/>
    <cellStyle name="20% - Accent6 2 6 2 2" xfId="1600" xr:uid="{7E9E0DCB-B3D7-4D7D-99F2-A0231A3D1C5A}"/>
    <cellStyle name="20% - Accent6 2 6 3" xfId="1128" xr:uid="{AB7B03DD-682A-4E62-A441-762C120293EE}"/>
    <cellStyle name="20% - Accent6 2 7" xfId="232" xr:uid="{F980843A-E4E5-4F70-B5D5-EB516EB72A57}"/>
    <cellStyle name="20% - Accent6 2 7 2" xfId="1590" xr:uid="{24870822-8E12-4272-9EC8-08941BFE577C}"/>
    <cellStyle name="20% - Accent6 2 8" xfId="1118" xr:uid="{A4B9D27A-57E2-4F84-9AB3-EF00F56EAB3D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1603" xr:uid="{04450790-C86C-456C-9877-9B5B6CE93C54}"/>
    <cellStyle name="20% - Accent6 3 2 2 3" xfId="1131" xr:uid="{C964BEAC-319F-4BFA-AE9C-D3C209DBD04D}"/>
    <cellStyle name="20% - Accent6 3 2 3" xfId="237" xr:uid="{8D315B0F-CFC3-4B74-BA7A-3A2700984CF4}"/>
    <cellStyle name="20% - Accent6 3 2 3 2" xfId="1602" xr:uid="{42652EAE-9EF0-4B73-81AC-0427661EB030}"/>
    <cellStyle name="20% - Accent6 3 2 4" xfId="1130" xr:uid="{32E222B6-E802-4FD5-B8D9-3E627DEC6974}"/>
    <cellStyle name="20% - Accent6 3 3" xfId="238" xr:uid="{1209D388-3077-4568-BD81-75C9DD442709}"/>
    <cellStyle name="20% - Accent6 3 3 2" xfId="239" xr:uid="{82357551-57F7-4DF8-9971-96727CEC30BC}"/>
    <cellStyle name="20% - Accent6 3 3 2 2" xfId="1604" xr:uid="{F3AE3C05-993F-4285-ABC7-EC2489F7FBF6}"/>
    <cellStyle name="20% - Accent6 3 3 3" xfId="1132" xr:uid="{84ED2269-8402-4AEA-B1E9-2235C5A163E2}"/>
    <cellStyle name="20% - Accent6 3 4" xfId="240" xr:uid="{B336D7C0-D9B0-44CC-AF87-8A6CDDA2A2FE}"/>
    <cellStyle name="20% - Accent6 3 4 2" xfId="1601" xr:uid="{1E514432-5C3F-447C-B109-267937F55B2F}"/>
    <cellStyle name="20% - Accent6 3 5" xfId="1129" xr:uid="{211D3CC1-CB4E-4187-BB7D-AD6287B47B7A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1606" xr:uid="{8E0E7714-167E-4ADF-B913-CC462DCE264E}"/>
    <cellStyle name="20% - Accent6 4 2 3" xfId="1134" xr:uid="{28055FDD-A7FB-4D9D-8FA6-DD360144EE80}"/>
    <cellStyle name="20% - Accent6 4 3" xfId="244" xr:uid="{A352790D-5F34-4974-BA14-05B9B1104C61}"/>
    <cellStyle name="20% - Accent6 4 3 2" xfId="1605" xr:uid="{423D5523-AD3F-479E-8174-91C203D4DFB6}"/>
    <cellStyle name="20% - Accent6 4 4" xfId="1133" xr:uid="{C637A1CE-B2FB-449F-AC85-B647D25BB91F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1608" xr:uid="{DE858753-9803-4E1E-91A9-1ED152EEA2D8}"/>
    <cellStyle name="20% - Accent6 5 2 3" xfId="1136" xr:uid="{96DE69BA-31A6-4AEB-887A-2A9C8F28FBD1}"/>
    <cellStyle name="20% - Accent6 5 3" xfId="248" xr:uid="{0BC18E39-33EF-4062-A830-D88F64C27C68}"/>
    <cellStyle name="20% - Accent6 5 3 2" xfId="1607" xr:uid="{6055C434-1E52-43DF-93E5-F7C49844BA3E}"/>
    <cellStyle name="20% - Accent6 5 4" xfId="1135" xr:uid="{9E1A792C-4CD6-4558-A126-8343E08C2C8B}"/>
    <cellStyle name="20% - Accent6 6" xfId="249" xr:uid="{AE56B88F-61EF-42D8-BC9B-B388C938737E}"/>
    <cellStyle name="20% - Accent6 6 2" xfId="250" xr:uid="{73B7AEC2-E3AB-43E5-8518-3CD6DC285C55}"/>
    <cellStyle name="20% - Accent6 6 2 2" xfId="1609" xr:uid="{36617305-413A-4435-9B31-6C5B8ACFAF0D}"/>
    <cellStyle name="20% - Accent6 6 3" xfId="1137" xr:uid="{EE5A6029-D403-4C55-B1B7-32F89A568DCB}"/>
    <cellStyle name="20% - Accent6 7" xfId="251" xr:uid="{C511CF5A-03F0-4050-BE7E-39B7091022AD}"/>
    <cellStyle name="20% - Accent6 7 2" xfId="252" xr:uid="{98B169E4-5E1A-4AC9-A18B-2B5B8DF52F41}"/>
    <cellStyle name="20% - Accent6 7 2 2" xfId="1610" xr:uid="{007BFB77-74DC-4C90-A9C2-B720A5B8680A}"/>
    <cellStyle name="20% - Accent6 7 3" xfId="1138" xr:uid="{86864545-7AC9-4055-A937-7D2D76EC7A76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1614" xr:uid="{DBABE1D8-4BC6-4491-821D-56FEBE57EE8A}"/>
    <cellStyle name="40% - Accent1 2 2 2 2 3" xfId="1142" xr:uid="{27809131-F72C-4914-8690-33A2DE99ADDC}"/>
    <cellStyle name="40% - Accent1 2 2 2 3" xfId="258" xr:uid="{57497C4C-E059-4C6B-A888-917AA1BE497E}"/>
    <cellStyle name="40% - Accent1 2 2 2 3 2" xfId="1613" xr:uid="{37812BA9-AC4D-49FF-918B-4EEF1BC146C6}"/>
    <cellStyle name="40% - Accent1 2 2 2 4" xfId="1141" xr:uid="{A172A1BA-0437-44AA-8907-24DB26D537DB}"/>
    <cellStyle name="40% - Accent1 2 2 3" xfId="259" xr:uid="{5EB4BCB1-2BCD-4B26-9130-0D1D09A44F15}"/>
    <cellStyle name="40% - Accent1 2 2 3 2" xfId="260" xr:uid="{7A9C30D0-AEC9-4C3F-AFFD-DBF19DD24FAD}"/>
    <cellStyle name="40% - Accent1 2 2 3 2 2" xfId="1615" xr:uid="{5762F32C-C260-4CA3-BA5A-2C70E656B5BE}"/>
    <cellStyle name="40% - Accent1 2 2 3 3" xfId="1143" xr:uid="{66CA3CB4-FA86-4BBE-9A98-815DD9AE506D}"/>
    <cellStyle name="40% - Accent1 2 2 4" xfId="261" xr:uid="{A9B37054-72CC-4F1E-AFD5-A7CADBE2DF6C}"/>
    <cellStyle name="40% - Accent1 2 2 4 2" xfId="1612" xr:uid="{924D4C6B-442F-464E-9E4B-5EEB65B1064B}"/>
    <cellStyle name="40% - Accent1 2 2 5" xfId="1140" xr:uid="{4B0EC6D0-D221-4069-9964-9A4DA988B708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1617" xr:uid="{9AE33B84-57D4-4C22-9C35-41E1351C42D9}"/>
    <cellStyle name="40% - Accent1 2 3 2 3" xfId="1145" xr:uid="{EE7456F4-5EBA-4015-AD9A-537564E9BACD}"/>
    <cellStyle name="40% - Accent1 2 3 3" xfId="265" xr:uid="{10FB5A83-6803-4684-A8AB-78DDB02E1435}"/>
    <cellStyle name="40% - Accent1 2 3 3 2" xfId="1616" xr:uid="{2E2A9C1E-E0A4-4DEB-A3B1-D109415FA180}"/>
    <cellStyle name="40% - Accent1 2 3 4" xfId="1144" xr:uid="{A91FF1F8-9A8C-4C98-938E-5C8D818052C2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1619" xr:uid="{B7CF75E4-7026-4133-9A3D-1522BE288829}"/>
    <cellStyle name="40% - Accent1 2 4 2 3" xfId="1147" xr:uid="{D62538B0-8DE8-4AD6-BE83-AEA8D53E5A8E}"/>
    <cellStyle name="40% - Accent1 2 4 3" xfId="269" xr:uid="{A6DFA4F7-A909-4E76-93B0-E511EE959F56}"/>
    <cellStyle name="40% - Accent1 2 4 3 2" xfId="1618" xr:uid="{0F3AED1B-0B4A-40FF-B874-33959BF2EDEB}"/>
    <cellStyle name="40% - Accent1 2 4 4" xfId="1146" xr:uid="{C84AF67F-CAED-47B0-9C7C-BBD8B3AE583A}"/>
    <cellStyle name="40% - Accent1 2 5" xfId="270" xr:uid="{657CEBE8-61E6-46EE-A79A-9AB1EBA6682A}"/>
    <cellStyle name="40% - Accent1 2 5 2" xfId="271" xr:uid="{8C1FF0B5-A3D6-4076-AF3C-55D1E8BD47F3}"/>
    <cellStyle name="40% - Accent1 2 5 2 2" xfId="1620" xr:uid="{FF36C143-9520-40EC-BEEE-79B54D705D66}"/>
    <cellStyle name="40% - Accent1 2 5 3" xfId="1148" xr:uid="{3975F457-07DD-408A-AA7A-CAB8402E55BB}"/>
    <cellStyle name="40% - Accent1 2 6" xfId="272" xr:uid="{8936E1AB-0754-4BB4-AADD-C3DE9A827A55}"/>
    <cellStyle name="40% - Accent1 2 6 2" xfId="273" xr:uid="{ABBCD039-65DC-48ED-9FBF-F7FD0BDDC2B6}"/>
    <cellStyle name="40% - Accent1 2 6 2 2" xfId="1621" xr:uid="{82E16DBE-138D-4793-885B-81CDB36BB1F5}"/>
    <cellStyle name="40% - Accent1 2 6 3" xfId="1149" xr:uid="{607B7E07-34F0-4C41-A2BB-99F67A147B21}"/>
    <cellStyle name="40% - Accent1 2 7" xfId="274" xr:uid="{BC8A76FC-8DD7-4F83-A495-6208A3C95CA9}"/>
    <cellStyle name="40% - Accent1 2 7 2" xfId="1611" xr:uid="{94EDA064-D1D8-4163-B653-DF2DC043FA5D}"/>
    <cellStyle name="40% - Accent1 2 8" xfId="1139" xr:uid="{3BB144F1-55DD-4C7D-992F-94CA24102014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1624" xr:uid="{3502E88D-9D11-4CB2-B70F-397CDB529ADC}"/>
    <cellStyle name="40% - Accent1 3 2 2 3" xfId="1152" xr:uid="{761A8F14-BFD2-4BA3-A761-873682C2EC0F}"/>
    <cellStyle name="40% - Accent1 3 2 3" xfId="279" xr:uid="{6BE6EC7A-FC27-4ACF-AABA-051E492FB45F}"/>
    <cellStyle name="40% - Accent1 3 2 3 2" xfId="1623" xr:uid="{8ED6BD0B-BE04-4C3B-878F-24FD262A20A8}"/>
    <cellStyle name="40% - Accent1 3 2 4" xfId="1151" xr:uid="{B8E1D53D-AE29-4F92-B105-CA9305B1196F}"/>
    <cellStyle name="40% - Accent1 3 3" xfId="280" xr:uid="{28AF3D3C-66F1-4669-96EF-8F89F132583E}"/>
    <cellStyle name="40% - Accent1 3 3 2" xfId="281" xr:uid="{D3FD9086-0CE7-4D6A-ABB1-8DC0CCF46217}"/>
    <cellStyle name="40% - Accent1 3 3 2 2" xfId="1625" xr:uid="{F141D223-04E0-435F-A2F7-4F9B46FF4CED}"/>
    <cellStyle name="40% - Accent1 3 3 3" xfId="1153" xr:uid="{C56A09B3-70B0-48E2-8685-AA207B0AC084}"/>
    <cellStyle name="40% - Accent1 3 4" xfId="282" xr:uid="{F11A53C2-0265-4E5F-814C-2A5E845F9DF6}"/>
    <cellStyle name="40% - Accent1 3 4 2" xfId="1622" xr:uid="{0FF924C4-1770-4C98-AA33-FB1D06C8BAE4}"/>
    <cellStyle name="40% - Accent1 3 5" xfId="1150" xr:uid="{EA8A964C-56ED-4C29-A2FE-9BDBB985C5E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1627" xr:uid="{3AECE73A-6C54-4F61-B403-151F043CCC5C}"/>
    <cellStyle name="40% - Accent1 4 2 3" xfId="1155" xr:uid="{06BE57EC-C87B-4767-B168-45B89DD7ABEE}"/>
    <cellStyle name="40% - Accent1 4 3" xfId="286" xr:uid="{9AC79106-45BF-466A-9C83-A54A702096D1}"/>
    <cellStyle name="40% - Accent1 4 3 2" xfId="1626" xr:uid="{2EC39C2B-9CDF-4619-B29D-333A9F7001B2}"/>
    <cellStyle name="40% - Accent1 4 4" xfId="1154" xr:uid="{397F62FF-0D3E-4330-B228-9B65B89FD36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1629" xr:uid="{0B42242B-659E-4025-8E4E-79242D1B38D7}"/>
    <cellStyle name="40% - Accent1 5 2 3" xfId="1157" xr:uid="{7DAE5A7C-C6E2-425F-A008-78A5738E5D0B}"/>
    <cellStyle name="40% - Accent1 5 3" xfId="290" xr:uid="{E315FFA1-7D1A-4183-BA56-A339FB32A44D}"/>
    <cellStyle name="40% - Accent1 5 3 2" xfId="1628" xr:uid="{CA8D1367-45DE-47A6-902C-B9EA53C899CF}"/>
    <cellStyle name="40% - Accent1 5 4" xfId="1156" xr:uid="{0CD5E3F4-8078-43A1-B935-4A9F4EDA1D65}"/>
    <cellStyle name="40% - Accent1 6" xfId="291" xr:uid="{D471CFD4-0CC6-4E2D-892D-180B5C4ED99F}"/>
    <cellStyle name="40% - Accent1 6 2" xfId="292" xr:uid="{A848637D-52AA-44E0-89CF-2394B448ECCF}"/>
    <cellStyle name="40% - Accent1 6 2 2" xfId="1630" xr:uid="{095F474E-BECA-4F3A-9E4E-044E18C84324}"/>
    <cellStyle name="40% - Accent1 6 3" xfId="1158" xr:uid="{D422B024-295A-4598-B3EE-89B6AFC4941B}"/>
    <cellStyle name="40% - Accent1 7" xfId="293" xr:uid="{13306025-2F7F-4741-B8D4-F69EB839FADE}"/>
    <cellStyle name="40% - Accent1 7 2" xfId="294" xr:uid="{A892EC3C-1CC8-426D-8289-2F897D45B33B}"/>
    <cellStyle name="40% - Accent1 7 2 2" xfId="1631" xr:uid="{44DA6D76-9629-4D59-895C-09840FF60D8B}"/>
    <cellStyle name="40% - Accent1 7 3" xfId="1159" xr:uid="{C57A941A-3BA4-4A6D-BEA3-FE52CA7C9EA8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1635" xr:uid="{4FB576E2-2BA7-43A9-A5F1-CCA993560D1A}"/>
    <cellStyle name="40% - Accent2 2 2 2 2 3" xfId="1163" xr:uid="{CCBD7C29-F092-453F-8787-94719A50E685}"/>
    <cellStyle name="40% - Accent2 2 2 2 3" xfId="300" xr:uid="{349E3DB0-7F53-4359-92D5-C9DA07145ACE}"/>
    <cellStyle name="40% - Accent2 2 2 2 3 2" xfId="1634" xr:uid="{3595A8FF-DE6A-46EC-BD3C-A76B5386AE7C}"/>
    <cellStyle name="40% - Accent2 2 2 2 4" xfId="1162" xr:uid="{DBE360D4-B686-4701-965E-4A23DDAEADB7}"/>
    <cellStyle name="40% - Accent2 2 2 3" xfId="301" xr:uid="{27975DF4-C665-417C-BAFA-7201F660F466}"/>
    <cellStyle name="40% - Accent2 2 2 3 2" xfId="302" xr:uid="{33112A0E-8DDF-46DF-AFE3-66CA5D4FC84C}"/>
    <cellStyle name="40% - Accent2 2 2 3 2 2" xfId="1636" xr:uid="{6B390A33-3553-4581-86DE-3CB9239D16E3}"/>
    <cellStyle name="40% - Accent2 2 2 3 3" xfId="1164" xr:uid="{3CEC4692-BD67-40CA-A989-25A25E68DBE8}"/>
    <cellStyle name="40% - Accent2 2 2 4" xfId="303" xr:uid="{0DD1F9C4-2EDD-4A60-9F76-8C96A3294C91}"/>
    <cellStyle name="40% - Accent2 2 2 4 2" xfId="1633" xr:uid="{123F576E-03EE-43DF-B88A-B0F8259ECD21}"/>
    <cellStyle name="40% - Accent2 2 2 5" xfId="1161" xr:uid="{BA301D08-A1B9-42EA-804C-94EE6C360242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1638" xr:uid="{A7B83F92-7DCF-4DD6-A8E1-E8A0CE3835CE}"/>
    <cellStyle name="40% - Accent2 2 3 2 3" xfId="1166" xr:uid="{AE08CC37-7534-4E18-8E87-940D2E06C076}"/>
    <cellStyle name="40% - Accent2 2 3 3" xfId="307" xr:uid="{000C3385-C0FD-47E0-80BD-EAE0C31FDF4E}"/>
    <cellStyle name="40% - Accent2 2 3 3 2" xfId="1637" xr:uid="{C8C44F99-A15C-4272-B4F5-C8F15876D756}"/>
    <cellStyle name="40% - Accent2 2 3 4" xfId="1165" xr:uid="{61EEED26-F829-4133-ADE8-EF08BE02BDEC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1640" xr:uid="{F892B84A-103B-4570-BD0F-1C95C49339A6}"/>
    <cellStyle name="40% - Accent2 2 4 2 3" xfId="1168" xr:uid="{616F5705-B602-4A63-A891-8DE2F51E44F0}"/>
    <cellStyle name="40% - Accent2 2 4 3" xfId="311" xr:uid="{3E627D31-52B3-4E8F-A321-F5613BF5E907}"/>
    <cellStyle name="40% - Accent2 2 4 3 2" xfId="1639" xr:uid="{5FDB2294-8ED8-48D7-B11F-8BB46DD161E6}"/>
    <cellStyle name="40% - Accent2 2 4 4" xfId="1167" xr:uid="{88B383B0-EAA8-4773-8037-1A6707915083}"/>
    <cellStyle name="40% - Accent2 2 5" xfId="312" xr:uid="{417388A5-0EE7-4414-8DC5-0888EFBA8FFB}"/>
    <cellStyle name="40% - Accent2 2 5 2" xfId="313" xr:uid="{D2A3239C-A07B-4229-92FD-9BD722354D6C}"/>
    <cellStyle name="40% - Accent2 2 5 2 2" xfId="1641" xr:uid="{92A7A41B-8EE1-48E1-9F51-6051DC383A1B}"/>
    <cellStyle name="40% - Accent2 2 5 3" xfId="1169" xr:uid="{0156DA6E-ADE5-4DE1-8F8F-43959530BB7B}"/>
    <cellStyle name="40% - Accent2 2 6" xfId="314" xr:uid="{16DB5B07-17B5-44AB-947C-5ACD91CAC009}"/>
    <cellStyle name="40% - Accent2 2 6 2" xfId="315" xr:uid="{4DD06764-5A9D-4ED8-BBA7-FCB92885D669}"/>
    <cellStyle name="40% - Accent2 2 6 2 2" xfId="1642" xr:uid="{5FDE2E2D-E65F-477B-8CCF-5D5AB3184DFC}"/>
    <cellStyle name="40% - Accent2 2 6 3" xfId="1170" xr:uid="{E1687CD0-A75D-45DF-B985-9E82B265C3AB}"/>
    <cellStyle name="40% - Accent2 2 7" xfId="316" xr:uid="{23A1FD96-08EF-42BF-802B-8E7F928B69A9}"/>
    <cellStyle name="40% - Accent2 2 7 2" xfId="1632" xr:uid="{155D36D9-050E-4650-81F0-C6327FE700B3}"/>
    <cellStyle name="40% - Accent2 2 8" xfId="1160" xr:uid="{A805484A-E797-421E-ABE1-7FD8EC25CB9F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1645" xr:uid="{DA741641-F65C-468E-829E-96FE82A7FEAA}"/>
    <cellStyle name="40% - Accent2 3 2 2 3" xfId="1173" xr:uid="{EE0A98A0-7C2A-4F77-9DB5-08D50D8175E8}"/>
    <cellStyle name="40% - Accent2 3 2 3" xfId="321" xr:uid="{9233C834-BA41-4213-8D5D-C64A0E9D2190}"/>
    <cellStyle name="40% - Accent2 3 2 3 2" xfId="1644" xr:uid="{29A0D31D-2600-4066-B7B1-52AFA990AC84}"/>
    <cellStyle name="40% - Accent2 3 2 4" xfId="1172" xr:uid="{EB3595FA-CD55-4451-B339-984E1002BF6D}"/>
    <cellStyle name="40% - Accent2 3 3" xfId="322" xr:uid="{2B3E817C-8C3D-4583-A5A4-830CA0B8C16D}"/>
    <cellStyle name="40% - Accent2 3 3 2" xfId="323" xr:uid="{4FEF4FA1-AEE0-49E6-8FC1-E699651B14D3}"/>
    <cellStyle name="40% - Accent2 3 3 2 2" xfId="1646" xr:uid="{793A9576-5CB7-48DD-BE10-D2F9D3370C65}"/>
    <cellStyle name="40% - Accent2 3 3 3" xfId="1174" xr:uid="{B3D992BC-2F85-4610-979A-93B0449A56DC}"/>
    <cellStyle name="40% - Accent2 3 4" xfId="324" xr:uid="{A4F91980-E4E7-4B8C-AF80-09D61E8D879D}"/>
    <cellStyle name="40% - Accent2 3 4 2" xfId="1643" xr:uid="{E55022ED-91B8-4535-BE57-D45D5511ADE7}"/>
    <cellStyle name="40% - Accent2 3 5" xfId="1171" xr:uid="{DACCBE97-F063-45F9-B26A-D8927E4C2C6B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1648" xr:uid="{2132C2D0-75ED-432F-B7AB-C31E9EB7511A}"/>
    <cellStyle name="40% - Accent2 4 2 3" xfId="1176" xr:uid="{B8F834E1-FBAF-43A8-9A66-48F912A639FB}"/>
    <cellStyle name="40% - Accent2 4 3" xfId="328" xr:uid="{9147CC8F-00C9-474E-937A-FC0A744156E1}"/>
    <cellStyle name="40% - Accent2 4 3 2" xfId="1647" xr:uid="{011D1D4D-F0BB-4BCC-BA42-CCA96F520188}"/>
    <cellStyle name="40% - Accent2 4 4" xfId="1175" xr:uid="{61C704C7-A63F-4F53-8853-4C538F92F162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1650" xr:uid="{1A33E4A2-4FFC-43AF-AE99-8450AF7640B2}"/>
    <cellStyle name="40% - Accent2 5 2 3" xfId="1178" xr:uid="{B4E46045-B649-413E-B5A9-7645201877DE}"/>
    <cellStyle name="40% - Accent2 5 3" xfId="332" xr:uid="{59F9F5CE-3158-4FD9-9A88-A734DB48C25D}"/>
    <cellStyle name="40% - Accent2 5 3 2" xfId="1649" xr:uid="{72DF4508-54A9-4132-BA9F-002AC2D89C22}"/>
    <cellStyle name="40% - Accent2 5 4" xfId="1177" xr:uid="{14C85B68-9D2A-41EF-BAE6-E442C75575EA}"/>
    <cellStyle name="40% - Accent2 6" xfId="333" xr:uid="{A55A3AE5-557F-4C18-B6C6-47418F44B52E}"/>
    <cellStyle name="40% - Accent2 6 2" xfId="334" xr:uid="{3131B50C-E393-4843-8FED-0F7934B1A224}"/>
    <cellStyle name="40% - Accent2 6 2 2" xfId="1651" xr:uid="{61FA6E6E-CA16-4A1E-A8C0-96AEB50AFB10}"/>
    <cellStyle name="40% - Accent2 6 3" xfId="1179" xr:uid="{074E89CF-6DA8-4665-B8E5-4BCF7FFF2667}"/>
    <cellStyle name="40% - Accent2 7" xfId="335" xr:uid="{6E4D8FD3-0FF5-47FC-A963-A28D789BC390}"/>
    <cellStyle name="40% - Accent2 7 2" xfId="336" xr:uid="{6CBE59F8-1847-41CB-8D01-D218AE7DA5A1}"/>
    <cellStyle name="40% - Accent2 7 2 2" xfId="1652" xr:uid="{3866CDAE-23B8-417D-9D05-D385DD9AE732}"/>
    <cellStyle name="40% - Accent2 7 3" xfId="1180" xr:uid="{5EF55303-D0F8-40DE-A570-0384116109B5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1656" xr:uid="{30B069FC-201A-40E5-B33C-F2B1C478C741}"/>
    <cellStyle name="40% - Accent3 2 2 2 2 3" xfId="1184" xr:uid="{2F9FBFCE-6577-4C66-AF93-950061C4E2F0}"/>
    <cellStyle name="40% - Accent3 2 2 2 3" xfId="342" xr:uid="{286AAE45-6642-491F-895F-91794B5D3332}"/>
    <cellStyle name="40% - Accent3 2 2 2 3 2" xfId="1655" xr:uid="{DEE1A1C7-B3C9-47CB-8CFD-2FE52D1B11FA}"/>
    <cellStyle name="40% - Accent3 2 2 2 4" xfId="1183" xr:uid="{CF144E66-08A1-4587-9DD7-7F657468D18E}"/>
    <cellStyle name="40% - Accent3 2 2 3" xfId="343" xr:uid="{762F9FFB-6577-460B-A39E-A0CCEF9A7B4B}"/>
    <cellStyle name="40% - Accent3 2 2 3 2" xfId="344" xr:uid="{7A5A3A83-29D2-4387-A871-8E71243F2F74}"/>
    <cellStyle name="40% - Accent3 2 2 3 2 2" xfId="1657" xr:uid="{7C44C331-3C37-404E-93A5-8B2B24A992D5}"/>
    <cellStyle name="40% - Accent3 2 2 3 3" xfId="1185" xr:uid="{E4714D3C-702C-4A80-A53C-3244E11CCE34}"/>
    <cellStyle name="40% - Accent3 2 2 4" xfId="345" xr:uid="{31CC545E-3AF0-4F95-9FBA-CD0F2070A886}"/>
    <cellStyle name="40% - Accent3 2 2 4 2" xfId="1654" xr:uid="{9FE8A0F6-84F9-4130-9533-B965289AFE59}"/>
    <cellStyle name="40% - Accent3 2 2 5" xfId="1182" xr:uid="{760165D5-4849-45D2-AF86-4ECEA1C47830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1659" xr:uid="{25EE467E-7F90-48CD-A40B-D72CE58C9C7F}"/>
    <cellStyle name="40% - Accent3 2 3 2 3" xfId="1187" xr:uid="{6651B269-7A27-4949-9BDF-47658A05A38E}"/>
    <cellStyle name="40% - Accent3 2 3 3" xfId="349" xr:uid="{445B8B71-DCB5-4F55-B9C3-F59EAC6F0F11}"/>
    <cellStyle name="40% - Accent3 2 3 3 2" xfId="1658" xr:uid="{6EAAE83C-62C2-4672-8023-0148476292F9}"/>
    <cellStyle name="40% - Accent3 2 3 4" xfId="1186" xr:uid="{D02A783B-6DE9-415C-B536-44959D312A7E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1661" xr:uid="{C3F076AE-5101-45C4-BF72-844B99800470}"/>
    <cellStyle name="40% - Accent3 2 4 2 3" xfId="1189" xr:uid="{6814F226-CBA1-4409-A73A-A634A4EA3F18}"/>
    <cellStyle name="40% - Accent3 2 4 3" xfId="353" xr:uid="{CE4C7860-5062-4C6C-AF3E-E09123CF039C}"/>
    <cellStyle name="40% - Accent3 2 4 3 2" xfId="1660" xr:uid="{2AE1B60C-EF42-4838-91AB-F059EF37AA32}"/>
    <cellStyle name="40% - Accent3 2 4 4" xfId="1188" xr:uid="{EDA905BB-E63F-400F-A55D-E824A9C60233}"/>
    <cellStyle name="40% - Accent3 2 5" xfId="354" xr:uid="{44FE2787-1945-4A44-93A6-3578D0E0413B}"/>
    <cellStyle name="40% - Accent3 2 5 2" xfId="355" xr:uid="{C92F01CF-F696-458B-AE7A-EB7163058976}"/>
    <cellStyle name="40% - Accent3 2 5 2 2" xfId="1662" xr:uid="{6B92A5E2-6E3F-449D-84B7-1C1E77985C7A}"/>
    <cellStyle name="40% - Accent3 2 5 3" xfId="1190" xr:uid="{3339E3DC-270A-42CB-9B00-B914C0471673}"/>
    <cellStyle name="40% - Accent3 2 6" xfId="356" xr:uid="{71FF4680-1710-4633-97E4-3269104ABCA0}"/>
    <cellStyle name="40% - Accent3 2 6 2" xfId="357" xr:uid="{193F2F2C-AA8B-4C1F-A99E-2D58C5BB92BE}"/>
    <cellStyle name="40% - Accent3 2 6 2 2" xfId="1663" xr:uid="{BF093E0C-BF48-408D-8D0D-D71E575F9D65}"/>
    <cellStyle name="40% - Accent3 2 6 3" xfId="1191" xr:uid="{C5EA428B-206B-4674-A0C9-FF9E2A9B1484}"/>
    <cellStyle name="40% - Accent3 2 7" xfId="358" xr:uid="{09D364B2-92F9-4FE1-82E7-059075FDCD92}"/>
    <cellStyle name="40% - Accent3 2 7 2" xfId="1653" xr:uid="{EC561C8A-B12B-455B-98C2-5D4149BE82EA}"/>
    <cellStyle name="40% - Accent3 2 8" xfId="1181" xr:uid="{BF802616-9EE2-48E9-80DD-04129E2168E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1666" xr:uid="{053C9708-4BCF-4260-935A-F99BCCD4B594}"/>
    <cellStyle name="40% - Accent3 3 2 2 3" xfId="1194" xr:uid="{F591A220-56AC-479D-AC7D-B952A6ECDA9E}"/>
    <cellStyle name="40% - Accent3 3 2 3" xfId="363" xr:uid="{8819C5C2-FAE1-4D7D-9FB2-2ED3436BD2B4}"/>
    <cellStyle name="40% - Accent3 3 2 3 2" xfId="1665" xr:uid="{3AC8F606-A1C3-43C5-940A-88F95D7F9BA5}"/>
    <cellStyle name="40% - Accent3 3 2 4" xfId="1193" xr:uid="{F90665C3-A32C-4B00-91D8-BDC728FCF8C4}"/>
    <cellStyle name="40% - Accent3 3 3" xfId="364" xr:uid="{7F89123A-2386-4A13-8622-9D9D626A14B5}"/>
    <cellStyle name="40% - Accent3 3 3 2" xfId="365" xr:uid="{1D6EBC21-57C9-4138-8282-CF032D7AD4D5}"/>
    <cellStyle name="40% - Accent3 3 3 2 2" xfId="1667" xr:uid="{CFFDF892-4F83-4CA2-893C-ABBD48738D37}"/>
    <cellStyle name="40% - Accent3 3 3 3" xfId="1195" xr:uid="{10EC553E-42C2-4E72-8EDE-CA59C166088B}"/>
    <cellStyle name="40% - Accent3 3 4" xfId="366" xr:uid="{9FB1FCAD-BC4A-4329-BBC2-1E4E35367F0B}"/>
    <cellStyle name="40% - Accent3 3 4 2" xfId="1664" xr:uid="{B8F91791-6BCD-442C-8444-E2A7496A7FCC}"/>
    <cellStyle name="40% - Accent3 3 5" xfId="1192" xr:uid="{9575C4D3-AB2B-498B-A6B4-B40BB726CB16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1669" xr:uid="{140A1073-14E9-42E0-8584-0E1C56C4FB78}"/>
    <cellStyle name="40% - Accent3 4 2 3" xfId="1197" xr:uid="{F75FE0AA-1620-436A-82D6-D96B3F8882D2}"/>
    <cellStyle name="40% - Accent3 4 3" xfId="370" xr:uid="{8D377D81-6101-497D-A879-EBF36C2783C2}"/>
    <cellStyle name="40% - Accent3 4 3 2" xfId="1668" xr:uid="{ECA144B3-1009-49BB-AC75-479D41C87FD9}"/>
    <cellStyle name="40% - Accent3 4 4" xfId="1196" xr:uid="{BBB30AF6-DA0F-43E8-A849-A1802E7F3E0F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1671" xr:uid="{57EFBC03-A0B1-43F3-B9E9-7CBB3AB99DD9}"/>
    <cellStyle name="40% - Accent3 5 2 3" xfId="1199" xr:uid="{BE6EC2C5-210F-4136-A488-18E3DDE26C48}"/>
    <cellStyle name="40% - Accent3 5 3" xfId="374" xr:uid="{B962106D-AB30-4311-9DB6-629E3042EE31}"/>
    <cellStyle name="40% - Accent3 5 3 2" xfId="1670" xr:uid="{A5969514-E80B-4650-9FD1-2CC575714869}"/>
    <cellStyle name="40% - Accent3 5 4" xfId="1198" xr:uid="{4F1CA1D6-E920-4C37-A014-BEE614633027}"/>
    <cellStyle name="40% - Accent3 6" xfId="375" xr:uid="{FA54B4A6-317B-4B28-9B5E-EF39D060E943}"/>
    <cellStyle name="40% - Accent3 6 2" xfId="376" xr:uid="{C4E0D6C8-7468-4142-90BB-6BDF7530DACC}"/>
    <cellStyle name="40% - Accent3 6 2 2" xfId="1672" xr:uid="{E76A2E14-8D8E-4E57-82DA-AC9FED4A54B0}"/>
    <cellStyle name="40% - Accent3 6 3" xfId="1200" xr:uid="{047AA88D-56F6-441E-AB6B-519ECBC1882C}"/>
    <cellStyle name="40% - Accent3 7" xfId="377" xr:uid="{A27D9880-A7CD-4561-BB7E-463DFB5EE476}"/>
    <cellStyle name="40% - Accent3 7 2" xfId="378" xr:uid="{751A72F5-0BCF-476D-ADFF-DDA848FEA1E4}"/>
    <cellStyle name="40% - Accent3 7 2 2" xfId="1673" xr:uid="{FE150B73-5A21-419D-A2B8-D18F2C1448D2}"/>
    <cellStyle name="40% - Accent3 7 3" xfId="1201" xr:uid="{996317B7-8FF9-436B-8D38-2E866477870C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1677" xr:uid="{F140423D-3FAE-47B5-9086-0A350427EDAC}"/>
    <cellStyle name="40% - Accent4 2 2 2 2 3" xfId="1205" xr:uid="{EE4AFD82-559C-47F0-B825-B3EDB88691CE}"/>
    <cellStyle name="40% - Accent4 2 2 2 3" xfId="384" xr:uid="{34E5BA05-FE6A-4581-AB54-2838D9450EDB}"/>
    <cellStyle name="40% - Accent4 2 2 2 3 2" xfId="1676" xr:uid="{5B0B5FEF-8429-49AD-9DB4-A1F239DE9D0D}"/>
    <cellStyle name="40% - Accent4 2 2 2 4" xfId="1204" xr:uid="{887D5C1B-5C31-4450-A35F-B0A769899A14}"/>
    <cellStyle name="40% - Accent4 2 2 3" xfId="385" xr:uid="{B365A40B-3FA5-48FF-A1D2-C47E1A081A6F}"/>
    <cellStyle name="40% - Accent4 2 2 3 2" xfId="386" xr:uid="{6FF4D0DE-EB9B-4FF6-9416-3237F313381C}"/>
    <cellStyle name="40% - Accent4 2 2 3 2 2" xfId="1678" xr:uid="{E57C9B50-F67B-461E-BE7A-DF0559E44C55}"/>
    <cellStyle name="40% - Accent4 2 2 3 3" xfId="1206" xr:uid="{A368F937-884C-4ED2-B4A7-9D191D799B63}"/>
    <cellStyle name="40% - Accent4 2 2 4" xfId="387" xr:uid="{8A4BB3DF-A4D8-43FC-B5D9-6888D5769EB1}"/>
    <cellStyle name="40% - Accent4 2 2 4 2" xfId="1675" xr:uid="{F1B16811-D853-4E1F-A98C-520D098527DD}"/>
    <cellStyle name="40% - Accent4 2 2 5" xfId="1203" xr:uid="{D69402C3-618F-40D7-8BB0-FEF0A8FE4C60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1680" xr:uid="{9AAD9B72-1F81-40CF-85BF-57D270C53A22}"/>
    <cellStyle name="40% - Accent4 2 3 2 3" xfId="1208" xr:uid="{BC808D98-51A7-45AD-911F-34652514D000}"/>
    <cellStyle name="40% - Accent4 2 3 3" xfId="391" xr:uid="{4B100289-6D20-4A98-97AF-73BDDFA93FD5}"/>
    <cellStyle name="40% - Accent4 2 3 3 2" xfId="1679" xr:uid="{F710ED1B-DD0C-4D86-90C6-64176ED608E2}"/>
    <cellStyle name="40% - Accent4 2 3 4" xfId="1207" xr:uid="{C63AD22E-7FF1-4672-9990-106A8559380A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1682" xr:uid="{983197F7-3956-40B6-9ED7-772050F1CD4B}"/>
    <cellStyle name="40% - Accent4 2 4 2 3" xfId="1210" xr:uid="{C69EEDC3-0929-444B-BD4B-761A55EACB89}"/>
    <cellStyle name="40% - Accent4 2 4 3" xfId="395" xr:uid="{20F2B0F4-1604-47B3-9BC6-D8D2AD7E0A19}"/>
    <cellStyle name="40% - Accent4 2 4 3 2" xfId="1681" xr:uid="{0CA9DC6E-8FFF-4AE2-AFEC-524D3DDD5EAC}"/>
    <cellStyle name="40% - Accent4 2 4 4" xfId="1209" xr:uid="{F74E1B00-878F-4FD5-B739-4910A2F2CF6E}"/>
    <cellStyle name="40% - Accent4 2 5" xfId="396" xr:uid="{CCA72493-E2F1-4F32-AA9D-983E88102B1A}"/>
    <cellStyle name="40% - Accent4 2 5 2" xfId="397" xr:uid="{2D65DEA4-2E07-43C3-9993-D8B6A253DF32}"/>
    <cellStyle name="40% - Accent4 2 5 2 2" xfId="1683" xr:uid="{3F8D7A34-8DD1-489A-9986-0EEBDDFB25B9}"/>
    <cellStyle name="40% - Accent4 2 5 3" xfId="1211" xr:uid="{9ACCFF34-86F0-4995-8C00-6AF4F3376BED}"/>
    <cellStyle name="40% - Accent4 2 6" xfId="398" xr:uid="{14FEA210-3BF3-4017-9630-1993DF0C960F}"/>
    <cellStyle name="40% - Accent4 2 6 2" xfId="399" xr:uid="{7EF2EF11-B649-4154-8D22-892BC5F514D7}"/>
    <cellStyle name="40% - Accent4 2 6 2 2" xfId="1684" xr:uid="{6E8753D3-3D04-45E4-8091-4C2D87C06BF3}"/>
    <cellStyle name="40% - Accent4 2 6 3" xfId="1212" xr:uid="{AE5D5622-F38C-4FDF-BB30-462D12DBB0F5}"/>
    <cellStyle name="40% - Accent4 2 7" xfId="400" xr:uid="{93028B9F-B9E4-47CF-9E32-F4CF6D1F39B2}"/>
    <cellStyle name="40% - Accent4 2 7 2" xfId="1674" xr:uid="{6B520612-1550-4832-AB24-527CB331F80D}"/>
    <cellStyle name="40% - Accent4 2 8" xfId="1202" xr:uid="{B330DFFF-A738-408D-82FD-FA599C43C9B7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1687" xr:uid="{AD86A6A1-C2ED-4DF0-A9AB-8E4C3C6D9B4C}"/>
    <cellStyle name="40% - Accent4 3 2 2 3" xfId="1215" xr:uid="{4E4A92F8-C38B-4E7D-BA0E-55D79E5A1E1A}"/>
    <cellStyle name="40% - Accent4 3 2 3" xfId="405" xr:uid="{2683FC22-5DD4-4891-803C-D7EA0411E78E}"/>
    <cellStyle name="40% - Accent4 3 2 3 2" xfId="1686" xr:uid="{0D554254-0C08-470C-9CD6-F8401AFC8119}"/>
    <cellStyle name="40% - Accent4 3 2 4" xfId="1214" xr:uid="{F59AB649-320D-4C9F-9C5A-C5FA553B0DB3}"/>
    <cellStyle name="40% - Accent4 3 3" xfId="406" xr:uid="{47E83481-906A-4966-962D-13751C211C69}"/>
    <cellStyle name="40% - Accent4 3 3 2" xfId="407" xr:uid="{D94440C4-6319-463E-BCA2-4BA1D22B47AF}"/>
    <cellStyle name="40% - Accent4 3 3 2 2" xfId="1688" xr:uid="{F11F99AA-31FD-4D38-ADA7-1971598B6792}"/>
    <cellStyle name="40% - Accent4 3 3 3" xfId="1216" xr:uid="{59DA07A4-B81B-4FFE-B20F-D48160D46FD3}"/>
    <cellStyle name="40% - Accent4 3 4" xfId="408" xr:uid="{141BC7C2-9B22-4522-889A-961142DEB2EF}"/>
    <cellStyle name="40% - Accent4 3 4 2" xfId="1685" xr:uid="{D8BCBB9F-D4A9-4015-BB3C-E1A091E9EC26}"/>
    <cellStyle name="40% - Accent4 3 5" xfId="1213" xr:uid="{5F47AB6D-97FF-41FB-AA5C-0FCBD2E9404D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1690" xr:uid="{11109FAD-D2CE-47DD-9E7F-5ADCD8A7945F}"/>
    <cellStyle name="40% - Accent4 4 2 3" xfId="1218" xr:uid="{E3833406-9441-4F01-BBD8-79E83AC3AE58}"/>
    <cellStyle name="40% - Accent4 4 3" xfId="412" xr:uid="{5B0DE5E1-AE37-456B-939D-516CF0F67594}"/>
    <cellStyle name="40% - Accent4 4 3 2" xfId="1689" xr:uid="{6A04364A-D09D-4EF0-9543-3C5CBDE919C1}"/>
    <cellStyle name="40% - Accent4 4 4" xfId="1217" xr:uid="{428A12D1-CD7B-4F3C-9F2D-BBAFCE76F087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1692" xr:uid="{ACE33140-7ABB-4DE6-A158-200E46C28B03}"/>
    <cellStyle name="40% - Accent4 5 2 3" xfId="1220" xr:uid="{42324FE6-7CFC-4E26-930A-ECC533BD0B4F}"/>
    <cellStyle name="40% - Accent4 5 3" xfId="416" xr:uid="{8E4B61C1-271F-4582-AFD0-9474082E0EA5}"/>
    <cellStyle name="40% - Accent4 5 3 2" xfId="1691" xr:uid="{3EDA2503-125E-42E1-8CD4-64E86797E6C2}"/>
    <cellStyle name="40% - Accent4 5 4" xfId="1219" xr:uid="{26A404CA-434B-43F8-A41F-604380262FD9}"/>
    <cellStyle name="40% - Accent4 6" xfId="417" xr:uid="{0F79F545-B159-42F2-A57B-206896E79B24}"/>
    <cellStyle name="40% - Accent4 6 2" xfId="418" xr:uid="{64747DE7-62CB-4427-B630-0612DFFEE8BA}"/>
    <cellStyle name="40% - Accent4 6 2 2" xfId="1693" xr:uid="{0237644E-76AC-4E0F-9CCE-8423282483B6}"/>
    <cellStyle name="40% - Accent4 6 3" xfId="1221" xr:uid="{ECB1ABED-D854-44C5-A265-620B037DFB72}"/>
    <cellStyle name="40% - Accent4 7" xfId="419" xr:uid="{6AB9616A-DB4A-44CB-8DD4-B1AF6263A96F}"/>
    <cellStyle name="40% - Accent4 7 2" xfId="420" xr:uid="{170081EA-DEDB-4744-99E5-51C0528B71DB}"/>
    <cellStyle name="40% - Accent4 7 2 2" xfId="1694" xr:uid="{44538F0B-1F0F-497E-8B5B-965C99AD29BE}"/>
    <cellStyle name="40% - Accent4 7 3" xfId="1222" xr:uid="{E0EA52D7-F0F4-4D86-B16D-17E4F2C61D27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1698" xr:uid="{CC067423-9D8F-48F8-8073-F0CA57E53E20}"/>
    <cellStyle name="40% - Accent5 2 2 2 2 3" xfId="1226" xr:uid="{0B9C3A06-32EB-4826-92EE-9C30AAB3B301}"/>
    <cellStyle name="40% - Accent5 2 2 2 3" xfId="426" xr:uid="{AC24316C-6C1F-42C4-9BDE-8770034D48AD}"/>
    <cellStyle name="40% - Accent5 2 2 2 3 2" xfId="1697" xr:uid="{6E2766DA-801F-4B1D-93EA-7A6FA340E816}"/>
    <cellStyle name="40% - Accent5 2 2 2 4" xfId="1225" xr:uid="{3DF03BD9-4E31-43B0-ADF8-D60D30CF9A6A}"/>
    <cellStyle name="40% - Accent5 2 2 3" xfId="427" xr:uid="{15BE5621-DCD2-49CB-90E9-3BB537BDE6ED}"/>
    <cellStyle name="40% - Accent5 2 2 3 2" xfId="428" xr:uid="{EF6B16BB-385D-4778-BFD9-6DA60D277D5C}"/>
    <cellStyle name="40% - Accent5 2 2 3 2 2" xfId="1699" xr:uid="{2E7AC6A5-C1D9-4100-BC95-6A38650574CA}"/>
    <cellStyle name="40% - Accent5 2 2 3 3" xfId="1227" xr:uid="{B807A4FD-7F48-4D29-BCB2-07DE27541720}"/>
    <cellStyle name="40% - Accent5 2 2 4" xfId="429" xr:uid="{D40D5ADD-6BFE-4896-8010-CEFECF2895D9}"/>
    <cellStyle name="40% - Accent5 2 2 4 2" xfId="1696" xr:uid="{3CF14EA5-079F-4110-8056-4F684F9F751F}"/>
    <cellStyle name="40% - Accent5 2 2 5" xfId="1224" xr:uid="{AA0FCEF2-8F3A-460A-B422-F656F3FA2675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1701" xr:uid="{75C6113B-F3DB-4150-939B-DE8890E15B01}"/>
    <cellStyle name="40% - Accent5 2 3 2 3" xfId="1229" xr:uid="{7C2D8A3D-060A-4F46-86E2-986868D6A64D}"/>
    <cellStyle name="40% - Accent5 2 3 3" xfId="433" xr:uid="{292B2A2E-97CD-43AA-A9F3-81EF7E05724F}"/>
    <cellStyle name="40% - Accent5 2 3 3 2" xfId="1700" xr:uid="{F4781E8E-DD51-48B3-ADCD-F6125117267D}"/>
    <cellStyle name="40% - Accent5 2 3 4" xfId="1228" xr:uid="{8C5F8716-A712-4D78-98DB-B412B3758E16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1703" xr:uid="{29C4A33E-FAAB-41B0-92B9-DFD877149CD5}"/>
    <cellStyle name="40% - Accent5 2 4 2 3" xfId="1231" xr:uid="{F8BB8A73-B749-4581-B2EA-38CAFDEB8431}"/>
    <cellStyle name="40% - Accent5 2 4 3" xfId="437" xr:uid="{CC6D7CC7-637F-492A-ADE6-A487A17D6F26}"/>
    <cellStyle name="40% - Accent5 2 4 3 2" xfId="1702" xr:uid="{F804EE77-38B2-4A7E-B5D4-B707C452CE78}"/>
    <cellStyle name="40% - Accent5 2 4 4" xfId="1230" xr:uid="{ADBEFE38-421B-46E1-B8A5-FFC6D24C74B1}"/>
    <cellStyle name="40% - Accent5 2 5" xfId="438" xr:uid="{D7E54B2D-6EEE-45BB-844A-E2A7A3AE9BD4}"/>
    <cellStyle name="40% - Accent5 2 5 2" xfId="439" xr:uid="{E26ADD1C-AFF4-4B13-8270-A31A2E7C5C87}"/>
    <cellStyle name="40% - Accent5 2 5 2 2" xfId="1704" xr:uid="{4C754F06-5CF5-409C-A739-732C9E722AE7}"/>
    <cellStyle name="40% - Accent5 2 5 3" xfId="1232" xr:uid="{4289E580-558E-4F7E-A040-556EC8ED8B96}"/>
    <cellStyle name="40% - Accent5 2 6" xfId="440" xr:uid="{FC89CCA4-90E4-493D-808A-9C6ABE8766DC}"/>
    <cellStyle name="40% - Accent5 2 6 2" xfId="441" xr:uid="{8AE1A73E-3C74-4435-9199-9F1E05F7057A}"/>
    <cellStyle name="40% - Accent5 2 6 2 2" xfId="1705" xr:uid="{0BC3F80C-E615-4886-B39D-6746E1E43AB4}"/>
    <cellStyle name="40% - Accent5 2 6 3" xfId="1233" xr:uid="{7747F05B-28AB-47E5-8196-6599C2F37CF2}"/>
    <cellStyle name="40% - Accent5 2 7" xfId="442" xr:uid="{F92FD0DA-B3F8-4D81-9AD2-5C85D5A3789A}"/>
    <cellStyle name="40% - Accent5 2 7 2" xfId="1695" xr:uid="{321B9554-43C7-4A72-8F8A-43F208BA7FD7}"/>
    <cellStyle name="40% - Accent5 2 8" xfId="1223" xr:uid="{1BCE6474-5E3D-445B-9DB1-D12FED73B21B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1708" xr:uid="{A0D99CC0-3DAC-4F83-B057-6459A3DA9394}"/>
    <cellStyle name="40% - Accent5 3 2 2 3" xfId="1236" xr:uid="{023844F1-2EED-4A48-8CC4-95434BE8E418}"/>
    <cellStyle name="40% - Accent5 3 2 3" xfId="447" xr:uid="{25520F9F-AB70-4490-A175-8188EB8CE8C1}"/>
    <cellStyle name="40% - Accent5 3 2 3 2" xfId="1707" xr:uid="{7C3059EB-D867-439E-BC7E-DBF001B19858}"/>
    <cellStyle name="40% - Accent5 3 2 4" xfId="1235" xr:uid="{95B014DD-7447-4C76-A548-00A8B94C6790}"/>
    <cellStyle name="40% - Accent5 3 3" xfId="448" xr:uid="{56FCCE78-4102-414A-89B6-3E55CB219E38}"/>
    <cellStyle name="40% - Accent5 3 3 2" xfId="449" xr:uid="{89026B74-D657-4162-A648-995D498A42F4}"/>
    <cellStyle name="40% - Accent5 3 3 2 2" xfId="1709" xr:uid="{6A890B3C-2989-4214-B1F7-6640C1FE9700}"/>
    <cellStyle name="40% - Accent5 3 3 3" xfId="1237" xr:uid="{9140CED4-5F9E-4237-8276-40A9CCF228E5}"/>
    <cellStyle name="40% - Accent5 3 4" xfId="450" xr:uid="{F33C06BF-D3C5-4263-8375-3602DC647D5B}"/>
    <cellStyle name="40% - Accent5 3 4 2" xfId="1706" xr:uid="{7D242B6B-6503-4451-A73F-5629703077C5}"/>
    <cellStyle name="40% - Accent5 3 5" xfId="1234" xr:uid="{3B603025-1303-4E64-97B1-7F48C7693046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1711" xr:uid="{45B20FBC-9F38-4861-8C98-459B593715DA}"/>
    <cellStyle name="40% - Accent5 4 2 3" xfId="1239" xr:uid="{1596D2B8-8703-436E-BC53-7192349150E8}"/>
    <cellStyle name="40% - Accent5 4 3" xfId="454" xr:uid="{7E12F578-C145-454E-9528-48E0F52B4722}"/>
    <cellStyle name="40% - Accent5 4 3 2" xfId="1710" xr:uid="{9A467168-9568-4D37-B947-FF83E24297FE}"/>
    <cellStyle name="40% - Accent5 4 4" xfId="1238" xr:uid="{0768545D-70B5-4C8C-BE22-F552C1ECABF7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1713" xr:uid="{53C716EC-4BCD-44B6-A044-0CC6619A0AE8}"/>
    <cellStyle name="40% - Accent5 5 2 3" xfId="1241" xr:uid="{B0BE0FF9-0A3D-4046-AC01-80535E6F2794}"/>
    <cellStyle name="40% - Accent5 5 3" xfId="458" xr:uid="{155698AE-2F2D-4CCF-A33D-7DAF61BFD07D}"/>
    <cellStyle name="40% - Accent5 5 3 2" xfId="1712" xr:uid="{A6BE35D9-B1B0-4ABB-99E3-D1F6A1DA790A}"/>
    <cellStyle name="40% - Accent5 5 4" xfId="1240" xr:uid="{2ACA72FC-8931-458C-B85F-BF6A3401E527}"/>
    <cellStyle name="40% - Accent5 6" xfId="459" xr:uid="{B88290F0-6DE2-45B7-A0BD-89A591C4DBDC}"/>
    <cellStyle name="40% - Accent5 6 2" xfId="460" xr:uid="{2D0C5C52-97D9-4DE4-A351-6FA5E47A9E4B}"/>
    <cellStyle name="40% - Accent5 6 2 2" xfId="1714" xr:uid="{EA7955A4-0104-46CA-A09D-BBD4D3A09C01}"/>
    <cellStyle name="40% - Accent5 6 3" xfId="1242" xr:uid="{EED65EFC-4B14-4ACD-891B-1774EBCBEA20}"/>
    <cellStyle name="40% - Accent5 7" xfId="461" xr:uid="{E589AC6A-4858-4BB5-90AB-5E2BCEEB7FCE}"/>
    <cellStyle name="40% - Accent5 7 2" xfId="462" xr:uid="{A8181C09-0DD5-4BE0-8F97-E2598B9CE11D}"/>
    <cellStyle name="40% - Accent5 7 2 2" xfId="1715" xr:uid="{C8615FDD-E09E-4051-A71C-7DFB1B715B74}"/>
    <cellStyle name="40% - Accent5 7 3" xfId="1243" xr:uid="{763C2AF5-1D4B-4C0E-93AF-062F321BF9B6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1719" xr:uid="{35ADFE8D-7397-43D0-8A5B-E91F50C3773C}"/>
    <cellStyle name="40% - Accent6 2 2 2 2 3" xfId="1247" xr:uid="{67D0843E-1216-4654-A907-34C64D82B80C}"/>
    <cellStyle name="40% - Accent6 2 2 2 3" xfId="468" xr:uid="{42B2959D-2CBF-4341-B206-568FDC471673}"/>
    <cellStyle name="40% - Accent6 2 2 2 3 2" xfId="1718" xr:uid="{D275B5F5-6C5D-4398-AF89-DDE63AF1963C}"/>
    <cellStyle name="40% - Accent6 2 2 2 4" xfId="1246" xr:uid="{479B7C47-1E37-4AA3-B137-96E6E0E923AB}"/>
    <cellStyle name="40% - Accent6 2 2 3" xfId="469" xr:uid="{E42D6270-4B32-48C9-9466-C312BE2C06AE}"/>
    <cellStyle name="40% - Accent6 2 2 3 2" xfId="470" xr:uid="{78CB20BC-069E-43F7-BEAE-42D90F13AD40}"/>
    <cellStyle name="40% - Accent6 2 2 3 2 2" xfId="1720" xr:uid="{158A9C44-4B4F-4090-96A8-BEC6C3C955F3}"/>
    <cellStyle name="40% - Accent6 2 2 3 3" xfId="1248" xr:uid="{ED525BD3-103A-4895-AECF-14791F1706BE}"/>
    <cellStyle name="40% - Accent6 2 2 4" xfId="471" xr:uid="{744165B7-93CC-41FA-8DF2-D60537C3529C}"/>
    <cellStyle name="40% - Accent6 2 2 4 2" xfId="1717" xr:uid="{70F42EEB-9E52-4C8F-9FF2-20E01F7D4E0F}"/>
    <cellStyle name="40% - Accent6 2 2 5" xfId="1245" xr:uid="{6BCDBFBD-3077-4278-A5AB-0071B41D0E62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1722" xr:uid="{177FF521-388A-46E1-8660-1757FAD28543}"/>
    <cellStyle name="40% - Accent6 2 3 2 3" xfId="1250" xr:uid="{4B9B4E23-F2D9-4824-A61A-FE35CCD15FB3}"/>
    <cellStyle name="40% - Accent6 2 3 3" xfId="475" xr:uid="{A7D655FF-C881-4AC4-960C-C4AC6A1C50F0}"/>
    <cellStyle name="40% - Accent6 2 3 3 2" xfId="1721" xr:uid="{81D9E669-A5BE-437F-A224-F19AD8FA1532}"/>
    <cellStyle name="40% - Accent6 2 3 4" xfId="1249" xr:uid="{D1FDAF62-9434-45CD-8B23-B579DF7A9DA7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1724" xr:uid="{E78052B5-07B2-4DDB-8163-D4FA0E180F03}"/>
    <cellStyle name="40% - Accent6 2 4 2 3" xfId="1252" xr:uid="{E29FCE44-D7BE-4753-A520-0C9D7FDA0253}"/>
    <cellStyle name="40% - Accent6 2 4 3" xfId="479" xr:uid="{E168F463-3097-44CB-8F94-6608E5663773}"/>
    <cellStyle name="40% - Accent6 2 4 3 2" xfId="1723" xr:uid="{B35C7F9D-BE66-4BB5-8B7D-6206CD276D9B}"/>
    <cellStyle name="40% - Accent6 2 4 4" xfId="1251" xr:uid="{CCD53799-A815-4E7E-A067-D61E6AAF1822}"/>
    <cellStyle name="40% - Accent6 2 5" xfId="480" xr:uid="{3915BDA4-F3B5-460A-831F-6D98A7E94543}"/>
    <cellStyle name="40% - Accent6 2 5 2" xfId="481" xr:uid="{FD2EAC76-C3C7-47C3-A047-6D9C0632D397}"/>
    <cellStyle name="40% - Accent6 2 5 2 2" xfId="1725" xr:uid="{7CA819DF-A894-4EF3-93F2-CB895EE17B1F}"/>
    <cellStyle name="40% - Accent6 2 5 3" xfId="1253" xr:uid="{32E9ACB4-9EDF-40C5-8015-BBF7DAA136EF}"/>
    <cellStyle name="40% - Accent6 2 6" xfId="482" xr:uid="{85A04089-C0DC-4F89-929D-BFD5527C6DEC}"/>
    <cellStyle name="40% - Accent6 2 6 2" xfId="483" xr:uid="{8E197106-BC11-4844-99E7-A6C6AF8653AE}"/>
    <cellStyle name="40% - Accent6 2 6 2 2" xfId="1726" xr:uid="{30A999A4-E5C4-440B-9739-4120643E885A}"/>
    <cellStyle name="40% - Accent6 2 6 3" xfId="1254" xr:uid="{125E98D4-4926-4BCC-9FF3-C9DC1E74BBBB}"/>
    <cellStyle name="40% - Accent6 2 7" xfId="484" xr:uid="{4C071D00-8E6E-4A1A-AD7B-5A0C79027D12}"/>
    <cellStyle name="40% - Accent6 2 7 2" xfId="1716" xr:uid="{521FA0A3-44B7-4D11-A3A7-B559F5FC73D8}"/>
    <cellStyle name="40% - Accent6 2 8" xfId="1244" xr:uid="{8B844A7D-B6EF-4301-A0EE-0332031C4AE3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1729" xr:uid="{5EBD23C0-137B-40DD-AEE2-4E377E175F0E}"/>
    <cellStyle name="40% - Accent6 3 2 2 3" xfId="1257" xr:uid="{FBA06ED4-BD23-4116-BE21-35F0A1944CA7}"/>
    <cellStyle name="40% - Accent6 3 2 3" xfId="489" xr:uid="{F8FF69A4-9AD3-4E9F-B365-CA742F37F1C3}"/>
    <cellStyle name="40% - Accent6 3 2 3 2" xfId="1728" xr:uid="{B7842EAA-845E-4C7D-BEA8-1B9CADBB4F01}"/>
    <cellStyle name="40% - Accent6 3 2 4" xfId="1256" xr:uid="{2294BCAE-1F4E-4EA4-855D-DCCD9B59EE14}"/>
    <cellStyle name="40% - Accent6 3 3" xfId="490" xr:uid="{BD5EEFA9-417B-4383-8B7D-39FF211C8634}"/>
    <cellStyle name="40% - Accent6 3 3 2" xfId="491" xr:uid="{AAA6DC21-1676-434C-9B53-62D9C509B8AA}"/>
    <cellStyle name="40% - Accent6 3 3 2 2" xfId="1730" xr:uid="{0D3DA2E4-4951-4B5F-9884-D453295AE222}"/>
    <cellStyle name="40% - Accent6 3 3 3" xfId="1258" xr:uid="{F9EFFDEF-15CD-4DB5-8AE7-63B03B5685C7}"/>
    <cellStyle name="40% - Accent6 3 4" xfId="492" xr:uid="{A36A28A4-02C1-4017-A0AA-767571F6ADF0}"/>
    <cellStyle name="40% - Accent6 3 4 2" xfId="1727" xr:uid="{5E6D4DC7-E453-464F-9105-388544AB2245}"/>
    <cellStyle name="40% - Accent6 3 5" xfId="1255" xr:uid="{D170B695-FC55-4B89-9178-F28297413108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1732" xr:uid="{95F085F6-B0E8-4CE0-B48A-1505366DE952}"/>
    <cellStyle name="40% - Accent6 4 2 3" xfId="1260" xr:uid="{DBBFB627-2AB5-4C4F-8A8B-C57A23C9ACE2}"/>
    <cellStyle name="40% - Accent6 4 3" xfId="496" xr:uid="{2F085BD0-F79D-46D2-B909-DA1E0EC01691}"/>
    <cellStyle name="40% - Accent6 4 3 2" xfId="1731" xr:uid="{08F39ED8-37CF-453D-8A25-CC7E4E0C6174}"/>
    <cellStyle name="40% - Accent6 4 4" xfId="1259" xr:uid="{5DBCE33D-AEFC-484F-84BA-F7C3F536B4D2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1734" xr:uid="{9A3E4562-26B6-4334-AE6C-179A7A850646}"/>
    <cellStyle name="40% - Accent6 5 2 3" xfId="1262" xr:uid="{83A6DB4E-7565-4AB9-90D3-6919C7E9373C}"/>
    <cellStyle name="40% - Accent6 5 3" xfId="500" xr:uid="{AE46395A-37F8-4AFD-8FC6-09AC0F6222C9}"/>
    <cellStyle name="40% - Accent6 5 3 2" xfId="1733" xr:uid="{0709D195-4EDF-4B46-BE22-38DC904901E2}"/>
    <cellStyle name="40% - Accent6 5 4" xfId="1261" xr:uid="{DB83D515-891F-4C57-8AF5-B0CBAE6FF34E}"/>
    <cellStyle name="40% - Accent6 6" xfId="501" xr:uid="{C90CCF8B-5FD9-4F20-B633-8587608F8A5E}"/>
    <cellStyle name="40% - Accent6 6 2" xfId="502" xr:uid="{DDA721E9-4EC1-470D-89DB-E06F08E110D4}"/>
    <cellStyle name="40% - Accent6 6 2 2" xfId="1735" xr:uid="{0E2A2ADC-91F8-4A71-9833-76E43AAB1DAC}"/>
    <cellStyle name="40% - Accent6 6 3" xfId="1263" xr:uid="{729C4E2F-A3B9-4DB6-8AEF-540C08590DC5}"/>
    <cellStyle name="40% - Accent6 7" xfId="503" xr:uid="{B133C1CB-491F-49B9-BBF3-19A641EAD6FD}"/>
    <cellStyle name="40% - Accent6 7 2" xfId="504" xr:uid="{EA8D3A5B-9961-46E7-A983-ED09A429FB48}"/>
    <cellStyle name="40% - Accent6 7 2 2" xfId="1736" xr:uid="{527820FE-D6D5-44A4-87EB-55BAD04E1FB0}"/>
    <cellStyle name="40% - Accent6 7 3" xfId="1264" xr:uid="{6B9BFB24-E926-4F42-B3D8-104998978756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1738" xr:uid="{2D423E01-AA3C-47CC-90DA-C928E1245334}"/>
    <cellStyle name="60% - Accent1 2 2 3" xfId="1266" xr:uid="{6BE667A7-0130-49F0-9218-323FEDB8A648}"/>
    <cellStyle name="60% - Accent1 2 3" xfId="508" xr:uid="{0465A5DF-7375-4D0B-B614-36A191C63898}"/>
    <cellStyle name="60% - Accent1 2 3 2" xfId="1737" xr:uid="{F6DE6A44-532A-4762-A8EB-D41DB68108DE}"/>
    <cellStyle name="60% - Accent1 2 4" xfId="1265" xr:uid="{B2907278-B93B-4066-BB41-58958718FDEA}"/>
    <cellStyle name="60% - Accent1 3" xfId="509" xr:uid="{13272442-8E20-479A-B6A1-272B74D122AD}"/>
    <cellStyle name="60% - Accent1 3 2" xfId="1267" xr:uid="{8CFD2063-6C48-48C5-B75B-3EEC00C9DC4C}"/>
    <cellStyle name="60% - Accent1 4" xfId="510" xr:uid="{90D483CB-AF4C-4AA2-9945-7D84D936DACC}"/>
    <cellStyle name="60% - Accent1 4 2" xfId="511" xr:uid="{F7DB2A35-F439-4224-A0AA-C1DF58F4E744}"/>
    <cellStyle name="60% - Accent1 4 2 2" xfId="1739" xr:uid="{9FE238A7-ECCF-4BB0-8C41-E5373A3FACDD}"/>
    <cellStyle name="60% - Accent1 4 3" xfId="1268" xr:uid="{B6581074-DD85-429D-BF2E-09F541C7D0FE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1741" xr:uid="{4DCD0FD4-2AC8-443E-B469-C4C00242909E}"/>
    <cellStyle name="60% - Accent2 2 2 3" xfId="1270" xr:uid="{9DCA5732-7E91-4306-88CB-35C2775A939C}"/>
    <cellStyle name="60% - Accent2 2 3" xfId="515" xr:uid="{78DD4310-28F5-4ED9-A37E-5AD624F51618}"/>
    <cellStyle name="60% - Accent2 2 3 2" xfId="1740" xr:uid="{D298A825-E10E-490B-9C1A-0AC7E642983B}"/>
    <cellStyle name="60% - Accent2 2 4" xfId="1269" xr:uid="{6E6A225D-6C5B-4DE0-843D-CF2E9D71AA04}"/>
    <cellStyle name="60% - Accent2 3" xfId="516" xr:uid="{7AEFAA1E-B0F5-4308-A2D4-8AE474FEDD4D}"/>
    <cellStyle name="60% - Accent2 3 2" xfId="1271" xr:uid="{4C01EDB0-4A74-4C27-A5E4-573B0363EFD5}"/>
    <cellStyle name="60% - Accent2 4" xfId="517" xr:uid="{75A2B15F-B935-41CC-9060-C8FFC77C39AC}"/>
    <cellStyle name="60% - Accent2 4 2" xfId="518" xr:uid="{D14CBCBC-76C5-4ACC-A1AC-1187209CB586}"/>
    <cellStyle name="60% - Accent2 4 2 2" xfId="1742" xr:uid="{4A3578FF-DE84-4873-ABBD-F96DE054609B}"/>
    <cellStyle name="60% - Accent2 4 3" xfId="1272" xr:uid="{C14B7B43-A5F2-4D69-913C-F17259F4D544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1744" xr:uid="{DC4863F0-5721-492B-BE39-74FE448B370D}"/>
    <cellStyle name="60% - Accent3 2 2 3" xfId="1274" xr:uid="{B4C78D99-DF6A-4ED0-BC07-299912342306}"/>
    <cellStyle name="60% - Accent3 2 3" xfId="522" xr:uid="{49714B12-BE6A-4F03-A4A7-BA6E54774F60}"/>
    <cellStyle name="60% - Accent3 2 3 2" xfId="1743" xr:uid="{9E1632B2-60F6-4864-BCDF-F6625F0E4856}"/>
    <cellStyle name="60% - Accent3 2 4" xfId="1273" xr:uid="{3EE40053-F7A8-485D-A305-34D6C1631A8D}"/>
    <cellStyle name="60% - Accent3 3" xfId="523" xr:uid="{E4C103D5-7C43-4C77-A5F5-4DA3667899E0}"/>
    <cellStyle name="60% - Accent3 3 2" xfId="1275" xr:uid="{929293A5-3DA6-46E4-8FA1-4DC6D4A95C1E}"/>
    <cellStyle name="60% - Accent3 4" xfId="524" xr:uid="{D6A19130-9ECB-434A-BFEF-ACD80334AD0C}"/>
    <cellStyle name="60% - Accent3 4 2" xfId="525" xr:uid="{962C931F-8B69-4A96-8F44-09E11F8A0132}"/>
    <cellStyle name="60% - Accent3 4 2 2" xfId="1745" xr:uid="{18400F90-AB51-40BE-B234-3606402F6E8F}"/>
    <cellStyle name="60% - Accent3 4 3" xfId="1276" xr:uid="{7AD7CA4F-45A3-4009-992E-AD6C22FBABD7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1747" xr:uid="{37D0A102-6607-46E9-AA29-0B17747CDED2}"/>
    <cellStyle name="60% - Accent4 2 2 3" xfId="1278" xr:uid="{DD8D5DAA-C0F2-4784-B0FD-A6D4079D38E4}"/>
    <cellStyle name="60% - Accent4 2 3" xfId="529" xr:uid="{64FEE3F4-6332-4014-ABD0-2EA707DEF35A}"/>
    <cellStyle name="60% - Accent4 2 3 2" xfId="1746" xr:uid="{16C6C6E1-DC26-475D-9367-5F1B43C35B49}"/>
    <cellStyle name="60% - Accent4 2 4" xfId="1277" xr:uid="{EAF8D99F-8633-49C0-98F9-A05980CAF129}"/>
    <cellStyle name="60% - Accent4 3" xfId="530" xr:uid="{0765500A-69BD-4FC9-8767-6593BFA11E8F}"/>
    <cellStyle name="60% - Accent4 3 2" xfId="1279" xr:uid="{ECE85557-26E0-4FAD-BBB6-1B11DA7A500D}"/>
    <cellStyle name="60% - Accent4 4" xfId="531" xr:uid="{2885899B-FB2A-4755-AB53-2A9CACB88B14}"/>
    <cellStyle name="60% - Accent4 4 2" xfId="532" xr:uid="{87C0CB51-0242-4D87-ADDB-569E0F712090}"/>
    <cellStyle name="60% - Accent4 4 2 2" xfId="1748" xr:uid="{F6067E37-B911-431D-8C23-42F8AB6FA0C6}"/>
    <cellStyle name="60% - Accent4 4 3" xfId="1280" xr:uid="{12BAF408-33E6-4D4B-9566-5B43672AC291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1750" xr:uid="{DC7CE537-7DC8-4007-A336-2CB51DD69C45}"/>
    <cellStyle name="60% - Accent5 2 2 3" xfId="1282" xr:uid="{95A302A3-2573-4B5E-8E88-42835A120FD2}"/>
    <cellStyle name="60% - Accent5 2 3" xfId="536" xr:uid="{ABCF7A70-8AD9-4CEE-9DC1-35340C374930}"/>
    <cellStyle name="60% - Accent5 2 3 2" xfId="1749" xr:uid="{FCB75F55-6619-4704-909D-CF7E7BE66D68}"/>
    <cellStyle name="60% - Accent5 2 4" xfId="1281" xr:uid="{9D64E28A-8BFC-4931-AA1E-75B3460D44A0}"/>
    <cellStyle name="60% - Accent5 3" xfId="537" xr:uid="{7DBFA383-F152-4373-BB99-65247FF53B1D}"/>
    <cellStyle name="60% - Accent5 3 2" xfId="1283" xr:uid="{6326A5FA-8A81-4C12-A21C-B413D886FF71}"/>
    <cellStyle name="60% - Accent5 4" xfId="538" xr:uid="{77DFCB9B-BB52-4BA1-89CB-1C43AB2D5040}"/>
    <cellStyle name="60% - Accent5 4 2" xfId="539" xr:uid="{2EA3186F-934C-4A29-9259-8F32605C6E13}"/>
    <cellStyle name="60% - Accent5 4 2 2" xfId="1751" xr:uid="{D75060DE-2E97-46E5-B126-2B5FE8DE202A}"/>
    <cellStyle name="60% - Accent5 4 3" xfId="1284" xr:uid="{74D4D95A-7CB8-4EF2-ABE2-089BDA6E8A9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1753" xr:uid="{37161B71-0D51-4142-B40E-EBD58985A806}"/>
    <cellStyle name="60% - Accent6 2 2 3" xfId="1286" xr:uid="{660F26E7-B2B7-4402-8C9C-EF2DF1C0EE20}"/>
    <cellStyle name="60% - Accent6 2 3" xfId="543" xr:uid="{49C268AA-B8AC-4D42-94E1-EDEDBDBD3940}"/>
    <cellStyle name="60% - Accent6 2 3 2" xfId="1752" xr:uid="{3E661C7B-AC06-4417-A82D-D23C6A167214}"/>
    <cellStyle name="60% - Accent6 2 4" xfId="1285" xr:uid="{D5A30FBC-5E25-481E-80D6-796F4E59AF4C}"/>
    <cellStyle name="60% - Accent6 3" xfId="544" xr:uid="{F23DAF90-1C35-41C1-ADE0-D981FF474D29}"/>
    <cellStyle name="60% - Accent6 3 2" xfId="1287" xr:uid="{56947D3B-23F6-4E73-9526-600A4CAB016F}"/>
    <cellStyle name="60% - Accent6 4" xfId="545" xr:uid="{5028A68E-9C9D-448A-9148-A189FE4F09B1}"/>
    <cellStyle name="60% - Accent6 4 2" xfId="546" xr:uid="{A9325329-C80C-4BBC-9F50-67CE89AE3AAD}"/>
    <cellStyle name="60% - Accent6 4 2 2" xfId="1754" xr:uid="{28F4338D-21D0-4EDE-9864-AA77EF3112DF}"/>
    <cellStyle name="60% - Accent6 4 3" xfId="1288" xr:uid="{A4A030F4-71F7-4C14-8861-4E784C262A37}"/>
    <cellStyle name="Comma" xfId="547" builtinId="3"/>
    <cellStyle name="Comma [0] 2" xfId="548" xr:uid="{32FA1C11-9067-44F1-9633-99F12BACD6C5}"/>
    <cellStyle name="Comma [0] 2 2" xfId="988" xr:uid="{A0EED661-2E7C-4B75-9C00-5F7D6479756C}"/>
    <cellStyle name="Comma [0] 3" xfId="549" xr:uid="{6011A93F-E0CF-4824-B0C5-A7A128BE1E7D}"/>
    <cellStyle name="Comma [0] 3 2" xfId="996" xr:uid="{6E9E6677-8EA4-47CF-9C98-A9C45EFF3825}"/>
    <cellStyle name="Comma [0] 4" xfId="982" xr:uid="{506F8FC6-6A3C-4FA5-9F0A-CE1954474210}"/>
    <cellStyle name="Comma 10" xfId="550" xr:uid="{C07BDC7F-C61F-4D9C-92E9-4A8BB73A6073}"/>
    <cellStyle name="Comma 10 2" xfId="551" xr:uid="{2BDCDC0D-1483-448C-AAB1-FC0FDCBACD6B}"/>
    <cellStyle name="Comma 10 2 2" xfId="1755" xr:uid="{B6CAB859-8FC1-4221-BAAB-3A08696A05FE}"/>
    <cellStyle name="Comma 10 3" xfId="552" xr:uid="{387331F8-3DAB-4D2C-9958-81E64462BC2C}"/>
    <cellStyle name="Comma 10 3 2" xfId="1289" xr:uid="{FEDE419F-95D7-4954-833C-1CE1D7E47AE4}"/>
    <cellStyle name="Comma 10 4" xfId="1002" xr:uid="{965BF09B-61B9-4D70-8DCA-92EE14E96A2E}"/>
    <cellStyle name="Comma 11" xfId="553" xr:uid="{BD2A3ED0-FD77-4BDE-B708-5A26A08E2A94}"/>
    <cellStyle name="Comma 11 2" xfId="1006" xr:uid="{EE830A85-D3DC-411F-AB62-CD6F8827E3A1}"/>
    <cellStyle name="Comma 12" xfId="554" xr:uid="{8B5398EA-F353-4A35-AD47-C6424B9C02C6}"/>
    <cellStyle name="Comma 12 2" xfId="1012" xr:uid="{B81C56FB-A4C3-4F4D-8882-37A74D66A7ED}"/>
    <cellStyle name="Comma 13" xfId="555" xr:uid="{D22BA3F0-AB67-4B57-876B-C6F851B0D6CD}"/>
    <cellStyle name="Comma 13 2" xfId="1319" xr:uid="{6B9013C8-5DE6-4527-A579-FF2751D107ED}"/>
    <cellStyle name="Comma 14" xfId="556" xr:uid="{FAAF3FEA-8EA9-42A4-9643-4C2D43D8EAB1}"/>
    <cellStyle name="Comma 14 2" xfId="1912" xr:uid="{15BB480F-18CE-4CB2-9B43-761AD4CB9664}"/>
    <cellStyle name="Comma 15" xfId="557" xr:uid="{790A96FB-7A90-4BDB-B2D2-2927174ED7E0}"/>
    <cellStyle name="Comma 15 2" xfId="1913" xr:uid="{98AC35D1-1CA7-4A1F-8496-2CF2C3A2E906}"/>
    <cellStyle name="Comma 16" xfId="981" xr:uid="{D3DEB08F-AD37-474B-9AF4-CA6A5CE98CCD}"/>
    <cellStyle name="Comma 17" xfId="1916" xr:uid="{AC57FB8D-566F-4A2C-8E02-F271E793873E}"/>
    <cellStyle name="Comma 18" xfId="1917" xr:uid="{178FB9F5-8220-4922-B841-33EF83ADAB0E}"/>
    <cellStyle name="Comma 19" xfId="1919" xr:uid="{40E41983-0720-476B-89DF-7A0F07F5E955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2 2 2" xfId="1757" xr:uid="{0BEF2EA9-3347-4AC5-B7DF-454F8D5DD945}"/>
    <cellStyle name="Comma 2 2 2 2 3" xfId="1292" xr:uid="{326193E2-D2D3-45E1-ADC0-38BC388023E2}"/>
    <cellStyle name="Comma 2 2 2 3" xfId="563" xr:uid="{00DCB2DA-16FB-4D95-A47C-721E714337B3}"/>
    <cellStyle name="Comma 2 2 2 3 2" xfId="564" xr:uid="{5F98B3C2-4D94-4AB1-BC05-659A639BE5BE}"/>
    <cellStyle name="Comma 2 2 2 3 2 2" xfId="1758" xr:uid="{AEE8B2B6-19E9-448D-8907-F220EA96A964}"/>
    <cellStyle name="Comma 2 2 2 3 3" xfId="1293" xr:uid="{A31AB8E6-8C31-4AB6-9FFA-957DD10B879A}"/>
    <cellStyle name="Comma 2 2 2 4" xfId="565" xr:uid="{49C8415D-CDA4-4B77-9ED0-3D1A1113B7CE}"/>
    <cellStyle name="Comma 2 2 2 4 2" xfId="1294" xr:uid="{4C479579-F4C6-4D10-BC12-C9AE57E1B03B}"/>
    <cellStyle name="Comma 2 2 2 5" xfId="566" xr:uid="{015C5C5D-6BF7-4701-B56A-39AA5D64A98F}"/>
    <cellStyle name="Comma 2 2 2 5 2" xfId="1756" xr:uid="{14BE66B6-AEAD-4263-8C84-FF4CE5A7C54B}"/>
    <cellStyle name="Comma 2 2 2 6" xfId="1291" xr:uid="{1761F5F2-7DD6-48C1-8597-CA7CE8B6EC64}"/>
    <cellStyle name="Comma 2 2 3" xfId="1290" xr:uid="{4A2E1E87-0B13-4C5B-9F3E-C183E77339C5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2 2" xfId="1297" xr:uid="{D547899E-ED68-4065-8957-0C955A53E8FB}"/>
    <cellStyle name="Comma 2 3 2 3" xfId="570" xr:uid="{7CCD1EA1-CEC7-4642-AACF-F8BD79A0E71E}"/>
    <cellStyle name="Comma 2 3 2 3 2" xfId="571" xr:uid="{E32751B4-20A7-41CE-937C-778E3B89C84F}"/>
    <cellStyle name="Comma 2 3 2 3 2 2" xfId="1299" xr:uid="{B1F183D7-96CB-45AE-B9EE-D1BDDB0A22D7}"/>
    <cellStyle name="Comma 2 3 2 3 3" xfId="1298" xr:uid="{B646F33F-C4D7-4BDD-8AA4-F1C5FD4C09A7}"/>
    <cellStyle name="Comma 2 3 2 4" xfId="1296" xr:uid="{E3D963B4-1C93-413F-98C0-0F7BAE42AB5B}"/>
    <cellStyle name="Comma 2 3 3" xfId="1295" xr:uid="{BEE6CFAB-6E82-4E4A-B94A-507B2AF26E51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2 2 2" xfId="1760" xr:uid="{98908F4E-84D6-442D-B303-461D758636A9}"/>
    <cellStyle name="Comma 2 4 2 3" xfId="1301" xr:uid="{30B204DF-8641-4B76-9692-31955122B97E}"/>
    <cellStyle name="Comma 2 4 3" xfId="575" xr:uid="{D98F50E7-2F34-4F17-B1EA-B721F8EA0B72}"/>
    <cellStyle name="Comma 2 4 3 2" xfId="576" xr:uid="{3796252C-1054-4AE4-8E58-9290DAF8842A}"/>
    <cellStyle name="Comma 2 4 3 2 2" xfId="1761" xr:uid="{B79E860E-F429-4D04-BC1C-5FFACD2C2B8E}"/>
    <cellStyle name="Comma 2 4 3 3" xfId="1302" xr:uid="{C82134CE-FC98-4066-A162-D081651A750D}"/>
    <cellStyle name="Comma 2 4 4" xfId="577" xr:uid="{1CCF9010-917F-4467-AF40-31EC859BC004}"/>
    <cellStyle name="Comma 2 4 4 2" xfId="578" xr:uid="{1D6999D9-284E-48A1-8C07-46950C9EB86D}"/>
    <cellStyle name="Comma 2 4 4 2 2" xfId="1762" xr:uid="{A522964D-040E-4EFE-9985-08365C31DE11}"/>
    <cellStyle name="Comma 2 4 4 3" xfId="1303" xr:uid="{D4DE0D3D-8AF2-4387-AEAC-12E8F1BDEA9D}"/>
    <cellStyle name="Comma 2 4 5" xfId="579" xr:uid="{6C5F79FF-6622-4F1B-A976-B322D88252D9}"/>
    <cellStyle name="Comma 2 4 5 2" xfId="1304" xr:uid="{E9130AAF-BD1C-4A45-AFD0-51EE78B97714}"/>
    <cellStyle name="Comma 2 4 6" xfId="580" xr:uid="{878C6536-34C9-4999-9166-7341F3FAECA4}"/>
    <cellStyle name="Comma 2 4 6 2" xfId="1759" xr:uid="{57750025-6FC0-4A26-9ED8-B326499E6851}"/>
    <cellStyle name="Comma 2 4 7" xfId="1300" xr:uid="{66AAE0F9-4CDB-444D-8ABD-C6490D98A0C7}"/>
    <cellStyle name="Comma 2 5" xfId="581" xr:uid="{CA6F51B9-C39B-4ECF-913E-3135D9255650}"/>
    <cellStyle name="Comma 2 5 2" xfId="1305" xr:uid="{4E9D6FBA-5BBD-4F36-80C4-F15CE0DFAA18}"/>
    <cellStyle name="Comma 2 6" xfId="990" xr:uid="{5F60C76E-124A-4122-9B6E-02F6C5F31272}"/>
    <cellStyle name="Comma 20" xfId="1920" xr:uid="{638BA6B3-B8C3-49F6-85B9-448235C30E30}"/>
    <cellStyle name="Comma 21" xfId="1921" xr:uid="{224D0174-8AA4-4008-8AA4-E1922F1820A7}"/>
    <cellStyle name="Comma 22" xfId="1922" xr:uid="{B76E7290-8C3C-4489-96C8-1953EE984D95}"/>
    <cellStyle name="Comma 23" xfId="1915" xr:uid="{CE3FE94A-53CB-449E-9B87-CDD622C53E14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2 2" xfId="1308" xr:uid="{BCA95ED7-44C5-400F-974A-40B262DC246F}"/>
    <cellStyle name="Comma 3 2 3" xfId="585" xr:uid="{CB3A5476-1FD0-42CB-939E-5D4F78EBBD93}"/>
    <cellStyle name="Comma 3 2 3 2" xfId="1764" xr:uid="{1F833E35-77C9-4FE1-911E-CD693B94A197}"/>
    <cellStyle name="Comma 3 2 4" xfId="1307" xr:uid="{CB12F181-C101-4D25-AA67-CB4C4594E93F}"/>
    <cellStyle name="Comma 3 3" xfId="586" xr:uid="{0CE4A1E9-F3F3-438E-A772-B196508CF7AF}"/>
    <cellStyle name="Comma 3 3 2" xfId="1309" xr:uid="{EA5BAC79-A571-4DF3-8CD7-D1F26396D331}"/>
    <cellStyle name="Comma 3 4" xfId="587" xr:uid="{17A4AC75-242A-49AE-937B-5870927A98FA}"/>
    <cellStyle name="Comma 3 4 2" xfId="1763" xr:uid="{E511796D-D598-4BB7-A6F4-FEEC90B78858}"/>
    <cellStyle name="Comma 3 5" xfId="588" xr:uid="{0E0092A1-4A68-4310-9CC0-DADFFA4AB7BB}"/>
    <cellStyle name="Comma 3 5 2" xfId="1306" xr:uid="{4B22BF93-4394-412A-83DF-5AA4B6602E15}"/>
    <cellStyle name="Comma 3 6" xfId="987" xr:uid="{08E96590-3B7D-46CD-860D-CCEA8F5846B9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2 2" xfId="1311" xr:uid="{AB50C329-C6D8-4A08-B3D2-55DE7271C0AA}"/>
    <cellStyle name="Comma 4 2 3" xfId="592" xr:uid="{47346DDC-E069-4357-9486-45F84387D6EB}"/>
    <cellStyle name="Comma 4 2 3 2" xfId="1765" xr:uid="{30E2B33D-BA59-4640-9710-E0B044072ECB}"/>
    <cellStyle name="Comma 4 2 4" xfId="1310" xr:uid="{30C702FD-DB16-43B8-8F59-CE715C875095}"/>
    <cellStyle name="Comma 4 3" xfId="995" xr:uid="{0164E947-B8C1-4467-A9FF-B4994D4FEE46}"/>
    <cellStyle name="Comma 5" xfId="593" xr:uid="{4D687039-EBD0-4792-8413-2CFEC5DA1601}"/>
    <cellStyle name="Comma 5 2" xfId="594" xr:uid="{03CEFF58-B64A-4D23-A7C7-C2014CED407F}"/>
    <cellStyle name="Comma 5 2 2" xfId="1312" xr:uid="{531594B0-F54E-44B9-ABD3-D3444D26C937}"/>
    <cellStyle name="Comma 5 3" xfId="595" xr:uid="{5651BC04-5C34-4209-8DCE-28B493B6C2AA}"/>
    <cellStyle name="Comma 5 3 2" xfId="1313" xr:uid="{E2625D7D-DE45-4277-AD3F-CD48491ABA43}"/>
    <cellStyle name="Comma 5 4" xfId="596" xr:uid="{95A3EF46-19D0-454D-84A5-3DB5030A7FD2}"/>
    <cellStyle name="Comma 5 4 2" xfId="597" xr:uid="{1A3D639A-19D4-4379-856B-3927A12F6363}"/>
    <cellStyle name="Comma 5 4 2 2" xfId="1766" xr:uid="{9663DB8B-5913-43B0-BDCB-368D6E9D7EBD}"/>
    <cellStyle name="Comma 5 4 3" xfId="1314" xr:uid="{15A678FE-1928-4BBA-BB04-6AB361B197A5}"/>
    <cellStyle name="Comma 5 5" xfId="998" xr:uid="{30720336-A1F0-4E83-A491-0E655AEAAD83}"/>
    <cellStyle name="Comma 6" xfId="598" xr:uid="{9ADE81FC-091B-4489-9B00-A56649110160}"/>
    <cellStyle name="Comma 6 2" xfId="599" xr:uid="{B03FB11A-9AB3-4883-8066-2BFC9F0350E7}"/>
    <cellStyle name="Comma 6 2 2" xfId="1315" xr:uid="{921BB995-BB6C-41FE-9788-66FE55BBF161}"/>
    <cellStyle name="Comma 6 3" xfId="600" xr:uid="{8AF5D27F-80BC-41D5-AE70-1B13B42AC955}"/>
    <cellStyle name="Comma 6 3 2" xfId="601" xr:uid="{5A1C058C-8DC9-4571-A95C-1AF4C5E881E7}"/>
    <cellStyle name="Comma 6 3 2 2" xfId="1767" xr:uid="{266E689A-F7C2-46EA-8667-03E0B4AAE3A7}"/>
    <cellStyle name="Comma 6 3 3" xfId="1316" xr:uid="{444A45B5-3842-4489-8E88-E8627902F9A1}"/>
    <cellStyle name="Comma 6 4" xfId="1001" xr:uid="{05473F12-1DF5-4921-806C-1C9EAD5DCF24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2 2 2" xfId="1769" xr:uid="{C1F6DBBE-BD4A-40DD-AE14-FA54237A5588}"/>
    <cellStyle name="Comma 7 2 3" xfId="1318" xr:uid="{343CA13F-2C62-45B0-8C51-8C36CAF99A4A}"/>
    <cellStyle name="Comma 7 3" xfId="605" xr:uid="{B06BAE1B-D059-4E4B-96AB-344A63DF24C8}"/>
    <cellStyle name="Comma 7 3 2" xfId="1768" xr:uid="{95E2A944-3DCE-4476-9EC7-39CE58C79083}"/>
    <cellStyle name="Comma 7 4" xfId="606" xr:uid="{E43A030B-9DE4-4F08-BF90-4A953744DAFD}"/>
    <cellStyle name="Comma 7 4 2" xfId="1317" xr:uid="{6BC0BDA5-C1DA-4781-84E3-FCCA67AC92F6}"/>
    <cellStyle name="Comma 7 5" xfId="1004" xr:uid="{5C045362-7FC2-4673-B9BF-1DAA4277B2BD}"/>
    <cellStyle name="Comma 8" xfId="607" xr:uid="{FFFECCFB-2D04-4134-9E2F-CE1CB07277AD}"/>
    <cellStyle name="Comma 8 2" xfId="608" xr:uid="{DAB6D1E1-9D15-4C60-B8C2-E8951D968184}"/>
    <cellStyle name="Comma 8 2 2" xfId="1320" xr:uid="{55D94880-7722-4E88-814C-78FABC791989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 3 2 2 2" xfId="1323" xr:uid="{BCF27A21-DC63-4007-901C-E09ED1E9EA02}"/>
    <cellStyle name="Comma 8 3 2 3" xfId="1322" xr:uid="{08942766-630C-4BC9-B1EC-0A3D405083F1}"/>
    <cellStyle name="Comma 8 3 3" xfId="1321" xr:uid="{1AC26D70-FF03-431B-8307-87FC3E51A280}"/>
    <cellStyle name="Comma 8 4" xfId="1007" xr:uid="{6FF06D28-DD77-404C-AA77-17559A1E0F9E}"/>
    <cellStyle name="Comma 9" xfId="612" xr:uid="{B11EE26D-631D-492A-917E-22F1BDACBBB9}"/>
    <cellStyle name="Comma 9 2" xfId="613" xr:uid="{A98FCD49-F679-4ABF-9D1D-426B69F03405}"/>
    <cellStyle name="Comma 9 2 2" xfId="1770" xr:uid="{D773FADB-0409-4782-8E68-E4C063A2D2A6}"/>
    <cellStyle name="Comma 9 3" xfId="614" xr:uid="{E9ADA992-6A6F-4731-8312-36F678236A6B}"/>
    <cellStyle name="Comma 9 3 2" xfId="1324" xr:uid="{6D926941-7F10-4946-B889-04DACCEA34F3}"/>
    <cellStyle name="Comma 9 4" xfId="1005" xr:uid="{E861F653-D97A-4340-AC65-B22A8F9AC5F3}"/>
    <cellStyle name="Currency [0] 2" xfId="615" xr:uid="{93A60FB3-5377-4630-9FE6-C2A75ACC1550}"/>
    <cellStyle name="Currency [0] 2 2" xfId="986" xr:uid="{31BA00C3-B581-40E8-9495-BA25183F193A}"/>
    <cellStyle name="Currency [0] 3" xfId="616" xr:uid="{5989D65A-D4F8-43D5-AADC-F598729F73D9}"/>
    <cellStyle name="Currency [0] 3 2" xfId="994" xr:uid="{73A3B258-6709-46C6-9F41-D96549CB7A40}"/>
    <cellStyle name="Currency [0] 4" xfId="980" xr:uid="{3C18DA92-2D60-4950-8531-B60A51E70171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1772" xr:uid="{DF30D748-4B80-4A82-8A95-39077ECF201E}"/>
    <cellStyle name="Currency 2 2 2 3" xfId="1327" xr:uid="{0A1566FA-79DC-4919-8981-D55FB0130615}"/>
    <cellStyle name="Currency 2 2 3" xfId="1326" xr:uid="{FE360F20-3AFF-4120-8DA0-4CFE7C703791}"/>
    <cellStyle name="Currency 2 3" xfId="621" xr:uid="{976B9A1B-17E3-4754-B13E-F5D3C585CFAE}"/>
    <cellStyle name="Currency 2 3 2" xfId="622" xr:uid="{6E06CFD6-2470-424F-8CE0-771AE22E1419}"/>
    <cellStyle name="Currency 2 3 2 2" xfId="1773" xr:uid="{B6568C23-E4B6-48DF-8513-94637EAAEC00}"/>
    <cellStyle name="Currency 2 3 3" xfId="1328" xr:uid="{BDB1D810-9870-4007-B742-EC004E0F2CC8}"/>
    <cellStyle name="Currency 2 4" xfId="623" xr:uid="{D3F320E5-DBA9-44AD-A944-C3B3A60EDD29}"/>
    <cellStyle name="Currency 2 4 2" xfId="1771" xr:uid="{F5958EE7-C7B8-4A3D-9CAF-16DBA84F04DF}"/>
    <cellStyle name="Currency 2 5" xfId="624" xr:uid="{F2C74B1E-7E29-4687-8D89-F494831056D1}"/>
    <cellStyle name="Currency 2 5 2" xfId="1325" xr:uid="{50BDD8E9-52A3-4962-B959-A2B56182E8A6}"/>
    <cellStyle name="Currency 2 6" xfId="985" xr:uid="{DF90B66F-3CB1-4ACC-958E-289E123DCC2A}"/>
    <cellStyle name="Currency 3" xfId="625" xr:uid="{EC9EE869-9115-4813-8A2C-4126BDB8AE5B}"/>
    <cellStyle name="Currency 3 2" xfId="993" xr:uid="{0E9C4D2B-4C65-460B-8229-A042551DA5CF}"/>
    <cellStyle name="Currency 4" xfId="626" xr:uid="{F7362295-5CCD-403C-9F28-9081E8B2B3B8}"/>
    <cellStyle name="Currency 4 2" xfId="1003" xr:uid="{C4E1D59E-4444-4C9F-9629-53951576F607}"/>
    <cellStyle name="Currency 5" xfId="627" xr:uid="{B7A4F1DA-139A-41A6-9610-F152D4EF33C1}"/>
    <cellStyle name="Currency 5 2" xfId="1008" xr:uid="{B3FA13F5-4255-4BB4-A80B-100BE3DB3392}"/>
    <cellStyle name="Currency 6" xfId="628" xr:uid="{ED44A28B-5F57-456F-84E6-6D7F0B86C39A}"/>
    <cellStyle name="Currency 6 2" xfId="1009" xr:uid="{837008A2-4640-4513-8EA9-34684D1A53B8}"/>
    <cellStyle name="Currency 7" xfId="629" xr:uid="{F129607A-4C3B-455F-858E-AC0A369C8744}"/>
    <cellStyle name="Currency 7 2" xfId="1011" xr:uid="{D64D4AE8-97FA-4EB7-8FB7-83AFC18F4EC7}"/>
    <cellStyle name="Currency 8" xfId="630" xr:uid="{BF1285C0-96B1-4B61-A1E7-CE7F4FAC5815}"/>
    <cellStyle name="Currency 8 2" xfId="1010" xr:uid="{AF7C565A-504C-4CB4-B421-329B154F0367}"/>
    <cellStyle name="Currency 9" xfId="979" xr:uid="{7E74D0EF-ACFE-447E-AF78-5A6A7CA7CA92}"/>
    <cellStyle name="Hyperlink" xfId="631" builtinId="8"/>
    <cellStyle name="Hyperlink 2" xfId="632" xr:uid="{72C248C7-D0F7-4568-897B-9508CE00105E}"/>
    <cellStyle name="Hyperlink 2 2" xfId="989" xr:uid="{97940390-1694-41F9-9A77-6EF95331BFC7}"/>
    <cellStyle name="Hyperlink 3" xfId="633" xr:uid="{325A48BC-2671-48BA-B978-3356B3928895}"/>
    <cellStyle name="Hyperlink 3 2" xfId="997" xr:uid="{51759FC7-329F-40AF-A9F0-A33D7E951756}"/>
    <cellStyle name="Hyperlink 4" xfId="634" xr:uid="{4E246F5C-2532-4DE9-AEDB-229C548EC72F}"/>
    <cellStyle name="Hyperlink 4 2" xfId="999" xr:uid="{20B85AC9-2A27-4F83-B83B-C1A4E615A27B}"/>
    <cellStyle name="Hyperlink 5" xfId="983" xr:uid="{CF8F967D-0537-451D-BE8B-D4ADF8915C6F}"/>
    <cellStyle name="Neutral 2" xfId="635" xr:uid="{79177FC8-16C0-40A6-8AA7-25337658310C}"/>
    <cellStyle name="Neutral 2 2" xfId="1329" xr:uid="{BA9DF7CF-E294-43C2-8F78-BDC177194054}"/>
    <cellStyle name="Neutral 3" xfId="636" xr:uid="{A23A70BF-F25F-4546-9343-5EF89EE01D3C}"/>
    <cellStyle name="Neutral 3 2" xfId="1330" xr:uid="{4A653A44-A36F-4F6D-B9D2-C3B6B39F537A}"/>
    <cellStyle name="Neutral 4" xfId="637" xr:uid="{C3B92DAA-E070-4907-897C-8C12144FBDA6}"/>
    <cellStyle name="Neutral 4 2" xfId="1331" xr:uid="{AC5A9C2D-F60B-47AC-B218-CAE92661D8D0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1777" xr:uid="{353B0F4D-9CD5-4E84-8D98-0C21F3759C48}"/>
    <cellStyle name="Normal 10 2 2 2 3" xfId="1335" xr:uid="{4594002C-C47A-470A-9A36-D988822FF346}"/>
    <cellStyle name="Normal 10 2 2 3" xfId="643" xr:uid="{A484FED7-637B-4A0F-9A5B-26DDDF44F7BF}"/>
    <cellStyle name="Normal 10 2 2 3 2" xfId="1776" xr:uid="{D97DE348-393C-4299-B303-E33362514CD4}"/>
    <cellStyle name="Normal 10 2 2 4" xfId="1334" xr:uid="{53FAE799-15C3-4B1C-93A5-5083CDDF69C2}"/>
    <cellStyle name="Normal 10 2 3" xfId="644" xr:uid="{ACBF9B93-4116-429A-97F7-B795CACE7D99}"/>
    <cellStyle name="Normal 10 2 3 2" xfId="645" xr:uid="{C20DD564-555A-48FF-9AAE-EEDE546498B6}"/>
    <cellStyle name="Normal 10 2 3 2 2" xfId="1778" xr:uid="{1526E41B-0A9D-41A5-BEFF-F0C664C0F4DE}"/>
    <cellStyle name="Normal 10 2 3 3" xfId="1336" xr:uid="{5287AA60-B920-4B77-95AE-23FDE7E33B8A}"/>
    <cellStyle name="Normal 10 2 4" xfId="646" xr:uid="{DC3DD205-F7BB-4FE2-9685-8F1C1B1F4F57}"/>
    <cellStyle name="Normal 10 2 4 2" xfId="1775" xr:uid="{94645024-8235-4259-B155-4BD4AADE2555}"/>
    <cellStyle name="Normal 10 2 5" xfId="1333" xr:uid="{89E0C225-655C-4E40-938C-2A0A7790BCC1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1780" xr:uid="{24519F4E-91C0-478F-B40D-B1EEC41EDE76}"/>
    <cellStyle name="Normal 10 3 2 3" xfId="1338" xr:uid="{A84E5ADC-D3CC-4335-9CD6-2D1C1C6B87F7}"/>
    <cellStyle name="Normal 10 3 3" xfId="650" xr:uid="{F739C181-A55B-4208-BA30-28843C3C3905}"/>
    <cellStyle name="Normal 10 3 3 2" xfId="1779" xr:uid="{A1C1CC9C-0B55-4E99-9402-578D5869D4FA}"/>
    <cellStyle name="Normal 10 3 4" xfId="1337" xr:uid="{4934CD26-59B2-4587-972D-0B3691A6C9F4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1782" xr:uid="{3C3D3C65-FAA2-4B0B-8162-32A847C75F12}"/>
    <cellStyle name="Normal 10 4 2 3" xfId="1340" xr:uid="{D4836AF8-B280-4FAA-9A00-A89FBA627220}"/>
    <cellStyle name="Normal 10 4 3" xfId="654" xr:uid="{2E0076E5-588F-4600-ADAB-65BF50C4BF6B}"/>
    <cellStyle name="Normal 10 4 3 2" xfId="1781" xr:uid="{579FCB00-5C96-428A-8EC8-79A703DD58E3}"/>
    <cellStyle name="Normal 10 4 4" xfId="1339" xr:uid="{FD5FD8B2-155A-49DF-902D-BEE621FAA6D5}"/>
    <cellStyle name="Normal 10 5" xfId="655" xr:uid="{9819C990-34C3-4BED-84E5-59C38EFDA677}"/>
    <cellStyle name="Normal 10 5 2" xfId="656" xr:uid="{27D0A213-C87F-460C-8B8A-79126D5D14FC}"/>
    <cellStyle name="Normal 10 5 2 2" xfId="1783" xr:uid="{6B76539E-6498-4540-85AD-FA4A0BFE0CC5}"/>
    <cellStyle name="Normal 10 5 3" xfId="1341" xr:uid="{EDC4A5FC-4698-448D-BD9B-266C6615CDB8}"/>
    <cellStyle name="Normal 10 6" xfId="657" xr:uid="{AFA34B20-5EFE-4B2F-9DC6-FCC3B9546F27}"/>
    <cellStyle name="Normal 10 6 2" xfId="1774" xr:uid="{F1DA685C-242B-4728-A910-EFA15EA86661}"/>
    <cellStyle name="Normal 10 7" xfId="1332" xr:uid="{B29BAFC3-FCCA-4D58-9360-831BCBCCDC3F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1785" xr:uid="{E23FC96B-EBC2-465C-9406-FC6F4D21C24B}"/>
    <cellStyle name="Normal 11 2 3" xfId="1343" xr:uid="{32F30D8C-2A33-4624-86F2-DB5C0BA19D58}"/>
    <cellStyle name="Normal 11 3" xfId="661" xr:uid="{8C0773E3-FEAE-4787-83F1-F4767A577642}"/>
    <cellStyle name="Normal 11 3 2" xfId="1784" xr:uid="{B05B0243-30E4-4872-BAE4-36050DA8376A}"/>
    <cellStyle name="Normal 11 4" xfId="1342" xr:uid="{FDB3BE9B-9929-4FA7-A988-6F587F5ED1F7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1786" xr:uid="{683CD576-F9A2-479A-A8B5-129F85641C1E}"/>
    <cellStyle name="Normal 12 2 3" xfId="1345" xr:uid="{8E5BDA44-A025-4405-AACE-77C43AEC2465}"/>
    <cellStyle name="Normal 12 3" xfId="1344" xr:uid="{F85A46CA-B5EE-4D95-8F65-909451F507D3}"/>
    <cellStyle name="Normal 13" xfId="665" xr:uid="{C0C5C85F-5CA4-4ADC-82A5-5444DF57AF2E}"/>
    <cellStyle name="Normal 13 2" xfId="666" xr:uid="{F4466316-6B99-460C-8517-F2EA99C15592}"/>
    <cellStyle name="Normal 13 2 2" xfId="1787" xr:uid="{EA7AFAC6-E4E6-4325-B0F9-0D82315ED5CE}"/>
    <cellStyle name="Normal 13 3" xfId="1346" xr:uid="{3EEB14C6-73CF-4DEE-AAD6-DA276CE2C8A1}"/>
    <cellStyle name="Normal 14" xfId="667" xr:uid="{57B6D162-5BA2-4D24-99D4-37FD4888EBBE}"/>
    <cellStyle name="Normal 15" xfId="668" xr:uid="{0B0AA0B6-4F0A-4164-949C-FFC676BC6229}"/>
    <cellStyle name="Normal 15 2" xfId="1911" xr:uid="{15A986AE-F73C-4831-997D-1831B628C9F6}"/>
    <cellStyle name="Normal 16" xfId="977" xr:uid="{9BDE0EDF-A786-4FDE-B0BD-1588E04DF004}"/>
    <cellStyle name="Normal 2" xfId="669" xr:uid="{B190D761-ADDB-4CFB-8149-54EEFCE0B1C0}"/>
    <cellStyle name="Normal 2 10" xfId="670" xr:uid="{25635D35-6675-4E4D-AAB1-9A83726B5117}"/>
    <cellStyle name="Normal 2 10 2" xfId="1347" xr:uid="{D011F443-5E7A-45A6-8C0F-EA86803C576E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2 9 2" xfId="1788" xr:uid="{197C6E56-B655-46C5-9A8C-A002821507D7}"/>
    <cellStyle name="Normal 3" xfId="686" xr:uid="{FA44C62A-AE90-40A1-AE26-4083C65C8737}"/>
    <cellStyle name="Normal 3 10" xfId="687" xr:uid="{25131E57-6E37-4D51-8C61-581136D4B736}"/>
    <cellStyle name="Normal 3 11" xfId="991" xr:uid="{63E4A019-3EDF-4275-91E1-428E3EF0DADE}"/>
    <cellStyle name="Normal 3 12" xfId="1918" xr:uid="{8E258054-04BB-451A-A960-3BF76AAE3353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1792" xr:uid="{2AEE8DC4-C9AA-4765-A2A2-7A50AE94E18B}"/>
    <cellStyle name="Normal 3 2 2 2 2 2 3" xfId="1351" xr:uid="{CCFAFC6D-E6E0-4B81-A797-DE5965C9F969}"/>
    <cellStyle name="Normal 3 2 2 2 2 3" xfId="694" xr:uid="{EF49C759-4180-43D3-A67A-292B6F990792}"/>
    <cellStyle name="Normal 3 2 2 2 2 3 2" xfId="1791" xr:uid="{EBAA2FAA-AC38-4604-AA5F-E6FB4EA7662A}"/>
    <cellStyle name="Normal 3 2 2 2 2 4" xfId="1350" xr:uid="{B7F379E8-1F73-4C46-9450-F2BBA772CDA6}"/>
    <cellStyle name="Normal 3 2 2 2 3" xfId="695" xr:uid="{F0A25478-B998-4266-A275-2CC74B35F8B5}"/>
    <cellStyle name="Normal 3 2 2 2 3 2" xfId="696" xr:uid="{A7230ABC-CBCA-43C0-8C9A-5D6FE9E33408}"/>
    <cellStyle name="Normal 3 2 2 2 3 2 2" xfId="1793" xr:uid="{02E3F015-C428-455F-9653-879641C030E9}"/>
    <cellStyle name="Normal 3 2 2 2 3 3" xfId="1352" xr:uid="{84F38ACE-8334-4DFD-9D1C-B532E2AF9830}"/>
    <cellStyle name="Normal 3 2 2 2 4" xfId="697" xr:uid="{B525BC2D-12DE-44CD-934C-6E90F4F5AC76}"/>
    <cellStyle name="Normal 3 2 2 2 4 2" xfId="1790" xr:uid="{AFEFFE12-63CE-4287-8B29-B11BF9FBC4DD}"/>
    <cellStyle name="Normal 3 2 2 2 5" xfId="1349" xr:uid="{964B13CD-8316-486A-871B-5CFDBE047D23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1795" xr:uid="{87C3230D-12E3-4CFE-B3CB-07F94F97C52B}"/>
    <cellStyle name="Normal 3 2 2 3 2 3" xfId="1354" xr:uid="{1CF2FF3F-8158-487A-A871-6DF183446B4B}"/>
    <cellStyle name="Normal 3 2 2 3 3" xfId="701" xr:uid="{ECC9F8C5-081B-4588-AA52-3F45F81F1FCC}"/>
    <cellStyle name="Normal 3 2 2 3 3 2" xfId="1794" xr:uid="{72DA774D-3F44-4BAF-A73B-C68C2D52C814}"/>
    <cellStyle name="Normal 3 2 2 3 4" xfId="1353" xr:uid="{D0448848-2BB7-4FAE-BE76-D71071E7F6A7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1797" xr:uid="{6A80CD4C-AE64-4487-B1FE-DA183788F31A}"/>
    <cellStyle name="Normal 3 2 2 4 2 3" xfId="1356" xr:uid="{39927FE9-66AC-4890-8EA9-82D8BFDBE998}"/>
    <cellStyle name="Normal 3 2 2 4 3" xfId="705" xr:uid="{7D8BB6D3-E8F1-41A0-A43B-A984197EF5B1}"/>
    <cellStyle name="Normal 3 2 2 4 3 2" xfId="1796" xr:uid="{34902E26-077D-477C-BADA-C4F573AF7492}"/>
    <cellStyle name="Normal 3 2 2 4 4" xfId="1355" xr:uid="{7676A691-CB1C-44CF-AC94-961CCDADF78B}"/>
    <cellStyle name="Normal 3 2 2 5" xfId="706" xr:uid="{4498BB89-B864-421F-BB6E-449085AE8AD8}"/>
    <cellStyle name="Normal 3 2 2 5 2" xfId="707" xr:uid="{BEE51D17-757E-4A5D-9F72-C9A1FA2C0514}"/>
    <cellStyle name="Normal 3 2 2 5 2 2" xfId="1798" xr:uid="{F3788DFA-EE61-45D2-9A09-538F36E96E3A}"/>
    <cellStyle name="Normal 3 2 2 5 3" xfId="1357" xr:uid="{F23758F8-3073-4CEE-911D-B7210B3C7397}"/>
    <cellStyle name="Normal 3 2 2 6" xfId="708" xr:uid="{B8C92B9F-8386-4A1C-ACE4-3AB3142E1929}"/>
    <cellStyle name="Normal 3 2 2 6 2" xfId="1789" xr:uid="{4398D146-649B-40C2-B0A5-F240D4D3E487}"/>
    <cellStyle name="Normal 3 2 2 7" xfId="1348" xr:uid="{8894982C-4993-4228-8B28-94C608CC1E0C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1801" xr:uid="{51BDF675-B866-46B3-9698-770F0C409A17}"/>
    <cellStyle name="Normal 3 2 3 2 2 3" xfId="1360" xr:uid="{D6569DFC-92F1-4D4F-9338-E223E88B222B}"/>
    <cellStyle name="Normal 3 2 3 2 3" xfId="713" xr:uid="{E7BF92E8-01DC-4D3E-9763-7B6C8A6AC278}"/>
    <cellStyle name="Normal 3 2 3 2 3 2" xfId="1800" xr:uid="{87421421-088F-408F-8578-FD7F54CD9E16}"/>
    <cellStyle name="Normal 3 2 3 2 4" xfId="1359" xr:uid="{348A7153-EAE4-4139-9978-760AF158AA6A}"/>
    <cellStyle name="Normal 3 2 3 3" xfId="714" xr:uid="{7700AAF2-49A7-441A-B865-0911529CEB94}"/>
    <cellStyle name="Normal 3 2 3 3 2" xfId="715" xr:uid="{25DA516C-F5DE-49FD-AC94-CC821CC1F880}"/>
    <cellStyle name="Normal 3 2 3 3 2 2" xfId="1802" xr:uid="{8F42E94A-E7B5-463D-88A1-03CFDA566DBD}"/>
    <cellStyle name="Normal 3 2 3 3 3" xfId="1361" xr:uid="{7A04514A-678E-46ED-BF32-B4A7E2B63CD4}"/>
    <cellStyle name="Normal 3 2 3 4" xfId="716" xr:uid="{A9DAD83A-794B-43DA-9D86-8B1B4BFD87F9}"/>
    <cellStyle name="Normal 3 2 3 4 2" xfId="1799" xr:uid="{C406FF5D-7291-4652-8781-CC526DB50E61}"/>
    <cellStyle name="Normal 3 2 3 5" xfId="1358" xr:uid="{58D259F9-15FA-4CF0-A8D2-014E7C5CE5DA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1804" xr:uid="{53F57E6E-D8F4-4B22-82D4-5189B76E02B7}"/>
    <cellStyle name="Normal 3 2 4 2 3" xfId="1363" xr:uid="{54AF4868-9666-4135-A101-43795A2E4131}"/>
    <cellStyle name="Normal 3 2 4 3" xfId="720" xr:uid="{4538E28C-B035-4376-901F-57D2F660E618}"/>
    <cellStyle name="Normal 3 2 4 3 2" xfId="1803" xr:uid="{23AC1F3B-B5CA-4A10-BC22-5E9EB74495D7}"/>
    <cellStyle name="Normal 3 2 4 4" xfId="1362" xr:uid="{2773F7C3-6F7D-4432-80DD-226395F8908D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1806" xr:uid="{0D381124-D0C1-45BB-BDFC-2143984E3FE1}"/>
    <cellStyle name="Normal 3 2 6 2 3" xfId="1365" xr:uid="{A2DE35E1-18BC-492E-9F79-4E95FCF4DB59}"/>
    <cellStyle name="Normal 3 2 6 3" xfId="725" xr:uid="{F40B7711-5978-41B5-9782-FFBEA49568C6}"/>
    <cellStyle name="Normal 3 2 6 3 2" xfId="1805" xr:uid="{C4C38736-844C-4B24-AA50-CA1BCD6E17D8}"/>
    <cellStyle name="Normal 3 2 6 4" xfId="1364" xr:uid="{A4351A04-EECE-4F0F-BBA5-7DB66EB197E8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1808" xr:uid="{56995BA8-5B37-45B4-BD36-92FF550CC687}"/>
    <cellStyle name="Normal 3 2 7 2 3" xfId="1367" xr:uid="{F6F3C324-3F46-4703-A3F6-4F45A2C428C2}"/>
    <cellStyle name="Normal 3 2 7 3" xfId="729" xr:uid="{81D0F847-F1B5-45F7-945B-9B43247768BB}"/>
    <cellStyle name="Normal 3 2 7 3 2" xfId="1807" xr:uid="{BEE5A1FC-0CEC-4219-8378-632F01E88E55}"/>
    <cellStyle name="Normal 3 2 7 4" xfId="1366" xr:uid="{5086BE85-9331-4D87-9A32-4831EBE56C80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1811" xr:uid="{4AA17609-AAEF-4557-9B82-864B4054DE46}"/>
    <cellStyle name="Normal 3 3 2 2 2 3" xfId="1370" xr:uid="{A86A8AC5-EF35-4069-A0E4-DDE9A8F50DE1}"/>
    <cellStyle name="Normal 3 3 2 2 3" xfId="735" xr:uid="{99132380-225D-4978-8A2F-5CDBFB1D5107}"/>
    <cellStyle name="Normal 3 3 2 2 3 2" xfId="1810" xr:uid="{D42D278B-0C7E-4438-96EF-F68A3F5F540C}"/>
    <cellStyle name="Normal 3 3 2 2 4" xfId="1369" xr:uid="{78D4A0C1-59F1-49FC-9A26-BC8C94988269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3 3 2 2" xfId="1812" xr:uid="{6EFDB17E-2A79-40FB-B284-0A360A2BBBBD}"/>
    <cellStyle name="Normal 3 3 2 3 3 3" xfId="1371" xr:uid="{922664D9-AC74-4320-BD30-B5CF094BCAC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1813" xr:uid="{75B7FEA8-933A-4437-B895-032B3BF9AA27}"/>
    <cellStyle name="Normal 3 3 2 4 2 3" xfId="1372" xr:uid="{746B40F1-BA84-49CB-87FF-D61E8264C46A}"/>
    <cellStyle name="Normal 3 3 2 5" xfId="744" xr:uid="{BC9AE9C6-F1D1-41AF-934D-90F54514E75F}"/>
    <cellStyle name="Normal 3 3 2 5 2" xfId="1809" xr:uid="{FBB9D5F3-44B9-40CF-8326-405CE79E4E15}"/>
    <cellStyle name="Normal 3 3 2 6" xfId="1368" xr:uid="{03A97C8F-50AE-4B80-9B17-79AB87A30CE8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1815" xr:uid="{6AA451DD-50F0-432A-9452-8CF6B4777369}"/>
    <cellStyle name="Normal 3 3 3 2 3" xfId="1374" xr:uid="{BF2C60D1-D010-4605-9BA2-4E85CE9E1275}"/>
    <cellStyle name="Normal 3 3 3 3" xfId="748" xr:uid="{E0A389F1-B2CE-4A04-8A55-422F8B7CC18C}"/>
    <cellStyle name="Normal 3 3 3 3 2" xfId="1814" xr:uid="{B03C7B37-5C0C-4294-988F-66B116DECD1F}"/>
    <cellStyle name="Normal 3 3 3 4" xfId="1373" xr:uid="{AB61567C-62D6-4197-85A3-20F8CE0837AF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1817" xr:uid="{96FED69C-0F96-4220-B4CC-CAF6276628E8}"/>
    <cellStyle name="Normal 3 3 4 2 3" xfId="1376" xr:uid="{7238078F-9A49-4803-85BC-311B38DB5BC2}"/>
    <cellStyle name="Normal 3 3 4 3" xfId="752" xr:uid="{D5DF03D1-0235-4214-A608-8DCD337182B7}"/>
    <cellStyle name="Normal 3 3 4 3 2" xfId="1816" xr:uid="{FD1A13B4-F1E6-4D5B-931C-90A33528AD04}"/>
    <cellStyle name="Normal 3 3 4 4" xfId="1375" xr:uid="{25733626-590A-4495-8A88-C1317180FE7E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1819" xr:uid="{25296206-ECA9-4421-869B-36F4010E0FD3}"/>
    <cellStyle name="Normal 3 3 5 2 3" xfId="1378" xr:uid="{ACA1E3A9-A649-4F31-936E-BAFFA7BEDF06}"/>
    <cellStyle name="Normal 3 3 5 3" xfId="756" xr:uid="{FDAFEE01-4373-4099-A938-6E0E18D57027}"/>
    <cellStyle name="Normal 3 3 5 3 2" xfId="1818" xr:uid="{BE68E87C-874A-4AC5-B187-1CA0691DB715}"/>
    <cellStyle name="Normal 3 3 5 4" xfId="1377" xr:uid="{22C72AA7-7891-4C03-93C1-AC1459E4EE54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1822" xr:uid="{1CEC018C-D44F-4843-9992-076B70B2E2BB}"/>
    <cellStyle name="Normal 3 4 2 2 2 3" xfId="1381" xr:uid="{7B8C5F74-3969-4085-A3D1-7378357493D9}"/>
    <cellStyle name="Normal 3 4 2 2 3" xfId="763" xr:uid="{42322AA4-5E52-4611-8FE7-BA12B908C600}"/>
    <cellStyle name="Normal 3 4 2 2 3 2" xfId="1821" xr:uid="{B8154C3A-76F3-4835-81C5-0A71FBA2AFD5}"/>
    <cellStyle name="Normal 3 4 2 2 4" xfId="1380" xr:uid="{B90AC6C9-8BBA-43CB-88C1-2E499437213B}"/>
    <cellStyle name="Normal 3 4 2 3" xfId="764" xr:uid="{660FF2EF-D82E-4895-99AE-FF6D2CB3C0AA}"/>
    <cellStyle name="Normal 3 4 2 3 2" xfId="765" xr:uid="{A5AF76C7-711D-40D7-821C-CCA6F6A1C607}"/>
    <cellStyle name="Normal 3 4 2 3 2 2" xfId="1823" xr:uid="{F69B6A06-B86B-4078-B761-B12AE7BE81F2}"/>
    <cellStyle name="Normal 3 4 2 3 3" xfId="1382" xr:uid="{65346F9A-42B7-4838-985E-06F0C26900B7}"/>
    <cellStyle name="Normal 3 4 2 4" xfId="766" xr:uid="{21734E5E-ACD1-4837-8EE5-4C6599962D16}"/>
    <cellStyle name="Normal 3 4 2 4 2" xfId="1820" xr:uid="{EC4CA736-0825-484F-896D-7C6EBD7DE425}"/>
    <cellStyle name="Normal 3 4 2 5" xfId="1379" xr:uid="{6BBB6753-3242-4A13-9241-5DB5CBFD9231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1825" xr:uid="{98C0D420-1F6F-48CD-8B9A-D6D80742F389}"/>
    <cellStyle name="Normal 3 4 3 2 3" xfId="1384" xr:uid="{993E6483-D0B0-4249-9C0B-06D922112953}"/>
    <cellStyle name="Normal 3 4 3 3" xfId="770" xr:uid="{1D74C723-9142-4C17-AD07-8440935E0D39}"/>
    <cellStyle name="Normal 3 4 3 3 2" xfId="1824" xr:uid="{5E7FE816-8761-4A2F-8FCE-E4B7B659CE78}"/>
    <cellStyle name="Normal 3 4 3 4" xfId="1383" xr:uid="{2CAF1ADA-356C-446B-8DA3-8B9300DA0A14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1827" xr:uid="{42B4E2A4-0710-4018-9028-31683561DEBF}"/>
    <cellStyle name="Normal 3 4 4 2 3" xfId="1386" xr:uid="{CB9A6810-0552-4E1B-8F8E-F6F89FCAD80A}"/>
    <cellStyle name="Normal 3 4 4 3" xfId="774" xr:uid="{4D377FCB-335F-47FC-B783-D92C7AECE9D1}"/>
    <cellStyle name="Normal 3 4 4 3 2" xfId="1826" xr:uid="{B37277F3-6AAC-4C2F-BF35-295DACFFD6F7}"/>
    <cellStyle name="Normal 3 4 4 4" xfId="1385" xr:uid="{4B29F1AD-73FD-4960-BA4A-B8C457DE4EE3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1829" xr:uid="{4BB2D4C8-9F3D-40FD-A526-F70E686CF781}"/>
    <cellStyle name="Normal 3 4 5 2 3" xfId="1388" xr:uid="{4036A586-6A4A-4598-B711-CC35D3C3CFFE}"/>
    <cellStyle name="Normal 3 4 5 3" xfId="778" xr:uid="{7477BD7B-946F-4FFB-9C3A-BAA6883FFB21}"/>
    <cellStyle name="Normal 3 4 5 3 2" xfId="1828" xr:uid="{D3B056A7-2334-43F7-B520-1BF47C5202F2}"/>
    <cellStyle name="Normal 3 4 5 4" xfId="1387" xr:uid="{34BBB505-E4EC-4CD3-92CB-65E4786DA674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1832" xr:uid="{ADB036E3-66E2-440D-9128-E1CAF25A95F7}"/>
    <cellStyle name="Normal 3 5 2 2 3" xfId="1391" xr:uid="{DA1BE827-2D14-4AC8-AA49-E029196B047B}"/>
    <cellStyle name="Normal 3 5 2 3" xfId="783" xr:uid="{9506690E-BFF2-4C62-8F25-63A279217D71}"/>
    <cellStyle name="Normal 3 5 2 3 2" xfId="1831" xr:uid="{C12CDD9A-7984-4B77-9A50-54DC272180B7}"/>
    <cellStyle name="Normal 3 5 2 4" xfId="1390" xr:uid="{E312F94B-F31C-4E99-8ADC-2CB20CE0F08C}"/>
    <cellStyle name="Normal 3 5 3" xfId="784" xr:uid="{DA816FA3-E839-4B6A-B2EC-ECB0B9779924}"/>
    <cellStyle name="Normal 3 5 3 2" xfId="785" xr:uid="{C5FE0C4E-1A6C-415B-93DB-94CCFF1156BA}"/>
    <cellStyle name="Normal 3 5 3 2 2" xfId="1833" xr:uid="{151095DF-4877-42E7-8230-C651F52F75EE}"/>
    <cellStyle name="Normal 3 5 3 3" xfId="1392" xr:uid="{63BF83C2-8237-40FC-9256-9CED05DB4755}"/>
    <cellStyle name="Normal 3 5 4" xfId="786" xr:uid="{6B9ACA1D-FB21-4FA6-8650-B15ED748739D}"/>
    <cellStyle name="Normal 3 5 4 2" xfId="1830" xr:uid="{B86455A4-1E51-465D-B0D2-E5F70B3254E0}"/>
    <cellStyle name="Normal 3 5 5" xfId="1389" xr:uid="{9D92D030-AC41-48A7-A9F9-2B0B290F2E62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1835" xr:uid="{87AAEFEA-A077-449F-932D-5591C775F2E4}"/>
    <cellStyle name="Normal 3 6 2 3" xfId="1394" xr:uid="{08BCB207-FF3F-4053-B84D-84B50B1054A1}"/>
    <cellStyle name="Normal 3 6 3" xfId="790" xr:uid="{F83CC2CB-798D-4A73-B173-294A9801445C}"/>
    <cellStyle name="Normal 3 6 3 2" xfId="1834" xr:uid="{DE892FD9-9274-4D9A-A478-197E258BA735}"/>
    <cellStyle name="Normal 3 6 4" xfId="1393" xr:uid="{DF400D3E-56B8-4A48-BCAF-5262413D5ED8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1837" xr:uid="{AF5C9734-FFF7-4F3C-84BB-93261EA09993}"/>
    <cellStyle name="Normal 3 8 2 3" xfId="1396" xr:uid="{BF64A3EB-F4B6-4528-B20D-F16A99AA2490}"/>
    <cellStyle name="Normal 3 8 3" xfId="795" xr:uid="{D42A0CB4-E4FC-48F2-B9BB-1E3BEC1D3835}"/>
    <cellStyle name="Normal 3 8 3 2" xfId="1836" xr:uid="{79B9A350-744F-46BB-84B1-2C9F742C28C9}"/>
    <cellStyle name="Normal 3 8 4" xfId="1395" xr:uid="{850E8689-AD65-4B6B-B019-61E2F0CAF288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1839" xr:uid="{41BB25B8-12E7-400B-9F8F-9C3A8AF4C10D}"/>
    <cellStyle name="Normal 3 9 2 3" xfId="1398" xr:uid="{0DD505B8-679D-4B89-845D-1E21DD12C893}"/>
    <cellStyle name="Normal 3 9 3" xfId="799" xr:uid="{BAD45978-21FA-4362-B342-065B858DFB74}"/>
    <cellStyle name="Normal 3 9 3 2" xfId="1838" xr:uid="{58764DE7-7C7A-4A7A-AA5F-8F9B8E9FD98A}"/>
    <cellStyle name="Normal 3 9 4" xfId="1397" xr:uid="{57CD3ECB-42AD-4B8A-B441-44DB54D8E9C8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1841" xr:uid="{718A81A7-C396-4A5D-9FAF-F7D8A4B5DAB6}"/>
    <cellStyle name="Normal 4 2 2 3" xfId="1400" xr:uid="{04FFEA81-D581-41F7-B8E3-627EE2FD57D3}"/>
    <cellStyle name="Normal 4 2 3" xfId="804" xr:uid="{44DA1297-8985-42EB-9508-12DB949A0957}"/>
    <cellStyle name="Normal 4 2 3 2" xfId="805" xr:uid="{8358CA1C-6788-482E-AA10-22104055CD20}"/>
    <cellStyle name="Normal 4 2 3 2 2" xfId="1842" xr:uid="{DE7ADE56-A294-4C4A-9268-E2F66C8C3F49}"/>
    <cellStyle name="Normal 4 2 3 3" xfId="1401" xr:uid="{04AE2CE6-B9B8-4891-9C9C-CCA6F1F3EF8C}"/>
    <cellStyle name="Normal 4 2 4" xfId="806" xr:uid="{A9FD5343-5700-4B48-B61A-BBBEDC2C4343}"/>
    <cellStyle name="Normal 4 2 4 2" xfId="1840" xr:uid="{0BF7BAA2-5A00-4118-93DB-C90B1FDD7399}"/>
    <cellStyle name="Normal 4 2 5" xfId="1399" xr:uid="{C1673934-91FB-459A-8547-A7937264C8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3 2" xfId="1843" xr:uid="{C93BB62A-F6AE-4A8A-B209-63744A514141}"/>
    <cellStyle name="Normal 6 2 4" xfId="1402" xr:uid="{0036FC87-FD10-4418-A30D-07F80192D514}"/>
    <cellStyle name="Normal 63" xfId="819" xr:uid="{DC6344B4-84D0-4197-9DC3-F76847E0800F}"/>
    <cellStyle name="Normal 63 2" xfId="820" xr:uid="{D748FED0-FF16-4804-A67B-5ED2A442E56F}"/>
    <cellStyle name="Normal 63 2 2" xfId="1914" xr:uid="{4D573AA0-805F-4E83-8673-8F4252C0661C}"/>
    <cellStyle name="Normal 63 3" xfId="1000" xr:uid="{728DD79D-CBCB-4E3C-8460-0840E4691A97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3 2 2" xfId="1844" xr:uid="{FD658BA8-0C21-4A03-ABE6-DA4FDF5CE90A}"/>
    <cellStyle name="Normal 7 3 3" xfId="1403" xr:uid="{F7CC388C-AB62-4118-A59A-30537A723737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1849" xr:uid="{9E172FEB-4CFF-4347-9885-05A48C03E159}"/>
    <cellStyle name="Normal 8 2 2 2 2 3" xfId="1408" xr:uid="{CA7F9D82-17D3-46FE-B0AD-0FCB95A4A616}"/>
    <cellStyle name="Normal 8 2 2 2 3" xfId="831" xr:uid="{CB3DD3A2-BC75-4340-AFF7-42110BE4E319}"/>
    <cellStyle name="Normal 8 2 2 2 3 2" xfId="1848" xr:uid="{ED0497C6-1BB1-4030-8311-6AB7B3623D3B}"/>
    <cellStyle name="Normal 8 2 2 2 4" xfId="1407" xr:uid="{C7254B6C-A049-403F-8362-2DBEC778CA67}"/>
    <cellStyle name="Normal 8 2 2 3" xfId="832" xr:uid="{23F90A30-8ECF-4FED-800A-71D1D0A269DE}"/>
    <cellStyle name="Normal 8 2 2 3 2" xfId="833" xr:uid="{C54923C6-F265-4852-B75A-40660F5E93A0}"/>
    <cellStyle name="Normal 8 2 2 3 2 2" xfId="1850" xr:uid="{93C1BD57-D590-4853-A7FE-A14ADF9087B5}"/>
    <cellStyle name="Normal 8 2 2 3 3" xfId="1409" xr:uid="{F08A3C7B-9A39-4997-A339-1023E23184CC}"/>
    <cellStyle name="Normal 8 2 2 4" xfId="834" xr:uid="{F7E2C98C-9921-479D-8283-F1FDB875CD5B}"/>
    <cellStyle name="Normal 8 2 2 4 2" xfId="1847" xr:uid="{E9A4FB10-BC65-4868-B5F4-73CF05A4A05E}"/>
    <cellStyle name="Normal 8 2 2 5" xfId="1406" xr:uid="{1548311E-4526-4F3E-A035-04612325AAE0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1852" xr:uid="{DB0D7C9C-E325-4824-A1E9-45537BEBB44F}"/>
    <cellStyle name="Normal 8 2 3 2 3" xfId="1411" xr:uid="{E399AD03-1C57-40A1-89D4-7EAD099E0CA6}"/>
    <cellStyle name="Normal 8 2 3 3" xfId="838" xr:uid="{9363D61C-780A-44D4-870F-92B7D0E9C53D}"/>
    <cellStyle name="Normal 8 2 3 3 2" xfId="1851" xr:uid="{78EE12BB-3586-4804-B24D-9BD07E51EA33}"/>
    <cellStyle name="Normal 8 2 3 4" xfId="1410" xr:uid="{02E4606D-0704-4FB2-8CB9-0D4AE43628E7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1854" xr:uid="{0F2D748F-A02E-470D-B86F-8086E2289BF3}"/>
    <cellStyle name="Normal 8 2 4 2 3" xfId="1413" xr:uid="{91CB497A-965F-467B-BFBD-30B095646614}"/>
    <cellStyle name="Normal 8 2 4 3" xfId="842" xr:uid="{3F49E3BD-F613-440C-875E-737FA83F0675}"/>
    <cellStyle name="Normal 8 2 4 3 2" xfId="1853" xr:uid="{7302C5C2-6F33-4259-9332-331587869857}"/>
    <cellStyle name="Normal 8 2 4 4" xfId="1412" xr:uid="{C5402E0B-D19D-479C-B68D-DB98C357ECC8}"/>
    <cellStyle name="Normal 8 2 5" xfId="843" xr:uid="{FFF206D5-A1E3-45F4-B062-8496F179B1BC}"/>
    <cellStyle name="Normal 8 2 5 2" xfId="844" xr:uid="{78D050F1-6B95-4783-A052-70FC50A41B52}"/>
    <cellStyle name="Normal 8 2 5 2 2" xfId="1855" xr:uid="{A1E4F10D-FD98-4088-8A99-1DE16A17988F}"/>
    <cellStyle name="Normal 8 2 5 3" xfId="1414" xr:uid="{FB3BA6D8-0F71-48D9-BA43-4E80A98B0800}"/>
    <cellStyle name="Normal 8 2 6" xfId="845" xr:uid="{F903C11D-1575-4B2D-802B-72606F4E0F7D}"/>
    <cellStyle name="Normal 8 2 6 2" xfId="1846" xr:uid="{5D049EBF-3571-4E4F-9532-CCA8236F4353}"/>
    <cellStyle name="Normal 8 2 7" xfId="1405" xr:uid="{7AEF87C6-20C2-45D8-ABFF-93590FB2ED18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1858" xr:uid="{87DCFCDF-5A22-46A3-9DF6-AD2CC5CC78FD}"/>
    <cellStyle name="Normal 8 3 2 2 3" xfId="1417" xr:uid="{86CB81D9-A8F3-41E6-B293-EA75F189B80B}"/>
    <cellStyle name="Normal 8 3 2 3" xfId="850" xr:uid="{C7115FDB-39D1-4F94-B195-E95FBE37EBCA}"/>
    <cellStyle name="Normal 8 3 2 3 2" xfId="1857" xr:uid="{EDF504CC-EF9B-4E57-AF92-1B2FDA06972D}"/>
    <cellStyle name="Normal 8 3 2 4" xfId="1416" xr:uid="{B818264A-6B51-4914-9B3B-E505BF1E489F}"/>
    <cellStyle name="Normal 8 3 3" xfId="851" xr:uid="{4B689CBF-DFBE-43BA-AB88-ACE446EE3A05}"/>
    <cellStyle name="Normal 8 3 3 2" xfId="852" xr:uid="{A07B3ABC-57B7-45DB-A2FC-2A77ECD41FB0}"/>
    <cellStyle name="Normal 8 3 3 2 2" xfId="1859" xr:uid="{C0EF7E5D-413D-4639-90C0-6A08E66A3FE9}"/>
    <cellStyle name="Normal 8 3 3 3" xfId="1418" xr:uid="{8E09DC85-A9BD-48C2-9C06-4A63B15FB416}"/>
    <cellStyle name="Normal 8 3 4" xfId="853" xr:uid="{8B08E994-2A8A-43E3-A4C9-7630296892E1}"/>
    <cellStyle name="Normal 8 3 4 2" xfId="1856" xr:uid="{CB6CB45B-FC69-479B-BF67-68910836D56F}"/>
    <cellStyle name="Normal 8 3 5" xfId="1415" xr:uid="{4D6A9C05-FD7D-436B-9F4F-6CB3BB2A970B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1861" xr:uid="{76062673-7EC9-40FA-A490-C3355B800ADD}"/>
    <cellStyle name="Normal 8 4 2 3" xfId="1420" xr:uid="{63E2F116-4353-42E4-B832-A88E6033742E}"/>
    <cellStyle name="Normal 8 4 3" xfId="857" xr:uid="{57AD1E69-A9BA-4EDB-B521-BDAE57DE54B0}"/>
    <cellStyle name="Normal 8 4 3 2" xfId="1860" xr:uid="{90D465CF-8208-4989-A8F3-D464337370F8}"/>
    <cellStyle name="Normal 8 4 4" xfId="1419" xr:uid="{A46390E5-55F7-4393-9732-DBDA21E8A4BC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1863" xr:uid="{1D15A9FF-15CF-432E-950B-00789E4F720B}"/>
    <cellStyle name="Normal 8 5 2 3" xfId="1422" xr:uid="{5B69819D-A6A1-4B7D-A142-6FEE9719E2A8}"/>
    <cellStyle name="Normal 8 5 3" xfId="861" xr:uid="{2E396517-4F41-4713-A06E-423C19FB8873}"/>
    <cellStyle name="Normal 8 5 3 2" xfId="1862" xr:uid="{3553EBDA-725B-42BF-950F-1D0474ECBED5}"/>
    <cellStyle name="Normal 8 5 4" xfId="1421" xr:uid="{3D92F3A3-1FF8-46BF-88D9-1EC1AE611C91}"/>
    <cellStyle name="Normal 8 6" xfId="862" xr:uid="{A4CD3C03-8DE4-40BF-B18B-C5C69CCE859D}"/>
    <cellStyle name="Normal 8 6 2" xfId="863" xr:uid="{781E36EE-7B2C-4964-89D2-245F25A06ED9}"/>
    <cellStyle name="Normal 8 6 2 2" xfId="1864" xr:uid="{32E673FC-583B-4789-AA3C-7E12E7719DA3}"/>
    <cellStyle name="Normal 8 6 3" xfId="1423" xr:uid="{B10C70BE-7BF1-42F3-B9F1-8BDE32691F2B}"/>
    <cellStyle name="Normal 8 7" xfId="864" xr:uid="{892A9AF6-9B53-4DE1-A2ED-90935B798186}"/>
    <cellStyle name="Normal 8 7 2" xfId="865" xr:uid="{3FFD61AE-20F4-4127-A7E1-774042389EF6}"/>
    <cellStyle name="Normal 8 7 2 2" xfId="1865" xr:uid="{DE2933BF-79B4-43C5-9538-6B9B8F3ED869}"/>
    <cellStyle name="Normal 8 7 3" xfId="1424" xr:uid="{4F59B3C3-F264-476A-928E-A4BD26CF1A27}"/>
    <cellStyle name="Normal 8 8" xfId="866" xr:uid="{CB485510-2C3F-49BE-A4DC-7F4A4D0DDEA0}"/>
    <cellStyle name="Normal 8 8 2" xfId="1845" xr:uid="{22117213-5BAA-4F61-A6EA-EC370CFE800D}"/>
    <cellStyle name="Normal 8 9" xfId="1404" xr:uid="{EA9D0B45-9851-40A0-8B8B-26516173922C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1870" xr:uid="{E5AC2205-334A-4735-92E4-6791B6588526}"/>
    <cellStyle name="Note 2 2 2 2 2 3" xfId="1429" xr:uid="{865C416D-DC3D-428D-8A6A-7DC9C85CB292}"/>
    <cellStyle name="Note 2 2 2 2 3" xfId="875" xr:uid="{919545E3-65EC-4F48-8AC3-1B93A788EE1D}"/>
    <cellStyle name="Note 2 2 2 2 3 2" xfId="1869" xr:uid="{75036643-6ED0-4D59-BD73-485CB6030F1D}"/>
    <cellStyle name="Note 2 2 2 2 4" xfId="1428" xr:uid="{9F28C802-0F52-4745-BC09-9468A65BDFE9}"/>
    <cellStyle name="Note 2 2 2 3" xfId="876" xr:uid="{393DB9F7-CF3A-4563-9DB7-085D60A18C58}"/>
    <cellStyle name="Note 2 2 2 3 2" xfId="877" xr:uid="{D49FD25D-BCD0-4691-B748-25508EA6C9A7}"/>
    <cellStyle name="Note 2 2 2 3 2 2" xfId="1871" xr:uid="{D423D48B-535B-423E-B374-90EFAC73F5BE}"/>
    <cellStyle name="Note 2 2 2 3 3" xfId="1430" xr:uid="{C7E7E7FA-6897-4AD3-A0F1-97813ED99BFE}"/>
    <cellStyle name="Note 2 2 2 4" xfId="878" xr:uid="{4AF9580B-514D-4988-BC26-8F12D352DFCA}"/>
    <cellStyle name="Note 2 2 2 4 2" xfId="1868" xr:uid="{2D0A88CB-B0A0-477A-9756-4464BC6A4E46}"/>
    <cellStyle name="Note 2 2 2 5" xfId="1427" xr:uid="{6D4853D7-EB3C-4A13-91EF-37F62778993B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1873" xr:uid="{7F5BC130-0AD8-459E-AE9F-E1DA96F6CB36}"/>
    <cellStyle name="Note 2 2 3 2 3" xfId="1432" xr:uid="{4D53ABD3-F194-4A6C-80EE-7062127131E3}"/>
    <cellStyle name="Note 2 2 3 3" xfId="882" xr:uid="{B552CFA6-43F3-44DA-86B4-0BD9F53306A3}"/>
    <cellStyle name="Note 2 2 3 3 2" xfId="1872" xr:uid="{63E1771C-3973-4847-BCD5-DC9A3C24D838}"/>
    <cellStyle name="Note 2 2 3 4" xfId="1431" xr:uid="{0A5D2BEB-6B2F-4364-B7A3-BB0C00DD6830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1875" xr:uid="{3ABE5C8A-A02A-49CE-8165-87F0AC8546CF}"/>
    <cellStyle name="Note 2 2 4 2 3" xfId="1434" xr:uid="{3946CDCD-1600-4ED4-A39C-407348646F7F}"/>
    <cellStyle name="Note 2 2 4 3" xfId="886" xr:uid="{4DCB835E-A155-47CE-AD77-1C9D9BF44A68}"/>
    <cellStyle name="Note 2 2 4 3 2" xfId="1874" xr:uid="{B3E38A6B-0D04-4F2B-96E2-2F13DED5F054}"/>
    <cellStyle name="Note 2 2 4 4" xfId="1433" xr:uid="{24076321-6B48-41AD-8F80-E3B9FF2C9C32}"/>
    <cellStyle name="Note 2 2 5" xfId="887" xr:uid="{3708209A-2C91-40B8-BEF7-D8FAB94AA906}"/>
    <cellStyle name="Note 2 2 5 2" xfId="888" xr:uid="{BE922DC7-077D-442A-8E83-9CA24250DFC4}"/>
    <cellStyle name="Note 2 2 5 2 2" xfId="1876" xr:uid="{A222F518-47C1-4F59-9BD6-F2F5CEE78DBD}"/>
    <cellStyle name="Note 2 2 5 3" xfId="1435" xr:uid="{0794DA6C-7B64-4A53-A7AA-854B44F41B66}"/>
    <cellStyle name="Note 2 2 6" xfId="889" xr:uid="{5E9D2568-DC36-429A-93F2-71B84003C54E}"/>
    <cellStyle name="Note 2 2 6 2" xfId="1867" xr:uid="{A7D4B6A9-AE39-4DFF-B118-F9AB86E5864D}"/>
    <cellStyle name="Note 2 2 7" xfId="1426" xr:uid="{13412282-18F6-4FF7-A57E-2343414AEFD1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1879" xr:uid="{241BA65A-9348-457E-9CAD-7F0D5FF8D9A1}"/>
    <cellStyle name="Note 2 3 2 2 3" xfId="1438" xr:uid="{CAF77324-499D-4E8E-8327-A3719CF01938}"/>
    <cellStyle name="Note 2 3 2 3" xfId="894" xr:uid="{3E7858AB-28D9-4710-88BA-4C156D02BE2F}"/>
    <cellStyle name="Note 2 3 2 3 2" xfId="1878" xr:uid="{49A89255-B0A0-4F9D-A0DC-F99CE3F226C7}"/>
    <cellStyle name="Note 2 3 2 4" xfId="1437" xr:uid="{1582DDA0-1DDE-41D3-8527-6F498A68CB66}"/>
    <cellStyle name="Note 2 3 3" xfId="895" xr:uid="{188DA8C6-DBB0-4018-B75F-4C22147059C0}"/>
    <cellStyle name="Note 2 3 3 2" xfId="896" xr:uid="{406BFC7B-2613-4A64-BBCA-1D487811A6BB}"/>
    <cellStyle name="Note 2 3 3 2 2" xfId="1880" xr:uid="{8965AACD-5049-4602-BB43-6BE10220EC03}"/>
    <cellStyle name="Note 2 3 3 3" xfId="1439" xr:uid="{F7EB5E80-BFAF-4DAF-9096-C174FB543042}"/>
    <cellStyle name="Note 2 3 4" xfId="897" xr:uid="{D8CFF3EF-3599-4591-8F44-00709719D6C0}"/>
    <cellStyle name="Note 2 3 4 2" xfId="1877" xr:uid="{BA950995-1447-4C0B-9D7B-02B68AB4C913}"/>
    <cellStyle name="Note 2 3 5" xfId="1436" xr:uid="{E9857E02-20A4-48B3-9F35-7E6E99DDDEE1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1882" xr:uid="{12239109-5EA3-438A-A882-7B2B16107338}"/>
    <cellStyle name="Note 2 4 2 3" xfId="1441" xr:uid="{60F79156-1F73-40A0-A176-859CF50C514F}"/>
    <cellStyle name="Note 2 4 3" xfId="901" xr:uid="{BC663BF7-10D9-41A7-9F59-6332BB223500}"/>
    <cellStyle name="Note 2 4 3 2" xfId="1881" xr:uid="{26600EA9-E866-460D-A447-07BAEFD96F94}"/>
    <cellStyle name="Note 2 4 4" xfId="1440" xr:uid="{47E2829D-6D1A-4084-B417-AE5B7114759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1884" xr:uid="{97FCDA10-0953-4F22-ACD5-2392B6238578}"/>
    <cellStyle name="Note 2 5 2 3" xfId="1443" xr:uid="{7A7609A4-3371-4861-B0C7-68EC635A28DE}"/>
    <cellStyle name="Note 2 5 3" xfId="905" xr:uid="{BAF45EBD-260E-4109-9353-BDEA482974D9}"/>
    <cellStyle name="Note 2 5 3 2" xfId="1883" xr:uid="{5363E21F-4F34-49C4-BEA4-B0C06DEC0421}"/>
    <cellStyle name="Note 2 5 4" xfId="1442" xr:uid="{D22CC236-9C74-4A66-B551-CA49F7E2BCB4}"/>
    <cellStyle name="Note 2 6" xfId="906" xr:uid="{5A3BCC3D-4628-4013-84F0-74EAC1C9A5EE}"/>
    <cellStyle name="Note 2 6 2" xfId="907" xr:uid="{840BA6C1-C1DC-4A40-9BA9-05E3EAAFEAA6}"/>
    <cellStyle name="Note 2 6 2 2" xfId="1885" xr:uid="{1E258FE2-F98C-4FCC-A2DE-2844625DA64E}"/>
    <cellStyle name="Note 2 6 3" xfId="1444" xr:uid="{90A76526-31EE-44A3-9702-4FC47101461A}"/>
    <cellStyle name="Note 2 7" xfId="908" xr:uid="{5AAFD2B6-AFCB-4802-A166-59449A6AD2B2}"/>
    <cellStyle name="Note 2 7 2" xfId="909" xr:uid="{A22397D3-C0D9-4B81-9AFA-4C6F0CCD4096}"/>
    <cellStyle name="Note 2 7 2 2" xfId="1886" xr:uid="{6654A422-4855-422A-B064-2B18B4CB0CC2}"/>
    <cellStyle name="Note 2 7 3" xfId="1445" xr:uid="{D4C0ECE5-25BE-48B8-90DA-8258F21551C5}"/>
    <cellStyle name="Note 2 8" xfId="910" xr:uid="{C8CC048F-1638-4F30-81E9-7E910AFD9519}"/>
    <cellStyle name="Note 2 8 2" xfId="1866" xr:uid="{454F36EE-FB7A-4BDB-BD47-AC7818AAA0FF}"/>
    <cellStyle name="Note 2 9" xfId="1425" xr:uid="{BB69BE09-7E90-4581-B866-25FD6CD62821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1890" xr:uid="{600BD926-EAFD-4A1A-B86E-74BBCD4766AF}"/>
    <cellStyle name="Note 3 2 2 2 3" xfId="1449" xr:uid="{33AB5377-A9C3-4772-B0E8-759B22245655}"/>
    <cellStyle name="Note 3 2 2 3" xfId="916" xr:uid="{657EB32C-E21A-46E3-8589-D878828E318A}"/>
    <cellStyle name="Note 3 2 2 3 2" xfId="1889" xr:uid="{0A3C7E9F-AF1E-4F5D-97D6-80FAEBCD62A4}"/>
    <cellStyle name="Note 3 2 2 4" xfId="1448" xr:uid="{85AD98C7-13E5-4333-8CE8-7C2E4BB49448}"/>
    <cellStyle name="Note 3 2 3" xfId="917" xr:uid="{F5F9F53B-886E-42C1-A22B-900828C07451}"/>
    <cellStyle name="Note 3 2 3 2" xfId="918" xr:uid="{F3891725-F931-4269-B8E5-F7C457DFAE8B}"/>
    <cellStyle name="Note 3 2 3 2 2" xfId="1891" xr:uid="{9F41C057-DE8E-4EA8-80C7-BE40ABA1633E}"/>
    <cellStyle name="Note 3 2 3 3" xfId="1450" xr:uid="{25B1D27F-88F4-4618-A5C6-93F20D6573F5}"/>
    <cellStyle name="Note 3 2 4" xfId="919" xr:uid="{0B705015-8B28-4020-A771-98DDBFBB7424}"/>
    <cellStyle name="Note 3 2 4 2" xfId="1888" xr:uid="{ED88ABE7-91CB-413F-AE6B-9EF297ED113A}"/>
    <cellStyle name="Note 3 2 5" xfId="1447" xr:uid="{FD7FEE2F-00E8-4AFA-957C-D51DDD7CC6E2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1893" xr:uid="{F7B4BC34-5B59-485D-A21F-8317C785E44E}"/>
    <cellStyle name="Note 3 3 2 3" xfId="1452" xr:uid="{1F69B0E8-7134-44B0-B345-002C6E22E0CF}"/>
    <cellStyle name="Note 3 3 3" xfId="923" xr:uid="{20953DB4-CDD7-4676-9543-A59631EC331F}"/>
    <cellStyle name="Note 3 3 3 2" xfId="1892" xr:uid="{408FC9F3-E1F0-4657-B625-3177EE0527DA}"/>
    <cellStyle name="Note 3 3 4" xfId="1451" xr:uid="{A5DF5053-17DA-4A2B-A1F2-BAE4DAB9A55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1895" xr:uid="{E1C8B15C-1F9A-4897-B758-09EB9380E5ED}"/>
    <cellStyle name="Note 3 4 2 3" xfId="1454" xr:uid="{E4510B38-A1F0-476D-9547-C06B9A563F2D}"/>
    <cellStyle name="Note 3 4 3" xfId="927" xr:uid="{7F5DA593-287C-4F6B-9F14-7C5780EEBB4B}"/>
    <cellStyle name="Note 3 4 3 2" xfId="1894" xr:uid="{E4F650DC-18DA-4075-9495-A2A77D5CFB67}"/>
    <cellStyle name="Note 3 4 4" xfId="1453" xr:uid="{84A1BB94-63AF-42C6-9F81-CCA29E77ABC9}"/>
    <cellStyle name="Note 3 5" xfId="928" xr:uid="{00BCF5A9-1512-476F-A7F4-FAACF458D0C4}"/>
    <cellStyle name="Note 3 5 2" xfId="929" xr:uid="{E2AF3520-2402-4583-BEAB-14EFF913BD7B}"/>
    <cellStyle name="Note 3 5 2 2" xfId="1896" xr:uid="{4096E7C2-4B2B-43F6-8A4E-0FA1AAEA6E90}"/>
    <cellStyle name="Note 3 5 3" xfId="1455" xr:uid="{A1C2C962-8507-415F-B52D-87BCD01E9F09}"/>
    <cellStyle name="Note 3 6" xfId="930" xr:uid="{21CA46A6-A373-4FB6-AE06-111344F58D6F}"/>
    <cellStyle name="Note 3 6 2" xfId="931" xr:uid="{BB19B245-0260-40E1-8EC9-F30856C31337}"/>
    <cellStyle name="Note 3 6 2 2" xfId="1897" xr:uid="{CD8A2B48-DA74-4EE4-8A1A-6F74BE125198}"/>
    <cellStyle name="Note 3 6 3" xfId="1456" xr:uid="{1F7FC97A-5D2D-4A89-9F11-239247515DFB}"/>
    <cellStyle name="Note 3 7" xfId="932" xr:uid="{6FEACBC8-512A-4C29-B654-7762CD2B125C}"/>
    <cellStyle name="Note 3 7 2" xfId="1887" xr:uid="{AAF4AB7F-0A45-40C1-A298-55372F623E1F}"/>
    <cellStyle name="Note 3 8" xfId="1446" xr:uid="{F58BDFDC-7185-49A4-ABBC-D474E134B8BF}"/>
    <cellStyle name="Note 4" xfId="933" xr:uid="{EB39D399-7DD2-4B1C-A397-4F5C1E8CE8F4}"/>
    <cellStyle name="Note 4 2" xfId="934" xr:uid="{02BAF64F-E777-4E2B-BF6D-CC329474574E}"/>
    <cellStyle name="Note 4 2 2" xfId="1898" xr:uid="{875859B1-2630-4D88-BDFF-D6DC5EB63D66}"/>
    <cellStyle name="Note 4 3" xfId="1457" xr:uid="{DDF83BD7-75A1-4F8A-A9D6-2B5B82F62DBE}"/>
    <cellStyle name="Note 5" xfId="935" xr:uid="{20342958-256E-4A76-AF82-353E05AE5C19}"/>
    <cellStyle name="Note 5 2" xfId="936" xr:uid="{1B5E12B7-0197-4F51-88F6-7EA0407B301C}"/>
    <cellStyle name="Note 5 2 2" xfId="1899" xr:uid="{05EFE900-E447-436A-A60C-744B40DC464D}"/>
    <cellStyle name="Note 5 3" xfId="1458" xr:uid="{D1382423-A154-44D7-8689-E3A2ED56C20E}"/>
    <cellStyle name="Note 6" xfId="937" xr:uid="{4673180E-64D3-4336-AC12-9901AD7846A4}"/>
    <cellStyle name="Note 6 2" xfId="938" xr:uid="{2EB07D2D-C5E8-4DDD-920A-B459797704DE}"/>
    <cellStyle name="Note 6 2 2" xfId="1900" xr:uid="{9CE9CEF9-7A1A-480E-B10C-95E6D23F36D6}"/>
    <cellStyle name="Note 6 3" xfId="1459" xr:uid="{83A04CB9-CC71-4D0A-8521-B047306F8E4B}"/>
    <cellStyle name="Percent" xfId="939" builtinId="5"/>
    <cellStyle name="Percent 10" xfId="978" xr:uid="{371D922F-BA99-439F-9002-39746B0DD758}"/>
    <cellStyle name="Percent 2" xfId="940" xr:uid="{3D3316EB-433B-47BB-A7E5-0A1B5EEB02AE}"/>
    <cellStyle name="Percent 2 2" xfId="941" xr:uid="{3C51516B-96DF-41C6-B5A3-971154F47BD2}"/>
    <cellStyle name="Percent 2 2 2" xfId="1461" xr:uid="{9168DEDD-6153-4873-B894-957837097DBA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2 2" xfId="1464" xr:uid="{B282E886-E6CD-4164-8DC6-E59F0CE5B286}"/>
    <cellStyle name="Percent 2 3 2 3" xfId="945" xr:uid="{537AAE40-EC74-42B0-A762-BB90E06647DD}"/>
    <cellStyle name="Percent 2 3 2 3 2" xfId="946" xr:uid="{E261A680-166E-4BBE-B5E5-ABD54DA6BBC5}"/>
    <cellStyle name="Percent 2 3 2 3 2 2" xfId="1466" xr:uid="{1B08C6FB-FE9B-43C3-9AE9-F1F226E6C16F}"/>
    <cellStyle name="Percent 2 3 2 3 3" xfId="1465" xr:uid="{B38BD659-1EBA-47A7-8B93-431E7E4D77A2}"/>
    <cellStyle name="Percent 2 3 2 4" xfId="1463" xr:uid="{5536E6C6-77B5-48EC-9B07-7297A42C66CB}"/>
    <cellStyle name="Percent 2 3 3" xfId="1462" xr:uid="{3D691605-9BA6-4FFA-AC91-ECA82AF3939C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2 2 2" xfId="1902" xr:uid="{DC8E6B2C-EE1F-4E42-958F-F853382658C1}"/>
    <cellStyle name="Percent 2 4 2 3" xfId="1468" xr:uid="{D26381DF-E9E7-41BC-9AE4-E246C1F1CE49}"/>
    <cellStyle name="Percent 2 4 3" xfId="950" xr:uid="{950DD7C7-05E0-4B25-AF5F-4CBD06AD0B10}"/>
    <cellStyle name="Percent 2 4 3 2" xfId="951" xr:uid="{863CD9E8-D5DC-4042-BBA7-D35A7A28B04C}"/>
    <cellStyle name="Percent 2 4 3 2 2" xfId="1903" xr:uid="{1E231E31-6BB9-4653-AE1F-354C9569E2C5}"/>
    <cellStyle name="Percent 2 4 3 3" xfId="1469" xr:uid="{4E3005E5-E3E2-4FCD-8391-01AEF58DD323}"/>
    <cellStyle name="Percent 2 4 4" xfId="952" xr:uid="{DC135974-3A84-432D-9877-1CBD66F91335}"/>
    <cellStyle name="Percent 2 4 4 2" xfId="953" xr:uid="{B32F05F6-4C7A-436A-A09B-66F1B00B7211}"/>
    <cellStyle name="Percent 2 4 4 2 2" xfId="1904" xr:uid="{2BFC4E12-0BB6-4F14-8088-FE45798E8ACA}"/>
    <cellStyle name="Percent 2 4 4 3" xfId="1470" xr:uid="{A8026327-0FCB-45D0-84F4-F1BE1B7F4090}"/>
    <cellStyle name="Percent 2 4 5" xfId="954" xr:uid="{91DC1B1A-4B8F-4A77-9BF6-EA57A5BFA0F7}"/>
    <cellStyle name="Percent 2 4 5 2" xfId="1471" xr:uid="{A7A3B7D6-EC26-4D03-95F1-5CA043E43EC9}"/>
    <cellStyle name="Percent 2 4 6" xfId="955" xr:uid="{67296846-ECD4-4409-9A46-3EAD174C0626}"/>
    <cellStyle name="Percent 2 4 6 2" xfId="1901" xr:uid="{45EF0FA4-70A5-4C41-B681-63FB38C15EB3}"/>
    <cellStyle name="Percent 2 4 7" xfId="1467" xr:uid="{37E7E90F-92B3-4B43-821E-6C2F979DE259}"/>
    <cellStyle name="Percent 2 5" xfId="956" xr:uid="{B9DE861F-EABB-4746-9521-186DC1F1374E}"/>
    <cellStyle name="Percent 2 5 2" xfId="1472" xr:uid="{CE5B24DA-715B-486F-ABBC-41B93B6F3C26}"/>
    <cellStyle name="Percent 2 6" xfId="984" xr:uid="{5C85FA44-047C-4D29-A188-8BA2C7E83EE8}"/>
    <cellStyle name="Percent 3" xfId="957" xr:uid="{F5E39DC8-1D1B-4982-9033-9B4669E1C5DF}"/>
    <cellStyle name="Percent 3 2" xfId="958" xr:uid="{15B53AE5-8C5D-454F-AC7A-4A368409A9E3}"/>
    <cellStyle name="Percent 3 2 2" xfId="1905" xr:uid="{315638DB-CFDB-4DDC-8C2A-87486E68F977}"/>
    <cellStyle name="Percent 3 3" xfId="959" xr:uid="{90093F9A-D24E-4332-87FC-D4046F5E1EF0}"/>
    <cellStyle name="Percent 3 3 2" xfId="1473" xr:uid="{2C2D8EC8-278F-4999-9C22-2396181D7C07}"/>
    <cellStyle name="Percent 3 4" xfId="992" xr:uid="{B64313F0-D074-434F-8EFF-AFA94AC8F9E9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2 2 2" xfId="1476" xr:uid="{57EF564A-BA00-446F-811F-5CB9231EB79D}"/>
    <cellStyle name="Percent 4 2 3" xfId="1475" xr:uid="{517AE51F-D844-40E8-837F-F697C01B4A49}"/>
    <cellStyle name="Percent 4 3" xfId="963" xr:uid="{0B8B248A-474C-48AD-ABF0-E240137417A4}"/>
    <cellStyle name="Percent 4 3 2" xfId="964" xr:uid="{F7B2B935-E07C-4278-BF22-6F5525ED08C2}"/>
    <cellStyle name="Percent 4 3 2 2" xfId="1906" xr:uid="{CA03C8ED-8792-4BF3-877E-A115EBE589DA}"/>
    <cellStyle name="Percent 4 3 3" xfId="1477" xr:uid="{254A4826-BC2B-475B-BFC7-5C9A9CA80541}"/>
    <cellStyle name="Percent 4 4" xfId="1474" xr:uid="{2109CE3E-57DD-468C-AA94-C58E8400A992}"/>
    <cellStyle name="Percent 5" xfId="965" xr:uid="{7ED7C7E7-8A92-44E1-8CE0-0033006E1F76}"/>
    <cellStyle name="Percent 5 2" xfId="966" xr:uid="{CDBAA219-2188-4EA7-ADA5-09524C31F999}"/>
    <cellStyle name="Percent 5 2 2" xfId="1907" xr:uid="{2F30A7E9-707E-4E2C-9F24-5740F88D9F05}"/>
    <cellStyle name="Percent 5 3" xfId="1478" xr:uid="{33F030D1-5D64-40DF-9325-49C5403C0C14}"/>
    <cellStyle name="Percent 6" xfId="967" xr:uid="{51AF64A6-3B5E-482D-9024-56ABD3F1E527}"/>
    <cellStyle name="Percent 6 2" xfId="968" xr:uid="{EFEB8D2A-E7B1-4C09-A5EE-3AE13BF24F1F}"/>
    <cellStyle name="Percent 6 2 2" xfId="1908" xr:uid="{4164BD08-E094-47CB-828C-A650364F09AE}"/>
    <cellStyle name="Percent 6 3" xfId="1479" xr:uid="{A8192A4A-6CE4-4DFC-9CCF-1CC3503033EA}"/>
    <cellStyle name="Percent 7" xfId="969" xr:uid="{A270EF30-1A8E-489C-B580-F3C3ABB0BD64}"/>
    <cellStyle name="Percent 7 2" xfId="970" xr:uid="{61CE22EB-C95D-4B2D-88C0-66908D5D4EF0}"/>
    <cellStyle name="Percent 7 2 2" xfId="1909" xr:uid="{8E564136-5221-420E-8BB4-460B62A4751F}"/>
    <cellStyle name="Percent 7 3" xfId="1480" xr:uid="{7CEC05B6-6A12-4649-8E62-4B06067DC7C9}"/>
    <cellStyle name="Percent 8" xfId="971" xr:uid="{9A4C93E8-EE73-4B11-8BBB-44F25E0AA472}"/>
    <cellStyle name="Percent 8 2" xfId="972" xr:uid="{9309D44B-75A2-434D-8BA7-D2DBD2BF5D46}"/>
    <cellStyle name="Percent 8 2 2" xfId="1910" xr:uid="{44A4A0B8-CF14-492B-BDB1-15D488144CFC}"/>
    <cellStyle name="Percent 8 3" xfId="1481" xr:uid="{A0B675C7-E320-4506-85C6-C74658C4A869}"/>
    <cellStyle name="Percent 9" xfId="973" xr:uid="{1783B65A-82DD-4830-812D-D19AEE815361}"/>
    <cellStyle name="Percent 9 2" xfId="1460" xr:uid="{0026C4A7-88C3-41B1-B7D5-38BAAE21D36A}"/>
    <cellStyle name="Title 2" xfId="974" xr:uid="{3DADF37B-1AEB-43C1-9D4C-09269CCC2A62}"/>
    <cellStyle name="Title 2 2" xfId="1482" xr:uid="{B96D56BA-0EFB-49ED-BB36-9415461BB362}"/>
    <cellStyle name="Title 3" xfId="975" xr:uid="{144F4BDE-5EF8-4D31-921E-93DF77A1CC95}"/>
    <cellStyle name="Title 3 2" xfId="1483" xr:uid="{21653F5A-0B4F-4DD6-A73E-C032D9C3E507}"/>
    <cellStyle name="Title 4" xfId="976" xr:uid="{D852E13F-98BA-4EB6-BF74-1C6192D7AC4B}"/>
    <cellStyle name="Title 4 2" xfId="1484" xr:uid="{6FA3EC52-5F61-4C5C-AB4C-55BB5D770DD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B5C7-120C-4F34-AAB4-85E827E33EEA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A430" sqref="A43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4" t="s">
        <v>1381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1380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4" x14ac:dyDescent="0.35">
      <c r="A33" s="14" t="s">
        <v>26</v>
      </c>
      <c r="B33" s="67"/>
      <c r="C33" s="67"/>
      <c r="D33" s="67"/>
    </row>
    <row r="34" spans="1:84" x14ac:dyDescent="0.35">
      <c r="A34" s="14" t="s">
        <v>27</v>
      </c>
      <c r="B34" s="66"/>
      <c r="C34" s="66"/>
      <c r="D34" s="66"/>
    </row>
    <row r="35" spans="1:84" x14ac:dyDescent="0.35">
      <c r="A35" s="355"/>
      <c r="B35" s="356"/>
      <c r="C35" s="356"/>
      <c r="D35" s="356"/>
      <c r="E35" s="355"/>
      <c r="F35" s="355"/>
      <c r="G35" s="355"/>
      <c r="H35" s="355"/>
    </row>
    <row r="36" spans="1:84" x14ac:dyDescent="0.35">
      <c r="A36" s="357" t="s">
        <v>28</v>
      </c>
      <c r="B36" s="358"/>
      <c r="C36" s="359"/>
      <c r="D36" s="358"/>
      <c r="E36" s="358"/>
      <c r="F36" s="358"/>
      <c r="G36" s="358"/>
      <c r="H36" s="355"/>
    </row>
    <row r="37" spans="1:84" x14ac:dyDescent="0.35">
      <c r="A37" s="360" t="s">
        <v>29</v>
      </c>
      <c r="B37" s="361"/>
      <c r="C37" s="359"/>
      <c r="D37" s="358"/>
      <c r="E37" s="358"/>
      <c r="F37" s="358"/>
      <c r="G37" s="358"/>
      <c r="H37" s="355"/>
    </row>
    <row r="38" spans="1:84" x14ac:dyDescent="0.35">
      <c r="A38" s="362" t="s">
        <v>30</v>
      </c>
      <c r="B38" s="361"/>
      <c r="C38" s="359"/>
      <c r="D38" s="358"/>
      <c r="E38" s="358"/>
      <c r="F38" s="358"/>
      <c r="G38" s="358"/>
      <c r="H38" s="355"/>
    </row>
    <row r="39" spans="1:84" x14ac:dyDescent="0.35">
      <c r="A39" s="363" t="s">
        <v>31</v>
      </c>
      <c r="B39" s="358"/>
      <c r="C39" s="359"/>
      <c r="D39" s="358"/>
      <c r="E39" s="358"/>
      <c r="F39" s="358"/>
      <c r="G39" s="358"/>
      <c r="H39" s="355"/>
    </row>
    <row r="40" spans="1:84" x14ac:dyDescent="0.35">
      <c r="A40" s="362" t="s">
        <v>32</v>
      </c>
      <c r="B40" s="358"/>
      <c r="C40" s="359"/>
      <c r="D40" s="358"/>
      <c r="E40" s="358"/>
      <c r="F40" s="358"/>
      <c r="G40" s="358"/>
      <c r="H40" s="355"/>
    </row>
    <row r="41" spans="1:84" x14ac:dyDescent="0.35">
      <c r="C41" s="13"/>
    </row>
    <row r="42" spans="1:84" x14ac:dyDescent="0.35">
      <c r="A42" s="11" t="s">
        <v>33</v>
      </c>
      <c r="C42" s="13"/>
      <c r="F42" s="15" t="s">
        <v>34</v>
      </c>
    </row>
    <row r="43" spans="1:84" x14ac:dyDescent="0.35">
      <c r="A43" s="15" t="s">
        <v>35</v>
      </c>
      <c r="C43" s="13"/>
    </row>
    <row r="44" spans="1:84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35">
      <c r="A47" s="16" t="s">
        <v>231</v>
      </c>
      <c r="B47" s="317">
        <v>0</v>
      </c>
      <c r="C47" s="318">
        <v>0</v>
      </c>
      <c r="D47" s="318">
        <v>0</v>
      </c>
      <c r="E47" s="318">
        <v>0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0</v>
      </c>
      <c r="O47" s="318">
        <v>0</v>
      </c>
      <c r="P47" s="318">
        <v>0</v>
      </c>
      <c r="Q47" s="318">
        <v>0</v>
      </c>
      <c r="R47" s="318">
        <v>0</v>
      </c>
      <c r="S47" s="318">
        <v>0</v>
      </c>
      <c r="T47" s="318">
        <v>0</v>
      </c>
      <c r="U47" s="318">
        <v>0</v>
      </c>
      <c r="V47" s="318">
        <v>0</v>
      </c>
      <c r="W47" s="318">
        <v>0</v>
      </c>
      <c r="X47" s="318">
        <v>0</v>
      </c>
      <c r="Y47" s="318">
        <v>0</v>
      </c>
      <c r="Z47" s="318">
        <v>0</v>
      </c>
      <c r="AA47" s="318">
        <v>0</v>
      </c>
      <c r="AB47" s="318">
        <v>0</v>
      </c>
      <c r="AC47" s="318">
        <v>0</v>
      </c>
      <c r="AD47" s="318">
        <v>0</v>
      </c>
      <c r="AE47" s="318">
        <v>0</v>
      </c>
      <c r="AF47" s="318">
        <v>0</v>
      </c>
      <c r="AG47" s="318">
        <v>0</v>
      </c>
      <c r="AH47" s="318">
        <v>0</v>
      </c>
      <c r="AI47" s="318">
        <v>0</v>
      </c>
      <c r="AJ47" s="318">
        <v>0</v>
      </c>
      <c r="AK47" s="318">
        <v>0</v>
      </c>
      <c r="AL47" s="318">
        <v>0</v>
      </c>
      <c r="AM47" s="318">
        <v>0</v>
      </c>
      <c r="AN47" s="318">
        <v>0</v>
      </c>
      <c r="AO47" s="318">
        <v>0</v>
      </c>
      <c r="AP47" s="318">
        <v>0</v>
      </c>
      <c r="AQ47" s="318">
        <v>0</v>
      </c>
      <c r="AR47" s="318">
        <v>0</v>
      </c>
      <c r="AS47" s="318">
        <v>0</v>
      </c>
      <c r="AT47" s="318">
        <v>0</v>
      </c>
      <c r="AU47" s="318">
        <v>0</v>
      </c>
      <c r="AV47" s="318">
        <v>0</v>
      </c>
      <c r="AW47" s="318">
        <v>0</v>
      </c>
      <c r="AX47" s="318">
        <v>0</v>
      </c>
      <c r="AY47" s="318">
        <v>0</v>
      </c>
      <c r="AZ47" s="318">
        <v>0</v>
      </c>
      <c r="BA47" s="318">
        <v>0</v>
      </c>
      <c r="BB47" s="318">
        <v>0</v>
      </c>
      <c r="BC47" s="318">
        <v>0</v>
      </c>
      <c r="BD47" s="318">
        <v>0</v>
      </c>
      <c r="BE47" s="318">
        <v>0</v>
      </c>
      <c r="BF47" s="318">
        <v>0</v>
      </c>
      <c r="BG47" s="318">
        <v>0</v>
      </c>
      <c r="BH47" s="318">
        <v>0</v>
      </c>
      <c r="BI47" s="318">
        <v>0</v>
      </c>
      <c r="BJ47" s="318">
        <v>0</v>
      </c>
      <c r="BK47" s="318">
        <v>0</v>
      </c>
      <c r="BL47" s="318">
        <v>0</v>
      </c>
      <c r="BM47" s="318">
        <v>0</v>
      </c>
      <c r="BN47" s="318">
        <v>0</v>
      </c>
      <c r="BO47" s="318">
        <v>0</v>
      </c>
      <c r="BP47" s="318">
        <v>0</v>
      </c>
      <c r="BQ47" s="318">
        <v>0</v>
      </c>
      <c r="BR47" s="318">
        <v>0</v>
      </c>
      <c r="BS47" s="318">
        <v>0</v>
      </c>
      <c r="BT47" s="318">
        <v>0</v>
      </c>
      <c r="BU47" s="318">
        <v>0</v>
      </c>
      <c r="BV47" s="318">
        <v>0</v>
      </c>
      <c r="BW47" s="318">
        <v>0</v>
      </c>
      <c r="BX47" s="318">
        <v>0</v>
      </c>
      <c r="BY47" s="318">
        <v>0</v>
      </c>
      <c r="BZ47" s="318">
        <v>0</v>
      </c>
      <c r="CA47" s="318">
        <v>0</v>
      </c>
      <c r="CB47" s="318">
        <v>0</v>
      </c>
      <c r="CC47" s="318">
        <v>0</v>
      </c>
      <c r="CD47" s="16"/>
      <c r="CE47" s="28">
        <f>SUM(C47:CC47)</f>
        <v>0</v>
      </c>
      <c r="CF47" s="319">
        <v>0</v>
      </c>
    </row>
    <row r="48" spans="1:84" x14ac:dyDescent="0.35">
      <c r="A48" s="28" t="s">
        <v>232</v>
      </c>
      <c r="B48" s="317">
        <v>3460290</v>
      </c>
      <c r="C48" s="28">
        <f>IF($B$48,(ROUND((($B$48/$CE$61)*C61),0)))</f>
        <v>0</v>
      </c>
      <c r="D48" s="28">
        <f t="shared" ref="D48:BO48" si="0">IF($B$48,(ROUND((($B$48/$CE$61)*D61),0)))</f>
        <v>0</v>
      </c>
      <c r="E48" s="28">
        <f t="shared" si="0"/>
        <v>145117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460552</v>
      </c>
      <c r="L48" s="28">
        <f t="shared" si="0"/>
        <v>234041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129830</v>
      </c>
      <c r="Q48" s="28">
        <f t="shared" si="0"/>
        <v>2078</v>
      </c>
      <c r="R48" s="28">
        <f t="shared" si="0"/>
        <v>16702</v>
      </c>
      <c r="S48" s="28">
        <f t="shared" si="0"/>
        <v>9580</v>
      </c>
      <c r="T48" s="28">
        <f t="shared" si="0"/>
        <v>0</v>
      </c>
      <c r="U48" s="28">
        <f t="shared" si="0"/>
        <v>112310</v>
      </c>
      <c r="V48" s="28">
        <f t="shared" si="0"/>
        <v>0</v>
      </c>
      <c r="W48" s="28">
        <f t="shared" si="0"/>
        <v>7826</v>
      </c>
      <c r="X48" s="28">
        <f t="shared" si="0"/>
        <v>40565</v>
      </c>
      <c r="Y48" s="28">
        <f t="shared" si="0"/>
        <v>98235</v>
      </c>
      <c r="Z48" s="28">
        <f t="shared" si="0"/>
        <v>0</v>
      </c>
      <c r="AA48" s="28">
        <f t="shared" si="0"/>
        <v>0</v>
      </c>
      <c r="AB48" s="28">
        <f t="shared" si="0"/>
        <v>11790</v>
      </c>
      <c r="AC48" s="28">
        <f t="shared" si="0"/>
        <v>23581</v>
      </c>
      <c r="AD48" s="28">
        <f t="shared" si="0"/>
        <v>0</v>
      </c>
      <c r="AE48" s="28">
        <f t="shared" si="0"/>
        <v>198919</v>
      </c>
      <c r="AF48" s="28">
        <f t="shared" si="0"/>
        <v>0</v>
      </c>
      <c r="AG48" s="28">
        <f t="shared" si="0"/>
        <v>218779</v>
      </c>
      <c r="AH48" s="28">
        <f t="shared" si="0"/>
        <v>0</v>
      </c>
      <c r="AI48" s="28">
        <f t="shared" si="0"/>
        <v>0</v>
      </c>
      <c r="AJ48" s="28">
        <f t="shared" si="0"/>
        <v>239347</v>
      </c>
      <c r="AK48" s="28">
        <f t="shared" si="0"/>
        <v>52804</v>
      </c>
      <c r="AL48" s="28">
        <f t="shared" si="0"/>
        <v>39554</v>
      </c>
      <c r="AM48" s="28">
        <f t="shared" si="0"/>
        <v>0</v>
      </c>
      <c r="AN48" s="28">
        <f t="shared" si="0"/>
        <v>0</v>
      </c>
      <c r="AO48" s="28">
        <f t="shared" si="0"/>
        <v>31983</v>
      </c>
      <c r="AP48" s="28">
        <f t="shared" si="0"/>
        <v>0</v>
      </c>
      <c r="AQ48" s="28">
        <f t="shared" si="0"/>
        <v>0</v>
      </c>
      <c r="AR48" s="28">
        <f t="shared" si="0"/>
        <v>0</v>
      </c>
      <c r="AS48" s="28">
        <f t="shared" si="0"/>
        <v>0</v>
      </c>
      <c r="AT48" s="28">
        <f t="shared" si="0"/>
        <v>0</v>
      </c>
      <c r="AU48" s="28">
        <f t="shared" si="0"/>
        <v>0</v>
      </c>
      <c r="AV48" s="28">
        <f t="shared" si="0"/>
        <v>1443</v>
      </c>
      <c r="AW48" s="28">
        <f t="shared" si="0"/>
        <v>0</v>
      </c>
      <c r="AX48" s="28">
        <f t="shared" si="0"/>
        <v>0</v>
      </c>
      <c r="AY48" s="28">
        <f t="shared" si="0"/>
        <v>126740</v>
      </c>
      <c r="AZ48" s="28">
        <f t="shared" si="0"/>
        <v>21145</v>
      </c>
      <c r="BA48" s="28">
        <f t="shared" si="0"/>
        <v>67788</v>
      </c>
      <c r="BB48" s="28">
        <f t="shared" si="0"/>
        <v>16163</v>
      </c>
      <c r="BC48" s="28">
        <f t="shared" si="0"/>
        <v>0</v>
      </c>
      <c r="BD48" s="28">
        <f t="shared" si="0"/>
        <v>10399</v>
      </c>
      <c r="BE48" s="28">
        <f t="shared" si="0"/>
        <v>66768</v>
      </c>
      <c r="BF48" s="28">
        <f t="shared" si="0"/>
        <v>80163</v>
      </c>
      <c r="BG48" s="28">
        <f t="shared" si="0"/>
        <v>0</v>
      </c>
      <c r="BH48" s="28">
        <f t="shared" si="0"/>
        <v>45604</v>
      </c>
      <c r="BI48" s="28">
        <f t="shared" si="0"/>
        <v>0</v>
      </c>
      <c r="BJ48" s="28">
        <f t="shared" si="0"/>
        <v>117627</v>
      </c>
      <c r="BK48" s="28">
        <f t="shared" si="0"/>
        <v>94002</v>
      </c>
      <c r="BL48" s="28">
        <f t="shared" si="0"/>
        <v>91431</v>
      </c>
      <c r="BM48" s="28">
        <f t="shared" si="0"/>
        <v>0</v>
      </c>
      <c r="BN48" s="28">
        <f t="shared" si="0"/>
        <v>407850</v>
      </c>
      <c r="BO48" s="28">
        <f t="shared" si="0"/>
        <v>0</v>
      </c>
      <c r="BP48" s="28">
        <f t="shared" ref="BP48:CD48" si="1">IF($B$48,(ROUND((($B$48/$CE$61)*BP61),0)))</f>
        <v>0</v>
      </c>
      <c r="BQ48" s="28">
        <f t="shared" si="1"/>
        <v>0</v>
      </c>
      <c r="BR48" s="28">
        <f t="shared" si="1"/>
        <v>43526</v>
      </c>
      <c r="BS48" s="28">
        <f t="shared" si="1"/>
        <v>0</v>
      </c>
      <c r="BT48" s="28">
        <f t="shared" si="1"/>
        <v>0</v>
      </c>
      <c r="BU48" s="28">
        <f t="shared" si="1"/>
        <v>0</v>
      </c>
      <c r="BV48" s="28">
        <f t="shared" si="1"/>
        <v>122450</v>
      </c>
      <c r="BW48" s="28">
        <f t="shared" si="1"/>
        <v>0</v>
      </c>
      <c r="BX48" s="28">
        <f t="shared" si="1"/>
        <v>0</v>
      </c>
      <c r="BY48" s="28">
        <f t="shared" si="1"/>
        <v>73600</v>
      </c>
      <c r="BZ48" s="28">
        <f t="shared" si="1"/>
        <v>0</v>
      </c>
      <c r="CA48" s="28">
        <f t="shared" si="1"/>
        <v>0</v>
      </c>
      <c r="CB48" s="28">
        <f t="shared" si="1"/>
        <v>0</v>
      </c>
      <c r="CC48" s="28">
        <f t="shared" si="1"/>
        <v>0</v>
      </c>
      <c r="CD48" s="28">
        <f t="shared" si="1"/>
        <v>0</v>
      </c>
      <c r="CE48" s="28">
        <f>SUM(C48:CD48)</f>
        <v>3460292</v>
      </c>
      <c r="CF48" s="319">
        <v>0</v>
      </c>
    </row>
    <row r="49" spans="1:84" x14ac:dyDescent="0.35">
      <c r="A49" s="16" t="s">
        <v>233</v>
      </c>
      <c r="B49" s="28">
        <f>B47+B48</f>
        <v>3460290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9">
        <v>0</v>
      </c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9">
        <v>0</v>
      </c>
    </row>
    <row r="51" spans="1:84" x14ac:dyDescent="0.35">
      <c r="A51" s="22" t="s">
        <v>234</v>
      </c>
      <c r="B51" s="318">
        <v>0</v>
      </c>
      <c r="C51" s="318">
        <v>0</v>
      </c>
      <c r="D51" s="318">
        <v>0</v>
      </c>
      <c r="E51" s="318">
        <v>0</v>
      </c>
      <c r="F51" s="318">
        <v>0</v>
      </c>
      <c r="G51" s="318">
        <v>0</v>
      </c>
      <c r="H51" s="318">
        <v>0</v>
      </c>
      <c r="I51" s="318">
        <v>0</v>
      </c>
      <c r="J51" s="318">
        <v>0</v>
      </c>
      <c r="K51" s="318">
        <v>0</v>
      </c>
      <c r="L51" s="318">
        <v>0</v>
      </c>
      <c r="M51" s="318">
        <v>0</v>
      </c>
      <c r="N51" s="318">
        <v>0</v>
      </c>
      <c r="O51" s="318">
        <v>0</v>
      </c>
      <c r="P51" s="318">
        <v>0</v>
      </c>
      <c r="Q51" s="318">
        <v>0</v>
      </c>
      <c r="R51" s="318">
        <v>0</v>
      </c>
      <c r="S51" s="318">
        <v>0</v>
      </c>
      <c r="T51" s="318">
        <v>0</v>
      </c>
      <c r="U51" s="318">
        <v>0</v>
      </c>
      <c r="V51" s="318">
        <v>0</v>
      </c>
      <c r="W51" s="318">
        <v>0</v>
      </c>
      <c r="X51" s="318">
        <v>0</v>
      </c>
      <c r="Y51" s="318">
        <v>0</v>
      </c>
      <c r="Z51" s="318">
        <v>0</v>
      </c>
      <c r="AA51" s="318">
        <v>0</v>
      </c>
      <c r="AB51" s="318">
        <v>0</v>
      </c>
      <c r="AC51" s="318">
        <v>0</v>
      </c>
      <c r="AD51" s="318">
        <v>0</v>
      </c>
      <c r="AE51" s="318">
        <v>0</v>
      </c>
      <c r="AF51" s="318">
        <v>0</v>
      </c>
      <c r="AG51" s="318">
        <v>0</v>
      </c>
      <c r="AH51" s="318">
        <v>0</v>
      </c>
      <c r="AI51" s="318">
        <v>0</v>
      </c>
      <c r="AJ51" s="318">
        <v>0</v>
      </c>
      <c r="AK51" s="318">
        <v>0</v>
      </c>
      <c r="AL51" s="318">
        <v>0</v>
      </c>
      <c r="AM51" s="318">
        <v>0</v>
      </c>
      <c r="AN51" s="318">
        <v>0</v>
      </c>
      <c r="AO51" s="318">
        <v>0</v>
      </c>
      <c r="AP51" s="318">
        <v>0</v>
      </c>
      <c r="AQ51" s="318">
        <v>0</v>
      </c>
      <c r="AR51" s="318">
        <v>0</v>
      </c>
      <c r="AS51" s="318">
        <v>0</v>
      </c>
      <c r="AT51" s="318">
        <v>0</v>
      </c>
      <c r="AU51" s="318">
        <v>0</v>
      </c>
      <c r="AV51" s="318">
        <v>0</v>
      </c>
      <c r="AW51" s="318">
        <v>0</v>
      </c>
      <c r="AX51" s="318">
        <v>0</v>
      </c>
      <c r="AY51" s="318">
        <v>0</v>
      </c>
      <c r="AZ51" s="318">
        <v>0</v>
      </c>
      <c r="BA51" s="318">
        <v>0</v>
      </c>
      <c r="BB51" s="318">
        <v>0</v>
      </c>
      <c r="BC51" s="318">
        <v>0</v>
      </c>
      <c r="BD51" s="318">
        <v>0</v>
      </c>
      <c r="BE51" s="318">
        <v>0</v>
      </c>
      <c r="BF51" s="318">
        <v>0</v>
      </c>
      <c r="BG51" s="318">
        <v>0</v>
      </c>
      <c r="BH51" s="318">
        <v>0</v>
      </c>
      <c r="BI51" s="318">
        <v>0</v>
      </c>
      <c r="BJ51" s="318">
        <v>0</v>
      </c>
      <c r="BK51" s="318">
        <v>0</v>
      </c>
      <c r="BL51" s="318">
        <v>0</v>
      </c>
      <c r="BM51" s="318">
        <v>0</v>
      </c>
      <c r="BN51" s="318">
        <v>0</v>
      </c>
      <c r="BO51" s="318">
        <v>0</v>
      </c>
      <c r="BP51" s="318">
        <v>0</v>
      </c>
      <c r="BQ51" s="318">
        <v>0</v>
      </c>
      <c r="BR51" s="318">
        <v>0</v>
      </c>
      <c r="BS51" s="318">
        <v>0</v>
      </c>
      <c r="BT51" s="318">
        <v>0</v>
      </c>
      <c r="BU51" s="318">
        <v>0</v>
      </c>
      <c r="BV51" s="318">
        <v>0</v>
      </c>
      <c r="BW51" s="318">
        <v>0</v>
      </c>
      <c r="BX51" s="318">
        <v>0</v>
      </c>
      <c r="BY51" s="318">
        <v>0</v>
      </c>
      <c r="BZ51" s="318">
        <v>0</v>
      </c>
      <c r="CA51" s="318">
        <v>0</v>
      </c>
      <c r="CB51" s="318">
        <v>0</v>
      </c>
      <c r="CC51" s="318">
        <v>0</v>
      </c>
      <c r="CD51" s="16"/>
      <c r="CE51" s="28">
        <f>SUM(C51:CD51)</f>
        <v>0</v>
      </c>
      <c r="CF51" s="319">
        <v>0</v>
      </c>
    </row>
    <row r="52" spans="1:84" x14ac:dyDescent="0.35">
      <c r="A52" s="35" t="s">
        <v>235</v>
      </c>
      <c r="B52" s="317">
        <v>1307512</v>
      </c>
      <c r="C52" s="28">
        <f>IF($B$52,ROUND(($B$52/($CE$90+$CF$90)*C90),0))</f>
        <v>0</v>
      </c>
      <c r="D52" s="28">
        <f t="shared" ref="D52:BO52" si="2">IF($B$52,ROUND(($B$52/($CE$90+$CF$90)*D90),0))</f>
        <v>0</v>
      </c>
      <c r="E52" s="28">
        <f t="shared" si="2"/>
        <v>34754</v>
      </c>
      <c r="F52" s="28">
        <f t="shared" si="2"/>
        <v>0</v>
      </c>
      <c r="G52" s="28">
        <f t="shared" si="2"/>
        <v>0</v>
      </c>
      <c r="H52" s="28">
        <f t="shared" si="2"/>
        <v>0</v>
      </c>
      <c r="I52" s="28">
        <f t="shared" si="2"/>
        <v>0</v>
      </c>
      <c r="J52" s="28">
        <f t="shared" si="2"/>
        <v>0</v>
      </c>
      <c r="K52" s="28">
        <f t="shared" si="2"/>
        <v>239944</v>
      </c>
      <c r="L52" s="28">
        <f t="shared" si="2"/>
        <v>56046</v>
      </c>
      <c r="M52" s="28">
        <f t="shared" si="2"/>
        <v>0</v>
      </c>
      <c r="N52" s="28">
        <f t="shared" si="2"/>
        <v>0</v>
      </c>
      <c r="O52" s="28">
        <f t="shared" si="2"/>
        <v>0</v>
      </c>
      <c r="P52" s="28">
        <f t="shared" si="2"/>
        <v>38541</v>
      </c>
      <c r="Q52" s="28">
        <f t="shared" si="2"/>
        <v>10157</v>
      </c>
      <c r="R52" s="28">
        <f t="shared" si="2"/>
        <v>8837</v>
      </c>
      <c r="S52" s="28">
        <f t="shared" si="2"/>
        <v>11121</v>
      </c>
      <c r="T52" s="28">
        <f t="shared" si="2"/>
        <v>0</v>
      </c>
      <c r="U52" s="28">
        <f t="shared" si="2"/>
        <v>30427</v>
      </c>
      <c r="V52" s="28">
        <f t="shared" si="2"/>
        <v>0</v>
      </c>
      <c r="W52" s="28">
        <f t="shared" si="2"/>
        <v>2738</v>
      </c>
      <c r="X52" s="28">
        <f t="shared" si="2"/>
        <v>14199</v>
      </c>
      <c r="Y52" s="28">
        <f t="shared" si="2"/>
        <v>34399</v>
      </c>
      <c r="Z52" s="28">
        <f t="shared" si="2"/>
        <v>0</v>
      </c>
      <c r="AA52" s="28">
        <f t="shared" si="2"/>
        <v>0</v>
      </c>
      <c r="AB52" s="28">
        <f t="shared" si="2"/>
        <v>13363</v>
      </c>
      <c r="AC52" s="28">
        <f t="shared" si="2"/>
        <v>2454</v>
      </c>
      <c r="AD52" s="28">
        <f t="shared" si="2"/>
        <v>0</v>
      </c>
      <c r="AE52" s="28">
        <f t="shared" si="2"/>
        <v>120135</v>
      </c>
      <c r="AF52" s="28">
        <f t="shared" si="2"/>
        <v>0</v>
      </c>
      <c r="AG52" s="28">
        <f t="shared" si="2"/>
        <v>137370</v>
      </c>
      <c r="AH52" s="28">
        <f t="shared" si="2"/>
        <v>0</v>
      </c>
      <c r="AI52" s="28">
        <f t="shared" si="2"/>
        <v>0</v>
      </c>
      <c r="AJ52" s="28">
        <f t="shared" si="2"/>
        <v>90261</v>
      </c>
      <c r="AK52" s="28">
        <f t="shared" si="2"/>
        <v>0</v>
      </c>
      <c r="AL52" s="28">
        <f t="shared" si="2"/>
        <v>0</v>
      </c>
      <c r="AM52" s="28">
        <f t="shared" si="2"/>
        <v>0</v>
      </c>
      <c r="AN52" s="28">
        <f t="shared" si="2"/>
        <v>0</v>
      </c>
      <c r="AO52" s="28">
        <f t="shared" si="2"/>
        <v>7660</v>
      </c>
      <c r="AP52" s="28">
        <f t="shared" si="2"/>
        <v>0</v>
      </c>
      <c r="AQ52" s="28">
        <f t="shared" si="2"/>
        <v>0</v>
      </c>
      <c r="AR52" s="28">
        <f t="shared" si="2"/>
        <v>0</v>
      </c>
      <c r="AS52" s="28">
        <f t="shared" si="2"/>
        <v>0</v>
      </c>
      <c r="AT52" s="28">
        <f t="shared" si="2"/>
        <v>0</v>
      </c>
      <c r="AU52" s="28">
        <f t="shared" si="2"/>
        <v>0</v>
      </c>
      <c r="AV52" s="28">
        <f t="shared" si="2"/>
        <v>12682</v>
      </c>
      <c r="AW52" s="28">
        <f t="shared" si="2"/>
        <v>0</v>
      </c>
      <c r="AX52" s="28">
        <f t="shared" si="2"/>
        <v>0</v>
      </c>
      <c r="AY52" s="28">
        <f t="shared" si="2"/>
        <v>53039</v>
      </c>
      <c r="AZ52" s="28">
        <f t="shared" si="2"/>
        <v>0</v>
      </c>
      <c r="BA52" s="28">
        <f t="shared" si="2"/>
        <v>29406</v>
      </c>
      <c r="BB52" s="28">
        <f t="shared" si="2"/>
        <v>0</v>
      </c>
      <c r="BC52" s="28">
        <f t="shared" si="2"/>
        <v>0</v>
      </c>
      <c r="BD52" s="28">
        <f t="shared" si="2"/>
        <v>0</v>
      </c>
      <c r="BE52" s="28">
        <f t="shared" si="2"/>
        <v>133427</v>
      </c>
      <c r="BF52" s="28">
        <f t="shared" si="2"/>
        <v>21221</v>
      </c>
      <c r="BG52" s="28">
        <f t="shared" si="2"/>
        <v>10497</v>
      </c>
      <c r="BH52" s="28">
        <f t="shared" si="2"/>
        <v>20640</v>
      </c>
      <c r="BI52" s="28">
        <f t="shared" si="2"/>
        <v>0</v>
      </c>
      <c r="BJ52" s="28">
        <f t="shared" si="2"/>
        <v>34555</v>
      </c>
      <c r="BK52" s="28">
        <f t="shared" si="2"/>
        <v>0</v>
      </c>
      <c r="BL52" s="28">
        <f t="shared" si="2"/>
        <v>32314</v>
      </c>
      <c r="BM52" s="28">
        <f t="shared" si="2"/>
        <v>0</v>
      </c>
      <c r="BN52" s="28">
        <f t="shared" si="2"/>
        <v>43421</v>
      </c>
      <c r="BO52" s="28">
        <f t="shared" si="2"/>
        <v>0</v>
      </c>
      <c r="BP52" s="28">
        <f t="shared" ref="BP52:CD52" si="3">IF($B$52,ROUND(($B$52/($CE$90+$CF$90)*BP90),0))</f>
        <v>0</v>
      </c>
      <c r="BQ52" s="28">
        <f t="shared" si="3"/>
        <v>0</v>
      </c>
      <c r="BR52" s="28">
        <f t="shared" si="3"/>
        <v>37563</v>
      </c>
      <c r="BS52" s="28">
        <f t="shared" si="3"/>
        <v>0</v>
      </c>
      <c r="BT52" s="28">
        <f t="shared" si="3"/>
        <v>0</v>
      </c>
      <c r="BU52" s="28">
        <f t="shared" si="3"/>
        <v>0</v>
      </c>
      <c r="BV52" s="28">
        <f t="shared" si="3"/>
        <v>18412</v>
      </c>
      <c r="BW52" s="28">
        <f t="shared" si="3"/>
        <v>0</v>
      </c>
      <c r="BX52" s="28">
        <f t="shared" si="3"/>
        <v>0</v>
      </c>
      <c r="BY52" s="28">
        <f t="shared" si="3"/>
        <v>8000</v>
      </c>
      <c r="BZ52" s="28">
        <f t="shared" si="3"/>
        <v>0</v>
      </c>
      <c r="CA52" s="28">
        <f t="shared" si="3"/>
        <v>0</v>
      </c>
      <c r="CB52" s="28">
        <f t="shared" si="3"/>
        <v>0</v>
      </c>
      <c r="CC52" s="28">
        <f t="shared" si="3"/>
        <v>0</v>
      </c>
      <c r="CD52" s="28">
        <f t="shared" si="3"/>
        <v>0</v>
      </c>
      <c r="CE52" s="28">
        <f>SUM(C52:CD52)</f>
        <v>1307583</v>
      </c>
      <c r="CF52" s="319">
        <v>0</v>
      </c>
    </row>
    <row r="53" spans="1:84" x14ac:dyDescent="0.35">
      <c r="A53" s="16" t="s">
        <v>233</v>
      </c>
      <c r="B53" s="28">
        <f>B51+B52</f>
        <v>1307512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9">
        <v>0</v>
      </c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9">
        <v>0</v>
      </c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9">
        <v>0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9">
        <v>0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9">
        <v>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19">
        <v>0</v>
      </c>
    </row>
    <row r="59" spans="1:84" x14ac:dyDescent="0.35">
      <c r="A59" s="35" t="s">
        <v>261</v>
      </c>
      <c r="B59" s="28"/>
      <c r="C59" s="318">
        <v>0</v>
      </c>
      <c r="D59" s="318">
        <v>0</v>
      </c>
      <c r="E59" s="318">
        <v>971</v>
      </c>
      <c r="F59" s="318">
        <v>0</v>
      </c>
      <c r="G59" s="318">
        <v>0</v>
      </c>
      <c r="H59" s="318">
        <v>0</v>
      </c>
      <c r="I59" s="318">
        <v>0</v>
      </c>
      <c r="J59" s="318">
        <v>0</v>
      </c>
      <c r="K59" s="318">
        <v>12951</v>
      </c>
      <c r="L59" s="318">
        <v>1566</v>
      </c>
      <c r="M59" s="318">
        <v>0</v>
      </c>
      <c r="N59" s="318">
        <v>0</v>
      </c>
      <c r="O59" s="318">
        <v>0</v>
      </c>
      <c r="P59" s="320">
        <v>6031</v>
      </c>
      <c r="Q59" s="321">
        <v>1721.34</v>
      </c>
      <c r="R59" s="321">
        <v>1169</v>
      </c>
      <c r="S59" s="245">
        <v>0</v>
      </c>
      <c r="T59" s="245">
        <v>0</v>
      </c>
      <c r="U59" s="322">
        <v>42988</v>
      </c>
      <c r="V59" s="321">
        <v>2814</v>
      </c>
      <c r="W59" s="321">
        <v>506</v>
      </c>
      <c r="X59" s="321">
        <v>2623</v>
      </c>
      <c r="Y59" s="321">
        <v>6352</v>
      </c>
      <c r="Z59" s="321">
        <v>0</v>
      </c>
      <c r="AA59" s="321">
        <v>0</v>
      </c>
      <c r="AB59" s="245">
        <v>0</v>
      </c>
      <c r="AC59" s="321">
        <v>1325</v>
      </c>
      <c r="AD59" s="321">
        <v>0</v>
      </c>
      <c r="AE59" s="321">
        <v>19702</v>
      </c>
      <c r="AF59" s="321">
        <v>0</v>
      </c>
      <c r="AG59" s="321">
        <v>5149</v>
      </c>
      <c r="AH59" s="321">
        <v>0</v>
      </c>
      <c r="AI59" s="321">
        <v>0</v>
      </c>
      <c r="AJ59" s="321">
        <v>2974</v>
      </c>
      <c r="AK59" s="321">
        <v>6378</v>
      </c>
      <c r="AL59" s="321">
        <v>2129</v>
      </c>
      <c r="AM59" s="321">
        <v>0</v>
      </c>
      <c r="AN59" s="321">
        <v>0</v>
      </c>
      <c r="AO59" s="321">
        <v>5148</v>
      </c>
      <c r="AP59" s="321">
        <v>0</v>
      </c>
      <c r="AQ59" s="321">
        <v>0</v>
      </c>
      <c r="AR59" s="321">
        <v>0</v>
      </c>
      <c r="AS59" s="321">
        <v>0</v>
      </c>
      <c r="AT59" s="321">
        <v>0</v>
      </c>
      <c r="AU59" s="321">
        <v>0</v>
      </c>
      <c r="AV59" s="245">
        <v>0</v>
      </c>
      <c r="AW59" s="245">
        <v>0</v>
      </c>
      <c r="AX59" s="245">
        <v>0</v>
      </c>
      <c r="AY59" s="321">
        <v>46661</v>
      </c>
      <c r="AZ59" s="321">
        <v>0</v>
      </c>
      <c r="BA59" s="245">
        <v>0</v>
      </c>
      <c r="BB59" s="245">
        <v>0</v>
      </c>
      <c r="BC59" s="245">
        <v>0</v>
      </c>
      <c r="BD59" s="245">
        <v>0</v>
      </c>
      <c r="BE59" s="321">
        <v>92174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6">
        <v>0</v>
      </c>
      <c r="CE59" s="28">
        <v>0</v>
      </c>
      <c r="CF59" s="319">
        <v>0</v>
      </c>
    </row>
    <row r="60" spans="1:84" s="211" customFormat="1" x14ac:dyDescent="0.35">
      <c r="A60" s="219" t="s">
        <v>262</v>
      </c>
      <c r="B60" s="220"/>
      <c r="C60" s="323">
        <v>0</v>
      </c>
      <c r="D60" s="323">
        <v>0</v>
      </c>
      <c r="E60" s="323">
        <v>8.08</v>
      </c>
      <c r="F60" s="323">
        <v>0</v>
      </c>
      <c r="G60" s="323">
        <v>0</v>
      </c>
      <c r="H60" s="323">
        <v>0</v>
      </c>
      <c r="I60" s="323">
        <v>0</v>
      </c>
      <c r="J60" s="323">
        <v>0</v>
      </c>
      <c r="K60" s="323">
        <v>27.48</v>
      </c>
      <c r="L60" s="323">
        <v>13.02</v>
      </c>
      <c r="M60" s="323">
        <v>0</v>
      </c>
      <c r="N60" s="323">
        <v>0</v>
      </c>
      <c r="O60" s="323">
        <v>0</v>
      </c>
      <c r="P60" s="320">
        <v>3.32</v>
      </c>
      <c r="Q60" s="320">
        <v>0.08</v>
      </c>
      <c r="R60" s="320">
        <v>0.19</v>
      </c>
      <c r="S60" s="324">
        <v>1.1299999999999999</v>
      </c>
      <c r="T60" s="324">
        <v>0</v>
      </c>
      <c r="U60" s="325">
        <v>6.81</v>
      </c>
      <c r="V60" s="320">
        <v>0</v>
      </c>
      <c r="W60" s="320">
        <v>0.3</v>
      </c>
      <c r="X60" s="320">
        <v>1.56</v>
      </c>
      <c r="Y60" s="320">
        <v>3.77</v>
      </c>
      <c r="Z60" s="320">
        <v>0</v>
      </c>
      <c r="AA60" s="320">
        <v>0</v>
      </c>
      <c r="AB60" s="324">
        <v>0.73</v>
      </c>
      <c r="AC60" s="320">
        <v>0.87</v>
      </c>
      <c r="AD60" s="320">
        <v>0</v>
      </c>
      <c r="AE60" s="320">
        <v>12.58</v>
      </c>
      <c r="AF60" s="320">
        <v>0</v>
      </c>
      <c r="AG60" s="320">
        <v>12.77</v>
      </c>
      <c r="AH60" s="320">
        <v>0</v>
      </c>
      <c r="AI60" s="320">
        <v>0</v>
      </c>
      <c r="AJ60" s="320">
        <v>11.42</v>
      </c>
      <c r="AK60" s="320">
        <v>1.42</v>
      </c>
      <c r="AL60" s="320">
        <v>0.99</v>
      </c>
      <c r="AM60" s="320">
        <v>0</v>
      </c>
      <c r="AN60" s="320">
        <v>0</v>
      </c>
      <c r="AO60" s="320">
        <v>1.78</v>
      </c>
      <c r="AP60" s="320">
        <v>0</v>
      </c>
      <c r="AQ60" s="320">
        <v>0</v>
      </c>
      <c r="AR60" s="320">
        <v>0</v>
      </c>
      <c r="AS60" s="320">
        <v>0</v>
      </c>
      <c r="AT60" s="320">
        <v>0</v>
      </c>
      <c r="AU60" s="320">
        <v>0</v>
      </c>
      <c r="AV60" s="324">
        <v>0.19</v>
      </c>
      <c r="AW60" s="324">
        <v>0</v>
      </c>
      <c r="AX60" s="324">
        <v>0</v>
      </c>
      <c r="AY60" s="320">
        <v>11.85</v>
      </c>
      <c r="AZ60" s="320">
        <v>2.37</v>
      </c>
      <c r="BA60" s="324">
        <v>6.14</v>
      </c>
      <c r="BB60" s="324">
        <v>0.86</v>
      </c>
      <c r="BC60" s="324">
        <v>0</v>
      </c>
      <c r="BD60" s="324">
        <v>0.9</v>
      </c>
      <c r="BE60" s="320">
        <v>5</v>
      </c>
      <c r="BF60" s="324">
        <v>7.01</v>
      </c>
      <c r="BG60" s="324">
        <v>0</v>
      </c>
      <c r="BH60" s="324">
        <v>1.99</v>
      </c>
      <c r="BI60" s="324">
        <v>0</v>
      </c>
      <c r="BJ60" s="324">
        <v>6.87</v>
      </c>
      <c r="BK60" s="324">
        <v>7.5</v>
      </c>
      <c r="BL60" s="324">
        <v>8.82</v>
      </c>
      <c r="BM60" s="324">
        <v>0</v>
      </c>
      <c r="BN60" s="324">
        <v>2.1800000000000002</v>
      </c>
      <c r="BO60" s="324">
        <v>0</v>
      </c>
      <c r="BP60" s="324">
        <v>0</v>
      </c>
      <c r="BQ60" s="324">
        <v>0</v>
      </c>
      <c r="BR60" s="324">
        <v>2.17</v>
      </c>
      <c r="BS60" s="324">
        <v>0</v>
      </c>
      <c r="BT60" s="324">
        <v>0</v>
      </c>
      <c r="BU60" s="324">
        <v>0</v>
      </c>
      <c r="BV60" s="324">
        <v>10.37</v>
      </c>
      <c r="BW60" s="324">
        <v>0</v>
      </c>
      <c r="BX60" s="324">
        <v>0</v>
      </c>
      <c r="BY60" s="324">
        <v>2.66</v>
      </c>
      <c r="BZ60" s="324">
        <v>0</v>
      </c>
      <c r="CA60" s="324">
        <v>0</v>
      </c>
      <c r="CB60" s="324">
        <v>0</v>
      </c>
      <c r="CC60" s="324">
        <v>0</v>
      </c>
      <c r="CD60" s="221" t="s">
        <v>248</v>
      </c>
      <c r="CE60" s="239">
        <f t="shared" ref="CE60:CE68" si="4">SUM(C60:CD60)</f>
        <v>185.18</v>
      </c>
      <c r="CF60" s="326">
        <v>0</v>
      </c>
    </row>
    <row r="61" spans="1:84" x14ac:dyDescent="0.35">
      <c r="A61" s="35" t="s">
        <v>263</v>
      </c>
      <c r="B61" s="16"/>
      <c r="C61" s="318">
        <v>0</v>
      </c>
      <c r="D61" s="318">
        <v>0</v>
      </c>
      <c r="E61" s="318">
        <v>651417</v>
      </c>
      <c r="F61" s="318">
        <v>0</v>
      </c>
      <c r="G61" s="318"/>
      <c r="H61" s="318">
        <v>0</v>
      </c>
      <c r="I61" s="318">
        <v>0</v>
      </c>
      <c r="J61" s="318">
        <v>0</v>
      </c>
      <c r="K61" s="318">
        <v>2067373</v>
      </c>
      <c r="L61" s="318">
        <v>1050586</v>
      </c>
      <c r="M61" s="318">
        <v>0</v>
      </c>
      <c r="N61" s="318">
        <v>0</v>
      </c>
      <c r="O61" s="318">
        <v>0</v>
      </c>
      <c r="P61" s="321">
        <v>582796</v>
      </c>
      <c r="Q61" s="321">
        <v>9326</v>
      </c>
      <c r="R61" s="321">
        <v>74972</v>
      </c>
      <c r="S61" s="327">
        <v>43005</v>
      </c>
      <c r="T61" s="327">
        <v>0</v>
      </c>
      <c r="U61" s="322">
        <v>504149</v>
      </c>
      <c r="V61" s="321">
        <v>0</v>
      </c>
      <c r="W61" s="321">
        <v>35128</v>
      </c>
      <c r="X61" s="321">
        <v>182094</v>
      </c>
      <c r="Y61" s="321">
        <v>440969</v>
      </c>
      <c r="Z61" s="321">
        <v>0</v>
      </c>
      <c r="AA61" s="321">
        <v>0</v>
      </c>
      <c r="AB61" s="328">
        <v>52922</v>
      </c>
      <c r="AC61" s="321">
        <v>105853</v>
      </c>
      <c r="AD61" s="321">
        <v>0</v>
      </c>
      <c r="AE61" s="321">
        <v>892930</v>
      </c>
      <c r="AF61" s="321">
        <v>0</v>
      </c>
      <c r="AG61" s="321">
        <v>982078</v>
      </c>
      <c r="AH61" s="321">
        <v>0</v>
      </c>
      <c r="AI61" s="321">
        <v>0</v>
      </c>
      <c r="AJ61" s="321">
        <v>1074406</v>
      </c>
      <c r="AK61" s="321">
        <v>237033</v>
      </c>
      <c r="AL61" s="321">
        <v>177554</v>
      </c>
      <c r="AM61" s="321">
        <v>0</v>
      </c>
      <c r="AN61" s="321">
        <v>0</v>
      </c>
      <c r="AO61" s="321">
        <v>143567</v>
      </c>
      <c r="AP61" s="321">
        <v>0</v>
      </c>
      <c r="AQ61" s="321">
        <v>0</v>
      </c>
      <c r="AR61" s="321">
        <v>0</v>
      </c>
      <c r="AS61" s="321">
        <v>0</v>
      </c>
      <c r="AT61" s="321">
        <v>0</v>
      </c>
      <c r="AU61" s="321">
        <v>0</v>
      </c>
      <c r="AV61" s="327">
        <v>6477</v>
      </c>
      <c r="AW61" s="327">
        <v>0</v>
      </c>
      <c r="AX61" s="327">
        <v>0</v>
      </c>
      <c r="AY61" s="321">
        <f>663843-94917</f>
        <v>568926</v>
      </c>
      <c r="AZ61" s="321">
        <f>83128+11789</f>
        <v>94917</v>
      </c>
      <c r="BA61" s="327">
        <v>304296</v>
      </c>
      <c r="BB61" s="327">
        <v>72552</v>
      </c>
      <c r="BC61" s="327">
        <v>0</v>
      </c>
      <c r="BD61" s="327">
        <v>46680</v>
      </c>
      <c r="BE61" s="321">
        <v>299715</v>
      </c>
      <c r="BF61" s="327">
        <v>359843</v>
      </c>
      <c r="BG61" s="327">
        <v>0</v>
      </c>
      <c r="BH61" s="327">
        <v>204713</v>
      </c>
      <c r="BI61" s="327">
        <v>0</v>
      </c>
      <c r="BJ61" s="327">
        <v>528018</v>
      </c>
      <c r="BK61" s="327">
        <v>421964</v>
      </c>
      <c r="BL61" s="327">
        <v>410426</v>
      </c>
      <c r="BM61" s="327">
        <v>0</v>
      </c>
      <c r="BN61" s="327">
        <f>320452+1510347</f>
        <v>1830799</v>
      </c>
      <c r="BO61" s="327">
        <v>0</v>
      </c>
      <c r="BP61" s="327">
        <v>0</v>
      </c>
      <c r="BQ61" s="327">
        <v>0</v>
      </c>
      <c r="BR61" s="327">
        <v>195383</v>
      </c>
      <c r="BS61" s="327">
        <v>0</v>
      </c>
      <c r="BT61" s="327">
        <v>0</v>
      </c>
      <c r="BU61" s="327">
        <v>0</v>
      </c>
      <c r="BV61" s="327">
        <v>549665</v>
      </c>
      <c r="BW61" s="327">
        <v>0</v>
      </c>
      <c r="BX61" s="327">
        <v>0</v>
      </c>
      <c r="BY61" s="327">
        <f>161485+168900</f>
        <v>330385</v>
      </c>
      <c r="BZ61" s="327">
        <v>0</v>
      </c>
      <c r="CA61" s="327">
        <v>0</v>
      </c>
      <c r="CB61" s="327">
        <v>0</v>
      </c>
      <c r="CC61" s="327">
        <v>0</v>
      </c>
      <c r="CD61" s="25" t="s">
        <v>248</v>
      </c>
      <c r="CE61" s="28">
        <f t="shared" si="4"/>
        <v>15532917</v>
      </c>
      <c r="CF61" s="319">
        <v>0</v>
      </c>
    </row>
    <row r="62" spans="1:84" x14ac:dyDescent="0.35">
      <c r="A62" s="35" t="s">
        <v>11</v>
      </c>
      <c r="B62" s="16"/>
      <c r="C62" s="28">
        <f>ROUND(C47+C48,0)</f>
        <v>0</v>
      </c>
      <c r="D62" s="28">
        <f t="shared" ref="D62:BO62" si="5">ROUND(D47+D48,0)</f>
        <v>0</v>
      </c>
      <c r="E62" s="28">
        <f t="shared" si="5"/>
        <v>145117</v>
      </c>
      <c r="F62" s="28">
        <f t="shared" si="5"/>
        <v>0</v>
      </c>
      <c r="G62" s="28">
        <f t="shared" si="5"/>
        <v>0</v>
      </c>
      <c r="H62" s="28">
        <f t="shared" si="5"/>
        <v>0</v>
      </c>
      <c r="I62" s="28">
        <f t="shared" si="5"/>
        <v>0</v>
      </c>
      <c r="J62" s="28">
        <f t="shared" si="5"/>
        <v>0</v>
      </c>
      <c r="K62" s="28">
        <f t="shared" si="5"/>
        <v>460552</v>
      </c>
      <c r="L62" s="28">
        <f t="shared" si="5"/>
        <v>234041</v>
      </c>
      <c r="M62" s="28">
        <f t="shared" si="5"/>
        <v>0</v>
      </c>
      <c r="N62" s="28">
        <f t="shared" si="5"/>
        <v>0</v>
      </c>
      <c r="O62" s="28">
        <f t="shared" si="5"/>
        <v>0</v>
      </c>
      <c r="P62" s="28">
        <f t="shared" si="5"/>
        <v>129830</v>
      </c>
      <c r="Q62" s="28">
        <f t="shared" si="5"/>
        <v>2078</v>
      </c>
      <c r="R62" s="28">
        <f t="shared" si="5"/>
        <v>16702</v>
      </c>
      <c r="S62" s="28">
        <f t="shared" si="5"/>
        <v>9580</v>
      </c>
      <c r="T62" s="28">
        <f t="shared" si="5"/>
        <v>0</v>
      </c>
      <c r="U62" s="28">
        <f t="shared" si="5"/>
        <v>112310</v>
      </c>
      <c r="V62" s="28">
        <f t="shared" si="5"/>
        <v>0</v>
      </c>
      <c r="W62" s="28">
        <f t="shared" si="5"/>
        <v>7826</v>
      </c>
      <c r="X62" s="28">
        <f t="shared" si="5"/>
        <v>40565</v>
      </c>
      <c r="Y62" s="28">
        <f t="shared" si="5"/>
        <v>98235</v>
      </c>
      <c r="Z62" s="28">
        <f t="shared" si="5"/>
        <v>0</v>
      </c>
      <c r="AA62" s="28">
        <f t="shared" si="5"/>
        <v>0</v>
      </c>
      <c r="AB62" s="28">
        <f t="shared" si="5"/>
        <v>11790</v>
      </c>
      <c r="AC62" s="28">
        <f t="shared" si="5"/>
        <v>23581</v>
      </c>
      <c r="AD62" s="28">
        <f t="shared" si="5"/>
        <v>0</v>
      </c>
      <c r="AE62" s="28">
        <f t="shared" si="5"/>
        <v>198919</v>
      </c>
      <c r="AF62" s="28">
        <f t="shared" si="5"/>
        <v>0</v>
      </c>
      <c r="AG62" s="28">
        <f t="shared" si="5"/>
        <v>218779</v>
      </c>
      <c r="AH62" s="28">
        <f t="shared" si="5"/>
        <v>0</v>
      </c>
      <c r="AI62" s="28">
        <f t="shared" si="5"/>
        <v>0</v>
      </c>
      <c r="AJ62" s="28">
        <f t="shared" si="5"/>
        <v>239347</v>
      </c>
      <c r="AK62" s="28">
        <f t="shared" si="5"/>
        <v>52804</v>
      </c>
      <c r="AL62" s="28">
        <f t="shared" si="5"/>
        <v>39554</v>
      </c>
      <c r="AM62" s="28">
        <f t="shared" si="5"/>
        <v>0</v>
      </c>
      <c r="AN62" s="28">
        <f t="shared" si="5"/>
        <v>0</v>
      </c>
      <c r="AO62" s="28">
        <f t="shared" si="5"/>
        <v>31983</v>
      </c>
      <c r="AP62" s="28">
        <f t="shared" si="5"/>
        <v>0</v>
      </c>
      <c r="AQ62" s="28">
        <f t="shared" si="5"/>
        <v>0</v>
      </c>
      <c r="AR62" s="28">
        <f t="shared" si="5"/>
        <v>0</v>
      </c>
      <c r="AS62" s="28">
        <f t="shared" si="5"/>
        <v>0</v>
      </c>
      <c r="AT62" s="28">
        <f t="shared" si="5"/>
        <v>0</v>
      </c>
      <c r="AU62" s="28">
        <f t="shared" si="5"/>
        <v>0</v>
      </c>
      <c r="AV62" s="28">
        <f t="shared" si="5"/>
        <v>1443</v>
      </c>
      <c r="AW62" s="28">
        <f t="shared" si="5"/>
        <v>0</v>
      </c>
      <c r="AX62" s="28">
        <f t="shared" si="5"/>
        <v>0</v>
      </c>
      <c r="AY62" s="28">
        <f t="shared" si="5"/>
        <v>126740</v>
      </c>
      <c r="AZ62" s="28">
        <f t="shared" si="5"/>
        <v>21145</v>
      </c>
      <c r="BA62" s="28">
        <f t="shared" si="5"/>
        <v>67788</v>
      </c>
      <c r="BB62" s="28">
        <f t="shared" si="5"/>
        <v>16163</v>
      </c>
      <c r="BC62" s="28">
        <f t="shared" si="5"/>
        <v>0</v>
      </c>
      <c r="BD62" s="28">
        <f t="shared" si="5"/>
        <v>10399</v>
      </c>
      <c r="BE62" s="28">
        <f t="shared" si="5"/>
        <v>66768</v>
      </c>
      <c r="BF62" s="28">
        <f t="shared" si="5"/>
        <v>80163</v>
      </c>
      <c r="BG62" s="28">
        <f t="shared" si="5"/>
        <v>0</v>
      </c>
      <c r="BH62" s="28">
        <f t="shared" si="5"/>
        <v>45604</v>
      </c>
      <c r="BI62" s="28">
        <f t="shared" si="5"/>
        <v>0</v>
      </c>
      <c r="BJ62" s="28">
        <f t="shared" si="5"/>
        <v>117627</v>
      </c>
      <c r="BK62" s="28">
        <f t="shared" si="5"/>
        <v>94002</v>
      </c>
      <c r="BL62" s="28">
        <f t="shared" si="5"/>
        <v>91431</v>
      </c>
      <c r="BM62" s="28">
        <f t="shared" si="5"/>
        <v>0</v>
      </c>
      <c r="BN62" s="28">
        <f t="shared" si="5"/>
        <v>407850</v>
      </c>
      <c r="BO62" s="28">
        <f t="shared" si="5"/>
        <v>0</v>
      </c>
      <c r="BP62" s="28">
        <f t="shared" ref="BP62:CC62" si="6">ROUND(BP47+BP48,0)</f>
        <v>0</v>
      </c>
      <c r="BQ62" s="28">
        <f t="shared" si="6"/>
        <v>0</v>
      </c>
      <c r="BR62" s="28">
        <f t="shared" si="6"/>
        <v>43526</v>
      </c>
      <c r="BS62" s="28">
        <f t="shared" si="6"/>
        <v>0</v>
      </c>
      <c r="BT62" s="28">
        <f t="shared" si="6"/>
        <v>0</v>
      </c>
      <c r="BU62" s="28">
        <f t="shared" si="6"/>
        <v>0</v>
      </c>
      <c r="BV62" s="28">
        <f t="shared" si="6"/>
        <v>122450</v>
      </c>
      <c r="BW62" s="28">
        <f t="shared" si="6"/>
        <v>0</v>
      </c>
      <c r="BX62" s="28">
        <f t="shared" si="6"/>
        <v>0</v>
      </c>
      <c r="BY62" s="28">
        <f t="shared" si="6"/>
        <v>73600</v>
      </c>
      <c r="BZ62" s="28">
        <f t="shared" si="6"/>
        <v>0</v>
      </c>
      <c r="CA62" s="28">
        <f t="shared" si="6"/>
        <v>0</v>
      </c>
      <c r="CB62" s="28">
        <f t="shared" si="6"/>
        <v>0</v>
      </c>
      <c r="CC62" s="28">
        <f t="shared" si="6"/>
        <v>0</v>
      </c>
      <c r="CD62" s="25" t="s">
        <v>248</v>
      </c>
      <c r="CE62" s="28">
        <f t="shared" si="4"/>
        <v>3460292</v>
      </c>
      <c r="CF62" s="319">
        <v>0</v>
      </c>
    </row>
    <row r="63" spans="1:84" x14ac:dyDescent="0.35">
      <c r="A63" s="35" t="s">
        <v>264</v>
      </c>
      <c r="B63" s="16"/>
      <c r="C63" s="318">
        <v>0</v>
      </c>
      <c r="D63" s="318">
        <v>0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29715</v>
      </c>
      <c r="L63" s="318">
        <v>0</v>
      </c>
      <c r="M63" s="318">
        <v>0</v>
      </c>
      <c r="N63" s="318">
        <v>0</v>
      </c>
      <c r="O63" s="318">
        <v>0</v>
      </c>
      <c r="P63" s="321">
        <v>0</v>
      </c>
      <c r="Q63" s="321">
        <v>0</v>
      </c>
      <c r="R63" s="321">
        <v>0</v>
      </c>
      <c r="S63" s="327">
        <v>0</v>
      </c>
      <c r="T63" s="327">
        <v>0</v>
      </c>
      <c r="U63" s="322">
        <v>3280</v>
      </c>
      <c r="V63" s="321">
        <v>0</v>
      </c>
      <c r="W63" s="321">
        <v>0</v>
      </c>
      <c r="X63" s="321">
        <v>0</v>
      </c>
      <c r="Y63" s="321">
        <v>0</v>
      </c>
      <c r="Z63" s="321">
        <v>0</v>
      </c>
      <c r="AA63" s="321">
        <v>0</v>
      </c>
      <c r="AB63" s="328">
        <v>0</v>
      </c>
      <c r="AC63" s="321">
        <v>0</v>
      </c>
      <c r="AD63" s="321">
        <v>0</v>
      </c>
      <c r="AE63" s="321">
        <v>0</v>
      </c>
      <c r="AF63" s="321">
        <v>0</v>
      </c>
      <c r="AG63" s="321">
        <v>0</v>
      </c>
      <c r="AH63" s="321">
        <v>0</v>
      </c>
      <c r="AI63" s="321">
        <v>0</v>
      </c>
      <c r="AJ63" s="321">
        <v>0</v>
      </c>
      <c r="AK63" s="321">
        <v>0</v>
      </c>
      <c r="AL63" s="321">
        <v>0</v>
      </c>
      <c r="AM63" s="321">
        <v>0</v>
      </c>
      <c r="AN63" s="321">
        <v>0</v>
      </c>
      <c r="AO63" s="321">
        <v>0</v>
      </c>
      <c r="AP63" s="321">
        <v>0</v>
      </c>
      <c r="AQ63" s="321">
        <v>0</v>
      </c>
      <c r="AR63" s="321">
        <v>0</v>
      </c>
      <c r="AS63" s="321">
        <v>0</v>
      </c>
      <c r="AT63" s="321">
        <v>0</v>
      </c>
      <c r="AU63" s="321">
        <v>0</v>
      </c>
      <c r="AV63" s="327">
        <v>0</v>
      </c>
      <c r="AW63" s="327">
        <v>0</v>
      </c>
      <c r="AX63" s="327">
        <v>0</v>
      </c>
      <c r="AY63" s="321">
        <v>0</v>
      </c>
      <c r="AZ63" s="321">
        <v>0</v>
      </c>
      <c r="BA63" s="327">
        <v>0</v>
      </c>
      <c r="BB63" s="327">
        <v>0</v>
      </c>
      <c r="BC63" s="327">
        <v>0</v>
      </c>
      <c r="BD63" s="327">
        <v>0</v>
      </c>
      <c r="BE63" s="321">
        <v>0</v>
      </c>
      <c r="BF63" s="327">
        <v>0</v>
      </c>
      <c r="BG63" s="327">
        <v>0</v>
      </c>
      <c r="BH63" s="327">
        <v>124868</v>
      </c>
      <c r="BI63" s="327">
        <v>0</v>
      </c>
      <c r="BJ63" s="327">
        <v>65500</v>
      </c>
      <c r="BK63" s="327">
        <v>10880</v>
      </c>
      <c r="BL63" s="327">
        <v>0</v>
      </c>
      <c r="BM63" s="327">
        <v>0</v>
      </c>
      <c r="BN63" s="327">
        <v>171009</v>
      </c>
      <c r="BO63" s="327">
        <v>0</v>
      </c>
      <c r="BP63" s="327">
        <v>0</v>
      </c>
      <c r="BQ63" s="327">
        <v>0</v>
      </c>
      <c r="BR63" s="327">
        <v>109022</v>
      </c>
      <c r="BS63" s="327">
        <v>0</v>
      </c>
      <c r="BT63" s="327">
        <v>0</v>
      </c>
      <c r="BU63" s="327">
        <v>0</v>
      </c>
      <c r="BV63" s="327">
        <v>49000</v>
      </c>
      <c r="BW63" s="327">
        <v>0</v>
      </c>
      <c r="BX63" s="327">
        <v>0</v>
      </c>
      <c r="BY63" s="327">
        <v>0</v>
      </c>
      <c r="BZ63" s="327">
        <v>0</v>
      </c>
      <c r="CA63" s="327">
        <v>0</v>
      </c>
      <c r="CB63" s="327">
        <v>0</v>
      </c>
      <c r="CC63" s="327">
        <v>0</v>
      </c>
      <c r="CD63" s="25" t="s">
        <v>248</v>
      </c>
      <c r="CE63" s="28">
        <f t="shared" si="4"/>
        <v>563274</v>
      </c>
      <c r="CF63" s="319">
        <v>0</v>
      </c>
    </row>
    <row r="64" spans="1:84" x14ac:dyDescent="0.35">
      <c r="A64" s="35" t="s">
        <v>265</v>
      </c>
      <c r="B64" s="16"/>
      <c r="C64" s="318">
        <v>0</v>
      </c>
      <c r="D64" s="318">
        <v>0</v>
      </c>
      <c r="E64" s="318">
        <v>20430</v>
      </c>
      <c r="F64" s="318">
        <v>0</v>
      </c>
      <c r="G64" s="318">
        <v>0</v>
      </c>
      <c r="H64" s="318">
        <v>0</v>
      </c>
      <c r="I64" s="318">
        <v>0</v>
      </c>
      <c r="J64" s="318">
        <v>0</v>
      </c>
      <c r="K64" s="318">
        <v>128675</v>
      </c>
      <c r="L64" s="318">
        <v>32949</v>
      </c>
      <c r="M64" s="318">
        <v>0</v>
      </c>
      <c r="N64" s="318">
        <v>0</v>
      </c>
      <c r="O64" s="318">
        <v>0</v>
      </c>
      <c r="P64" s="321">
        <v>16349</v>
      </c>
      <c r="Q64" s="321">
        <v>0</v>
      </c>
      <c r="R64" s="321">
        <v>455</v>
      </c>
      <c r="S64" s="327">
        <v>0</v>
      </c>
      <c r="T64" s="327">
        <v>0</v>
      </c>
      <c r="U64" s="322">
        <v>582434</v>
      </c>
      <c r="V64" s="321">
        <v>0</v>
      </c>
      <c r="W64" s="321">
        <v>377</v>
      </c>
      <c r="X64" s="321">
        <v>1956</v>
      </c>
      <c r="Y64" s="321">
        <v>4736</v>
      </c>
      <c r="Z64" s="321">
        <v>0</v>
      </c>
      <c r="AA64" s="321">
        <v>0</v>
      </c>
      <c r="AB64" s="328">
        <v>1893551</v>
      </c>
      <c r="AC64" s="321">
        <v>4700</v>
      </c>
      <c r="AD64" s="321">
        <v>0</v>
      </c>
      <c r="AE64" s="321">
        <v>50574</v>
      </c>
      <c r="AF64" s="321">
        <v>0</v>
      </c>
      <c r="AG64" s="321">
        <v>69116</v>
      </c>
      <c r="AH64" s="321">
        <v>0</v>
      </c>
      <c r="AI64" s="321">
        <v>0</v>
      </c>
      <c r="AJ64" s="321">
        <v>29492</v>
      </c>
      <c r="AK64" s="321">
        <v>2961</v>
      </c>
      <c r="AL64" s="321">
        <v>5320</v>
      </c>
      <c r="AM64" s="321">
        <v>0</v>
      </c>
      <c r="AN64" s="321">
        <v>0</v>
      </c>
      <c r="AO64" s="321">
        <v>4502</v>
      </c>
      <c r="AP64" s="321">
        <v>0</v>
      </c>
      <c r="AQ64" s="321">
        <v>0</v>
      </c>
      <c r="AR64" s="321">
        <v>0</v>
      </c>
      <c r="AS64" s="321">
        <v>0</v>
      </c>
      <c r="AT64" s="321">
        <v>0</v>
      </c>
      <c r="AU64" s="321">
        <v>0</v>
      </c>
      <c r="AV64" s="327">
        <v>88</v>
      </c>
      <c r="AW64" s="327">
        <v>0</v>
      </c>
      <c r="AX64" s="327">
        <v>0</v>
      </c>
      <c r="AY64" s="321">
        <v>333159</v>
      </c>
      <c r="AZ64" s="321">
        <v>72354</v>
      </c>
      <c r="BA64" s="327">
        <v>22376</v>
      </c>
      <c r="BB64" s="327">
        <v>0</v>
      </c>
      <c r="BC64" s="327">
        <v>0</v>
      </c>
      <c r="BD64" s="327">
        <v>271204</v>
      </c>
      <c r="BE64" s="321">
        <v>6195</v>
      </c>
      <c r="BF64" s="327">
        <v>73894</v>
      </c>
      <c r="BG64" s="327">
        <v>1892</v>
      </c>
      <c r="BH64" s="327">
        <v>13455</v>
      </c>
      <c r="BI64" s="327">
        <v>0</v>
      </c>
      <c r="BJ64" s="327">
        <v>9813</v>
      </c>
      <c r="BK64" s="327">
        <v>3784</v>
      </c>
      <c r="BL64" s="327">
        <v>9389</v>
      </c>
      <c r="BM64" s="327">
        <v>0</v>
      </c>
      <c r="BN64" s="327">
        <f>4354+65000</f>
        <v>69354</v>
      </c>
      <c r="BO64" s="327">
        <v>0</v>
      </c>
      <c r="BP64" s="327">
        <v>0</v>
      </c>
      <c r="BQ64" s="327">
        <v>0</v>
      </c>
      <c r="BR64" s="327">
        <v>5947</v>
      </c>
      <c r="BS64" s="327">
        <v>0</v>
      </c>
      <c r="BT64" s="327">
        <v>0</v>
      </c>
      <c r="BU64" s="327">
        <v>0</v>
      </c>
      <c r="BV64" s="327">
        <v>3448</v>
      </c>
      <c r="BW64" s="327">
        <v>0</v>
      </c>
      <c r="BX64" s="327">
        <v>0</v>
      </c>
      <c r="BY64" s="327">
        <f>1246+3488</f>
        <v>4734</v>
      </c>
      <c r="BZ64" s="327">
        <v>0</v>
      </c>
      <c r="CA64" s="327">
        <v>0</v>
      </c>
      <c r="CB64" s="327">
        <v>0</v>
      </c>
      <c r="CC64" s="327">
        <v>0</v>
      </c>
      <c r="CD64" s="25" t="s">
        <v>248</v>
      </c>
      <c r="CE64" s="28">
        <f t="shared" si="4"/>
        <v>3749663</v>
      </c>
      <c r="CF64" s="319">
        <v>0</v>
      </c>
    </row>
    <row r="65" spans="1:84" x14ac:dyDescent="0.35">
      <c r="A65" s="35" t="s">
        <v>266</v>
      </c>
      <c r="B65" s="16"/>
      <c r="C65" s="318">
        <v>0</v>
      </c>
      <c r="D65" s="318">
        <v>0</v>
      </c>
      <c r="E65" s="318">
        <v>0</v>
      </c>
      <c r="F65" s="318">
        <v>0</v>
      </c>
      <c r="G65" s="318">
        <v>0</v>
      </c>
      <c r="H65" s="318">
        <v>0</v>
      </c>
      <c r="I65" s="318">
        <v>0</v>
      </c>
      <c r="J65" s="318">
        <v>0</v>
      </c>
      <c r="K65" s="318">
        <v>30763</v>
      </c>
      <c r="L65" s="318">
        <v>0</v>
      </c>
      <c r="M65" s="318">
        <v>0</v>
      </c>
      <c r="N65" s="318">
        <v>0</v>
      </c>
      <c r="O65" s="318">
        <v>0</v>
      </c>
      <c r="P65" s="321">
        <v>0</v>
      </c>
      <c r="Q65" s="321">
        <v>0</v>
      </c>
      <c r="R65" s="321">
        <v>0</v>
      </c>
      <c r="S65" s="327">
        <v>0</v>
      </c>
      <c r="T65" s="327">
        <v>0</v>
      </c>
      <c r="U65" s="322">
        <v>0</v>
      </c>
      <c r="V65" s="321">
        <v>0</v>
      </c>
      <c r="W65" s="321">
        <v>0</v>
      </c>
      <c r="X65" s="321">
        <v>0</v>
      </c>
      <c r="Y65" s="321">
        <v>0</v>
      </c>
      <c r="Z65" s="321">
        <v>0</v>
      </c>
      <c r="AA65" s="321">
        <v>0</v>
      </c>
      <c r="AB65" s="328">
        <v>5405</v>
      </c>
      <c r="AC65" s="321">
        <v>0</v>
      </c>
      <c r="AD65" s="321">
        <v>0</v>
      </c>
      <c r="AE65" s="321">
        <v>4571</v>
      </c>
      <c r="AF65" s="321">
        <v>0</v>
      </c>
      <c r="AG65" s="321">
        <v>0</v>
      </c>
      <c r="AH65" s="321">
        <v>0</v>
      </c>
      <c r="AI65" s="321">
        <v>0</v>
      </c>
      <c r="AJ65" s="321">
        <v>0</v>
      </c>
      <c r="AK65" s="321">
        <v>0</v>
      </c>
      <c r="AL65" s="321">
        <v>0</v>
      </c>
      <c r="AM65" s="321">
        <v>0</v>
      </c>
      <c r="AN65" s="321">
        <v>0</v>
      </c>
      <c r="AO65" s="321">
        <v>0</v>
      </c>
      <c r="AP65" s="321">
        <v>0</v>
      </c>
      <c r="AQ65" s="321">
        <v>0</v>
      </c>
      <c r="AR65" s="321">
        <v>0</v>
      </c>
      <c r="AS65" s="321">
        <v>0</v>
      </c>
      <c r="AT65" s="321">
        <v>0</v>
      </c>
      <c r="AU65" s="321">
        <v>0</v>
      </c>
      <c r="AV65" s="327">
        <v>0</v>
      </c>
      <c r="AW65" s="327">
        <v>0</v>
      </c>
      <c r="AX65" s="327">
        <v>0</v>
      </c>
      <c r="AY65" s="321">
        <v>9600</v>
      </c>
      <c r="AZ65" s="321">
        <v>0</v>
      </c>
      <c r="BA65" s="327">
        <v>31560</v>
      </c>
      <c r="BB65" s="327">
        <v>0</v>
      </c>
      <c r="BC65" s="327">
        <v>0</v>
      </c>
      <c r="BD65" s="327">
        <v>0</v>
      </c>
      <c r="BE65" s="321">
        <v>331186</v>
      </c>
      <c r="BF65" s="327">
        <v>0</v>
      </c>
      <c r="BG65" s="327">
        <v>35282</v>
      </c>
      <c r="BH65" s="327">
        <v>0</v>
      </c>
      <c r="BI65" s="327">
        <v>0</v>
      </c>
      <c r="BJ65" s="327">
        <v>0</v>
      </c>
      <c r="BK65" s="327">
        <v>0</v>
      </c>
      <c r="BL65" s="327">
        <v>0</v>
      </c>
      <c r="BM65" s="327">
        <v>0</v>
      </c>
      <c r="BN65" s="327">
        <v>10257</v>
      </c>
      <c r="BO65" s="327">
        <v>0</v>
      </c>
      <c r="BP65" s="327">
        <v>0</v>
      </c>
      <c r="BQ65" s="327">
        <v>0</v>
      </c>
      <c r="BR65" s="327">
        <v>0</v>
      </c>
      <c r="BS65" s="327">
        <v>0</v>
      </c>
      <c r="BT65" s="327">
        <v>0</v>
      </c>
      <c r="BU65" s="327">
        <v>0</v>
      </c>
      <c r="BV65" s="327">
        <v>0</v>
      </c>
      <c r="BW65" s="327">
        <v>0</v>
      </c>
      <c r="BX65" s="327">
        <v>0</v>
      </c>
      <c r="BY65" s="327">
        <v>0</v>
      </c>
      <c r="BZ65" s="327">
        <v>0</v>
      </c>
      <c r="CA65" s="327">
        <v>0</v>
      </c>
      <c r="CB65" s="327">
        <v>0</v>
      </c>
      <c r="CC65" s="327">
        <v>0</v>
      </c>
      <c r="CD65" s="25" t="s">
        <v>248</v>
      </c>
      <c r="CE65" s="28">
        <f t="shared" si="4"/>
        <v>458624</v>
      </c>
      <c r="CF65" s="319">
        <v>0</v>
      </c>
    </row>
    <row r="66" spans="1:84" x14ac:dyDescent="0.35">
      <c r="A66" s="35" t="s">
        <v>267</v>
      </c>
      <c r="B66" s="16"/>
      <c r="C66" s="318">
        <v>0</v>
      </c>
      <c r="D66" s="318">
        <v>0</v>
      </c>
      <c r="E66" s="318">
        <f>410422+4</f>
        <v>410426</v>
      </c>
      <c r="F66" s="318">
        <v>0</v>
      </c>
      <c r="G66" s="318">
        <v>0</v>
      </c>
      <c r="H66" s="318">
        <v>0</v>
      </c>
      <c r="I66" s="318">
        <v>0</v>
      </c>
      <c r="J66" s="318">
        <v>0</v>
      </c>
      <c r="K66" s="318">
        <v>613230</v>
      </c>
      <c r="L66" s="318">
        <v>661916</v>
      </c>
      <c r="M66" s="318">
        <v>0</v>
      </c>
      <c r="N66" s="318">
        <v>0</v>
      </c>
      <c r="O66" s="318">
        <v>0</v>
      </c>
      <c r="P66" s="321">
        <v>20447</v>
      </c>
      <c r="Q66" s="321">
        <v>130</v>
      </c>
      <c r="R66" s="321">
        <v>1087</v>
      </c>
      <c r="S66" s="327">
        <v>0</v>
      </c>
      <c r="T66" s="327">
        <v>0</v>
      </c>
      <c r="U66" s="322">
        <v>191621</v>
      </c>
      <c r="V66" s="321">
        <v>0</v>
      </c>
      <c r="W66" s="321">
        <v>66022</v>
      </c>
      <c r="X66" s="321">
        <v>342245</v>
      </c>
      <c r="Y66" s="321">
        <v>828800</v>
      </c>
      <c r="Z66" s="321">
        <v>0</v>
      </c>
      <c r="AA66" s="321">
        <v>0</v>
      </c>
      <c r="AB66" s="328">
        <v>210907</v>
      </c>
      <c r="AC66" s="321">
        <v>52133</v>
      </c>
      <c r="AD66" s="321">
        <v>0</v>
      </c>
      <c r="AE66" s="321">
        <v>97932</v>
      </c>
      <c r="AF66" s="321">
        <v>0</v>
      </c>
      <c r="AG66" s="321">
        <v>3176850</v>
      </c>
      <c r="AH66" s="321">
        <v>0</v>
      </c>
      <c r="AI66" s="321">
        <v>0</v>
      </c>
      <c r="AJ66" s="321">
        <v>70094</v>
      </c>
      <c r="AK66" s="321">
        <v>3082</v>
      </c>
      <c r="AL66" s="321">
        <v>3122</v>
      </c>
      <c r="AM66" s="321">
        <v>0</v>
      </c>
      <c r="AN66" s="321">
        <v>0</v>
      </c>
      <c r="AO66" s="321">
        <v>90454</v>
      </c>
      <c r="AP66" s="321">
        <v>0</v>
      </c>
      <c r="AQ66" s="321">
        <v>0</v>
      </c>
      <c r="AR66" s="321">
        <v>0</v>
      </c>
      <c r="AS66" s="321">
        <v>0</v>
      </c>
      <c r="AT66" s="321">
        <v>0</v>
      </c>
      <c r="AU66" s="321">
        <v>0</v>
      </c>
      <c r="AV66" s="327">
        <v>99648</v>
      </c>
      <c r="AW66" s="327">
        <v>0</v>
      </c>
      <c r="AX66" s="327">
        <v>0</v>
      </c>
      <c r="AY66" s="321">
        <v>17122</v>
      </c>
      <c r="AZ66" s="321">
        <v>8816</v>
      </c>
      <c r="BA66" s="327">
        <v>4106</v>
      </c>
      <c r="BB66" s="327">
        <v>996</v>
      </c>
      <c r="BC66" s="327">
        <v>0</v>
      </c>
      <c r="BD66" s="327">
        <v>1126</v>
      </c>
      <c r="BE66" s="321">
        <v>39886</v>
      </c>
      <c r="BF66" s="327">
        <v>25090</v>
      </c>
      <c r="BG66" s="327">
        <v>10445</v>
      </c>
      <c r="BH66" s="327">
        <v>466303</v>
      </c>
      <c r="BI66" s="327">
        <v>0</v>
      </c>
      <c r="BJ66" s="327">
        <v>9039</v>
      </c>
      <c r="BK66" s="327">
        <v>98558</v>
      </c>
      <c r="BL66" s="327">
        <v>5275</v>
      </c>
      <c r="BM66" s="327">
        <v>0</v>
      </c>
      <c r="BN66" s="327">
        <v>181703</v>
      </c>
      <c r="BO66" s="327">
        <v>0</v>
      </c>
      <c r="BP66" s="327">
        <v>0</v>
      </c>
      <c r="BQ66" s="327">
        <v>0</v>
      </c>
      <c r="BR66" s="327">
        <v>12342</v>
      </c>
      <c r="BS66" s="327">
        <v>0</v>
      </c>
      <c r="BT66" s="327">
        <v>0</v>
      </c>
      <c r="BU66" s="327">
        <v>0</v>
      </c>
      <c r="BV66" s="327">
        <v>40683</v>
      </c>
      <c r="BW66" s="327">
        <v>0</v>
      </c>
      <c r="BX66" s="327">
        <v>0</v>
      </c>
      <c r="BY66" s="327">
        <f>2146+10730</f>
        <v>12876</v>
      </c>
      <c r="BZ66" s="327">
        <v>0</v>
      </c>
      <c r="CA66" s="327">
        <v>0</v>
      </c>
      <c r="CB66" s="327">
        <v>0</v>
      </c>
      <c r="CC66" s="327">
        <v>0</v>
      </c>
      <c r="CD66" s="25" t="s">
        <v>248</v>
      </c>
      <c r="CE66" s="28">
        <f t="shared" si="4"/>
        <v>7874512</v>
      </c>
      <c r="CF66" s="319">
        <v>0</v>
      </c>
    </row>
    <row r="67" spans="1:84" x14ac:dyDescent="0.35">
      <c r="A67" s="35" t="s">
        <v>16</v>
      </c>
      <c r="B67" s="16"/>
      <c r="C67" s="28">
        <f t="shared" ref="C67:BN67" si="7">ROUND(C51+C52,0)</f>
        <v>0</v>
      </c>
      <c r="D67" s="28">
        <f t="shared" si="7"/>
        <v>0</v>
      </c>
      <c r="E67" s="28">
        <f t="shared" si="7"/>
        <v>34754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239944</v>
      </c>
      <c r="L67" s="28">
        <f t="shared" si="7"/>
        <v>56046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8">
        <f t="shared" si="7"/>
        <v>38541</v>
      </c>
      <c r="Q67" s="28">
        <f t="shared" si="7"/>
        <v>10157</v>
      </c>
      <c r="R67" s="28">
        <f t="shared" si="7"/>
        <v>8837</v>
      </c>
      <c r="S67" s="28">
        <f t="shared" si="7"/>
        <v>11121</v>
      </c>
      <c r="T67" s="28">
        <f t="shared" si="7"/>
        <v>0</v>
      </c>
      <c r="U67" s="28">
        <f t="shared" si="7"/>
        <v>30427</v>
      </c>
      <c r="V67" s="28">
        <f t="shared" si="7"/>
        <v>0</v>
      </c>
      <c r="W67" s="28">
        <f t="shared" si="7"/>
        <v>2738</v>
      </c>
      <c r="X67" s="28">
        <f t="shared" si="7"/>
        <v>14199</v>
      </c>
      <c r="Y67" s="28">
        <f t="shared" si="7"/>
        <v>34399</v>
      </c>
      <c r="Z67" s="28">
        <f t="shared" si="7"/>
        <v>0</v>
      </c>
      <c r="AA67" s="28">
        <f t="shared" si="7"/>
        <v>0</v>
      </c>
      <c r="AB67" s="28">
        <f t="shared" si="7"/>
        <v>13363</v>
      </c>
      <c r="AC67" s="28">
        <f t="shared" si="7"/>
        <v>2454</v>
      </c>
      <c r="AD67" s="28">
        <f t="shared" si="7"/>
        <v>0</v>
      </c>
      <c r="AE67" s="28">
        <f t="shared" si="7"/>
        <v>120135</v>
      </c>
      <c r="AF67" s="28">
        <f t="shared" si="7"/>
        <v>0</v>
      </c>
      <c r="AG67" s="28">
        <f t="shared" si="7"/>
        <v>137370</v>
      </c>
      <c r="AH67" s="28">
        <f t="shared" si="7"/>
        <v>0</v>
      </c>
      <c r="AI67" s="28">
        <f t="shared" si="7"/>
        <v>0</v>
      </c>
      <c r="AJ67" s="28">
        <f t="shared" si="7"/>
        <v>90261</v>
      </c>
      <c r="AK67" s="28">
        <f t="shared" si="7"/>
        <v>0</v>
      </c>
      <c r="AL67" s="28">
        <f t="shared" si="7"/>
        <v>0</v>
      </c>
      <c r="AM67" s="28">
        <f t="shared" si="7"/>
        <v>0</v>
      </c>
      <c r="AN67" s="28">
        <f t="shared" si="7"/>
        <v>0</v>
      </c>
      <c r="AO67" s="28">
        <f t="shared" si="7"/>
        <v>7660</v>
      </c>
      <c r="AP67" s="28">
        <f t="shared" si="7"/>
        <v>0</v>
      </c>
      <c r="AQ67" s="28">
        <f t="shared" si="7"/>
        <v>0</v>
      </c>
      <c r="AR67" s="28">
        <f t="shared" si="7"/>
        <v>0</v>
      </c>
      <c r="AS67" s="28">
        <f t="shared" si="7"/>
        <v>0</v>
      </c>
      <c r="AT67" s="28">
        <f t="shared" si="7"/>
        <v>0</v>
      </c>
      <c r="AU67" s="28">
        <f t="shared" si="7"/>
        <v>0</v>
      </c>
      <c r="AV67" s="28">
        <f t="shared" si="7"/>
        <v>12682</v>
      </c>
      <c r="AW67" s="28">
        <f t="shared" si="7"/>
        <v>0</v>
      </c>
      <c r="AX67" s="28">
        <f t="shared" si="7"/>
        <v>0</v>
      </c>
      <c r="AY67" s="28">
        <f t="shared" si="7"/>
        <v>53039</v>
      </c>
      <c r="AZ67" s="28">
        <f t="shared" si="7"/>
        <v>0</v>
      </c>
      <c r="BA67" s="28">
        <f t="shared" si="7"/>
        <v>29406</v>
      </c>
      <c r="BB67" s="28">
        <f t="shared" si="7"/>
        <v>0</v>
      </c>
      <c r="BC67" s="28">
        <f t="shared" si="7"/>
        <v>0</v>
      </c>
      <c r="BD67" s="28">
        <f t="shared" si="7"/>
        <v>0</v>
      </c>
      <c r="BE67" s="28">
        <f t="shared" si="7"/>
        <v>133427</v>
      </c>
      <c r="BF67" s="28">
        <f t="shared" si="7"/>
        <v>21221</v>
      </c>
      <c r="BG67" s="28">
        <f t="shared" si="7"/>
        <v>10497</v>
      </c>
      <c r="BH67" s="28">
        <f t="shared" si="7"/>
        <v>20640</v>
      </c>
      <c r="BI67" s="28">
        <f t="shared" si="7"/>
        <v>0</v>
      </c>
      <c r="BJ67" s="28">
        <f t="shared" si="7"/>
        <v>34555</v>
      </c>
      <c r="BK67" s="28">
        <f t="shared" si="7"/>
        <v>0</v>
      </c>
      <c r="BL67" s="28">
        <f t="shared" si="7"/>
        <v>32314</v>
      </c>
      <c r="BM67" s="28">
        <f t="shared" si="7"/>
        <v>0</v>
      </c>
      <c r="BN67" s="28">
        <f t="shared" si="7"/>
        <v>43421</v>
      </c>
      <c r="BO67" s="28">
        <f t="shared" ref="BO67:CC67" si="8">ROUND(BO51+BO52,0)</f>
        <v>0</v>
      </c>
      <c r="BP67" s="28">
        <f t="shared" si="8"/>
        <v>0</v>
      </c>
      <c r="BQ67" s="28">
        <f t="shared" si="8"/>
        <v>0</v>
      </c>
      <c r="BR67" s="28">
        <f t="shared" si="8"/>
        <v>37563</v>
      </c>
      <c r="BS67" s="28">
        <f t="shared" si="8"/>
        <v>0</v>
      </c>
      <c r="BT67" s="28">
        <f t="shared" si="8"/>
        <v>0</v>
      </c>
      <c r="BU67" s="28">
        <f t="shared" si="8"/>
        <v>0</v>
      </c>
      <c r="BV67" s="28">
        <f t="shared" si="8"/>
        <v>18412</v>
      </c>
      <c r="BW67" s="28">
        <f t="shared" si="8"/>
        <v>0</v>
      </c>
      <c r="BX67" s="28">
        <f t="shared" si="8"/>
        <v>0</v>
      </c>
      <c r="BY67" s="28">
        <f t="shared" si="8"/>
        <v>8000</v>
      </c>
      <c r="BZ67" s="28">
        <f t="shared" si="8"/>
        <v>0</v>
      </c>
      <c r="CA67" s="28">
        <f t="shared" si="8"/>
        <v>0</v>
      </c>
      <c r="CB67" s="28">
        <f t="shared" si="8"/>
        <v>0</v>
      </c>
      <c r="CC67" s="28">
        <f t="shared" si="8"/>
        <v>0</v>
      </c>
      <c r="CD67" s="25" t="s">
        <v>248</v>
      </c>
      <c r="CE67" s="28">
        <f t="shared" si="4"/>
        <v>1307583</v>
      </c>
      <c r="CF67" s="319">
        <v>0</v>
      </c>
    </row>
    <row r="68" spans="1:84" x14ac:dyDescent="0.35">
      <c r="A68" s="35" t="s">
        <v>268</v>
      </c>
      <c r="B68" s="28"/>
      <c r="C68" s="318">
        <v>0</v>
      </c>
      <c r="D68" s="318">
        <v>0</v>
      </c>
      <c r="E68" s="318">
        <v>7247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11688</v>
      </c>
      <c r="M68" s="318">
        <v>0</v>
      </c>
      <c r="N68" s="318">
        <v>0</v>
      </c>
      <c r="O68" s="318">
        <v>0</v>
      </c>
      <c r="P68" s="321">
        <v>0</v>
      </c>
      <c r="Q68" s="321">
        <v>0</v>
      </c>
      <c r="R68" s="321">
        <v>0</v>
      </c>
      <c r="S68" s="327">
        <v>0</v>
      </c>
      <c r="T68" s="327">
        <v>0</v>
      </c>
      <c r="U68" s="322">
        <v>0</v>
      </c>
      <c r="V68" s="321">
        <v>0</v>
      </c>
      <c r="W68" s="321">
        <v>10526</v>
      </c>
      <c r="X68" s="321">
        <v>54564</v>
      </c>
      <c r="Y68" s="321">
        <v>132135</v>
      </c>
      <c r="Z68" s="321">
        <v>0</v>
      </c>
      <c r="AA68" s="321">
        <v>0</v>
      </c>
      <c r="AB68" s="328">
        <v>76721</v>
      </c>
      <c r="AC68" s="321">
        <v>0</v>
      </c>
      <c r="AD68" s="321">
        <v>0</v>
      </c>
      <c r="AE68" s="321">
        <v>15600</v>
      </c>
      <c r="AF68" s="321">
        <v>0</v>
      </c>
      <c r="AG68" s="321">
        <v>0</v>
      </c>
      <c r="AH68" s="321">
        <v>0</v>
      </c>
      <c r="AI68" s="321">
        <v>0</v>
      </c>
      <c r="AJ68" s="321">
        <v>0</v>
      </c>
      <c r="AK68" s="321">
        <v>0</v>
      </c>
      <c r="AL68" s="321">
        <v>0</v>
      </c>
      <c r="AM68" s="321">
        <v>0</v>
      </c>
      <c r="AN68" s="321"/>
      <c r="AO68" s="321">
        <v>1597</v>
      </c>
      <c r="AP68" s="321">
        <v>0</v>
      </c>
      <c r="AQ68" s="321">
        <v>0</v>
      </c>
      <c r="AR68" s="321">
        <v>0</v>
      </c>
      <c r="AS68" s="321">
        <v>0</v>
      </c>
      <c r="AT68" s="321">
        <v>0</v>
      </c>
      <c r="AU68" s="321">
        <v>0</v>
      </c>
      <c r="AV68" s="327">
        <v>0</v>
      </c>
      <c r="AW68" s="327">
        <v>0</v>
      </c>
      <c r="AX68" s="327">
        <v>0</v>
      </c>
      <c r="AY68" s="321">
        <v>515</v>
      </c>
      <c r="AZ68" s="321">
        <v>6744</v>
      </c>
      <c r="BA68" s="327">
        <v>0</v>
      </c>
      <c r="BB68" s="327">
        <v>0</v>
      </c>
      <c r="BC68" s="327">
        <v>0</v>
      </c>
      <c r="BD68" s="327">
        <v>0</v>
      </c>
      <c r="BE68" s="321">
        <v>391</v>
      </c>
      <c r="BF68" s="327">
        <v>0</v>
      </c>
      <c r="BG68" s="327">
        <v>0</v>
      </c>
      <c r="BH68" s="327">
        <v>0</v>
      </c>
      <c r="BI68" s="327">
        <v>0</v>
      </c>
      <c r="BJ68" s="327">
        <v>0</v>
      </c>
      <c r="BK68" s="327">
        <v>0</v>
      </c>
      <c r="BL68" s="327">
        <v>0</v>
      </c>
      <c r="BM68" s="327">
        <v>0</v>
      </c>
      <c r="BN68" s="327">
        <v>129289</v>
      </c>
      <c r="BO68" s="327">
        <v>0</v>
      </c>
      <c r="BP68" s="327">
        <v>0</v>
      </c>
      <c r="BQ68" s="327">
        <v>0</v>
      </c>
      <c r="BR68" s="327">
        <v>0</v>
      </c>
      <c r="BS68" s="327">
        <v>0</v>
      </c>
      <c r="BT68" s="327">
        <v>0</v>
      </c>
      <c r="BU68" s="327">
        <v>0</v>
      </c>
      <c r="BV68" s="327">
        <v>17473</v>
      </c>
      <c r="BW68" s="327">
        <v>0</v>
      </c>
      <c r="BX68" s="327">
        <v>0</v>
      </c>
      <c r="BY68" s="327">
        <v>0</v>
      </c>
      <c r="BZ68" s="327">
        <v>0</v>
      </c>
      <c r="CA68" s="327">
        <v>0</v>
      </c>
      <c r="CB68" s="327">
        <v>0</v>
      </c>
      <c r="CC68" s="327">
        <v>0</v>
      </c>
      <c r="CD68" s="25" t="s">
        <v>248</v>
      </c>
      <c r="CE68" s="28">
        <f t="shared" si="4"/>
        <v>464490</v>
      </c>
      <c r="CF68" s="319">
        <v>0</v>
      </c>
    </row>
    <row r="69" spans="1:84" x14ac:dyDescent="0.35">
      <c r="A69" s="35" t="s">
        <v>269</v>
      </c>
      <c r="B69" s="16"/>
      <c r="C69" s="28">
        <f t="shared" ref="C69:BN69" si="9">SUM(C70:C83)</f>
        <v>0</v>
      </c>
      <c r="D69" s="28">
        <f t="shared" si="9"/>
        <v>0</v>
      </c>
      <c r="E69" s="28">
        <f t="shared" si="9"/>
        <v>18134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I69" s="28">
        <f t="shared" si="9"/>
        <v>0</v>
      </c>
      <c r="J69" s="28">
        <f t="shared" si="9"/>
        <v>0</v>
      </c>
      <c r="K69" s="28">
        <f t="shared" si="9"/>
        <v>34743</v>
      </c>
      <c r="L69" s="28">
        <f t="shared" si="9"/>
        <v>29246</v>
      </c>
      <c r="M69" s="28">
        <f t="shared" si="9"/>
        <v>0</v>
      </c>
      <c r="N69" s="28">
        <f t="shared" si="9"/>
        <v>0</v>
      </c>
      <c r="O69" s="28">
        <f t="shared" si="9"/>
        <v>0</v>
      </c>
      <c r="P69" s="28">
        <f t="shared" si="9"/>
        <v>24818</v>
      </c>
      <c r="Q69" s="28">
        <f t="shared" si="9"/>
        <v>0</v>
      </c>
      <c r="R69" s="28">
        <f t="shared" si="9"/>
        <v>5937</v>
      </c>
      <c r="S69" s="28">
        <f t="shared" si="9"/>
        <v>0</v>
      </c>
      <c r="T69" s="28">
        <f t="shared" si="9"/>
        <v>0</v>
      </c>
      <c r="U69" s="28">
        <f t="shared" si="9"/>
        <v>61324</v>
      </c>
      <c r="V69" s="28">
        <f t="shared" si="9"/>
        <v>0</v>
      </c>
      <c r="W69" s="28">
        <f t="shared" si="9"/>
        <v>7904</v>
      </c>
      <c r="X69" s="28">
        <f t="shared" si="9"/>
        <v>40972</v>
      </c>
      <c r="Y69" s="28">
        <f t="shared" si="9"/>
        <v>99220</v>
      </c>
      <c r="Z69" s="28">
        <f t="shared" si="9"/>
        <v>0</v>
      </c>
      <c r="AA69" s="28">
        <f t="shared" si="9"/>
        <v>0</v>
      </c>
      <c r="AB69" s="28">
        <f t="shared" si="9"/>
        <v>37366</v>
      </c>
      <c r="AC69" s="28">
        <f t="shared" si="9"/>
        <v>4960</v>
      </c>
      <c r="AD69" s="28">
        <f t="shared" si="9"/>
        <v>0</v>
      </c>
      <c r="AE69" s="28">
        <f t="shared" si="9"/>
        <v>15509</v>
      </c>
      <c r="AF69" s="28">
        <f t="shared" si="9"/>
        <v>0</v>
      </c>
      <c r="AG69" s="28">
        <f t="shared" si="9"/>
        <v>6663</v>
      </c>
      <c r="AH69" s="28">
        <f t="shared" si="9"/>
        <v>0</v>
      </c>
      <c r="AI69" s="28">
        <f t="shared" si="9"/>
        <v>0</v>
      </c>
      <c r="AJ69" s="28">
        <f t="shared" si="9"/>
        <v>15162</v>
      </c>
      <c r="AK69" s="28">
        <f t="shared" si="9"/>
        <v>3505</v>
      </c>
      <c r="AL69" s="28">
        <f t="shared" si="9"/>
        <v>0</v>
      </c>
      <c r="AM69" s="28">
        <f t="shared" si="9"/>
        <v>0</v>
      </c>
      <c r="AN69" s="28">
        <f t="shared" si="9"/>
        <v>0</v>
      </c>
      <c r="AO69" s="28">
        <f t="shared" si="9"/>
        <v>3997</v>
      </c>
      <c r="AP69" s="28">
        <f t="shared" si="9"/>
        <v>0</v>
      </c>
      <c r="AQ69" s="28">
        <f t="shared" si="9"/>
        <v>0</v>
      </c>
      <c r="AR69" s="28">
        <f t="shared" si="9"/>
        <v>0</v>
      </c>
      <c r="AS69" s="28">
        <f t="shared" si="9"/>
        <v>0</v>
      </c>
      <c r="AT69" s="28">
        <f t="shared" si="9"/>
        <v>0</v>
      </c>
      <c r="AU69" s="28">
        <f t="shared" si="9"/>
        <v>0</v>
      </c>
      <c r="AV69" s="28">
        <f t="shared" si="9"/>
        <v>4049</v>
      </c>
      <c r="AW69" s="28">
        <f t="shared" si="9"/>
        <v>0</v>
      </c>
      <c r="AX69" s="28">
        <f t="shared" si="9"/>
        <v>0</v>
      </c>
      <c r="AY69" s="28">
        <f t="shared" si="9"/>
        <v>1603</v>
      </c>
      <c r="AZ69" s="28">
        <f t="shared" si="9"/>
        <v>1245</v>
      </c>
      <c r="BA69" s="28">
        <f t="shared" si="9"/>
        <v>791</v>
      </c>
      <c r="BB69" s="28">
        <f t="shared" si="9"/>
        <v>0</v>
      </c>
      <c r="BC69" s="28">
        <f t="shared" si="9"/>
        <v>0</v>
      </c>
      <c r="BD69" s="28">
        <f t="shared" si="9"/>
        <v>3181</v>
      </c>
      <c r="BE69" s="28">
        <f t="shared" si="9"/>
        <v>201106</v>
      </c>
      <c r="BF69" s="28">
        <f t="shared" si="9"/>
        <v>1499</v>
      </c>
      <c r="BG69" s="28">
        <f t="shared" si="9"/>
        <v>0</v>
      </c>
      <c r="BH69" s="28">
        <f t="shared" si="9"/>
        <v>43557</v>
      </c>
      <c r="BI69" s="28">
        <f t="shared" si="9"/>
        <v>0</v>
      </c>
      <c r="BJ69" s="28">
        <f t="shared" si="9"/>
        <v>44760</v>
      </c>
      <c r="BK69" s="28">
        <f t="shared" si="9"/>
        <v>575</v>
      </c>
      <c r="BL69" s="28">
        <f t="shared" si="9"/>
        <v>347</v>
      </c>
      <c r="BM69" s="28">
        <f t="shared" si="9"/>
        <v>0</v>
      </c>
      <c r="BN69" s="28">
        <f t="shared" si="9"/>
        <v>94276</v>
      </c>
      <c r="BO69" s="28">
        <f t="shared" ref="BO69:CD69" si="10">SUM(BO70:BO83)</f>
        <v>0</v>
      </c>
      <c r="BP69" s="28">
        <f t="shared" si="10"/>
        <v>0</v>
      </c>
      <c r="BQ69" s="28">
        <f t="shared" si="10"/>
        <v>0</v>
      </c>
      <c r="BR69" s="28">
        <f t="shared" si="10"/>
        <v>99735</v>
      </c>
      <c r="BS69" s="28">
        <f t="shared" si="10"/>
        <v>0</v>
      </c>
      <c r="BT69" s="28">
        <f t="shared" si="10"/>
        <v>0</v>
      </c>
      <c r="BU69" s="28">
        <f t="shared" si="10"/>
        <v>0</v>
      </c>
      <c r="BV69" s="28">
        <f t="shared" si="10"/>
        <v>7978</v>
      </c>
      <c r="BW69" s="28">
        <f t="shared" si="10"/>
        <v>0</v>
      </c>
      <c r="BX69" s="28">
        <f t="shared" si="10"/>
        <v>0</v>
      </c>
      <c r="BY69" s="28">
        <f t="shared" si="10"/>
        <v>25669</v>
      </c>
      <c r="BZ69" s="28">
        <f t="shared" si="10"/>
        <v>0</v>
      </c>
      <c r="CA69" s="28">
        <f t="shared" si="10"/>
        <v>0</v>
      </c>
      <c r="CB69" s="28">
        <f t="shared" si="10"/>
        <v>0</v>
      </c>
      <c r="CC69" s="28">
        <f t="shared" si="10"/>
        <v>0</v>
      </c>
      <c r="CD69" s="28">
        <f t="shared" si="10"/>
        <v>744236</v>
      </c>
      <c r="CE69" s="28">
        <f>SUM(CE70:CE83)</f>
        <v>1684067</v>
      </c>
      <c r="CF69" s="319">
        <v>0</v>
      </c>
    </row>
    <row r="70" spans="1:84" x14ac:dyDescent="0.35">
      <c r="A70" s="29" t="s">
        <v>270</v>
      </c>
      <c r="B70" s="30"/>
      <c r="C70" s="329">
        <v>0</v>
      </c>
      <c r="D70" s="329">
        <v>0</v>
      </c>
      <c r="E70" s="329">
        <v>0</v>
      </c>
      <c r="F70" s="329">
        <v>0</v>
      </c>
      <c r="G70" s="329">
        <v>0</v>
      </c>
      <c r="H70" s="329">
        <v>0</v>
      </c>
      <c r="I70" s="329">
        <v>0</v>
      </c>
      <c r="J70" s="329">
        <v>0</v>
      </c>
      <c r="K70" s="329">
        <v>0</v>
      </c>
      <c r="L70" s="329">
        <v>0</v>
      </c>
      <c r="M70" s="329">
        <v>0</v>
      </c>
      <c r="N70" s="329">
        <v>0</v>
      </c>
      <c r="O70" s="329">
        <v>0</v>
      </c>
      <c r="P70" s="329">
        <v>0</v>
      </c>
      <c r="Q70" s="329">
        <v>0</v>
      </c>
      <c r="R70" s="329">
        <v>0</v>
      </c>
      <c r="S70" s="329">
        <v>0</v>
      </c>
      <c r="T70" s="329">
        <v>0</v>
      </c>
      <c r="U70" s="329">
        <v>0</v>
      </c>
      <c r="V70" s="329">
        <v>0</v>
      </c>
      <c r="W70" s="329">
        <v>0</v>
      </c>
      <c r="X70" s="329">
        <v>0</v>
      </c>
      <c r="Y70" s="329">
        <v>0</v>
      </c>
      <c r="Z70" s="329">
        <v>0</v>
      </c>
      <c r="AA70" s="329">
        <v>0</v>
      </c>
      <c r="AB70" s="329">
        <v>0</v>
      </c>
      <c r="AC70" s="329">
        <v>0</v>
      </c>
      <c r="AD70" s="329">
        <v>0</v>
      </c>
      <c r="AE70" s="329">
        <v>0</v>
      </c>
      <c r="AF70" s="329">
        <v>0</v>
      </c>
      <c r="AG70" s="329">
        <v>0</v>
      </c>
      <c r="AH70" s="329">
        <v>0</v>
      </c>
      <c r="AI70" s="329">
        <v>0</v>
      </c>
      <c r="AJ70" s="329">
        <v>0</v>
      </c>
      <c r="AK70" s="329">
        <v>0</v>
      </c>
      <c r="AL70" s="329">
        <v>0</v>
      </c>
      <c r="AM70" s="329">
        <v>0</v>
      </c>
      <c r="AN70" s="329">
        <v>0</v>
      </c>
      <c r="AO70" s="329">
        <v>0</v>
      </c>
      <c r="AP70" s="329">
        <v>0</v>
      </c>
      <c r="AQ70" s="329">
        <v>0</v>
      </c>
      <c r="AR70" s="329">
        <v>0</v>
      </c>
      <c r="AS70" s="329">
        <v>0</v>
      </c>
      <c r="AT70" s="329">
        <v>0</v>
      </c>
      <c r="AU70" s="329">
        <v>0</v>
      </c>
      <c r="AV70" s="329">
        <v>0</v>
      </c>
      <c r="AW70" s="329">
        <v>0</v>
      </c>
      <c r="AX70" s="329">
        <v>0</v>
      </c>
      <c r="AY70" s="329">
        <v>0</v>
      </c>
      <c r="AZ70" s="329">
        <v>0</v>
      </c>
      <c r="BA70" s="329">
        <v>0</v>
      </c>
      <c r="BB70" s="329">
        <v>0</v>
      </c>
      <c r="BC70" s="329">
        <v>0</v>
      </c>
      <c r="BD70" s="329">
        <v>0</v>
      </c>
      <c r="BE70" s="329">
        <v>0</v>
      </c>
      <c r="BF70" s="329">
        <v>0</v>
      </c>
      <c r="BG70" s="329">
        <v>0</v>
      </c>
      <c r="BH70" s="329">
        <v>0</v>
      </c>
      <c r="BI70" s="329">
        <v>0</v>
      </c>
      <c r="BJ70" s="329">
        <v>0</v>
      </c>
      <c r="BK70" s="329">
        <v>0</v>
      </c>
      <c r="BL70" s="329">
        <v>0</v>
      </c>
      <c r="BM70" s="329">
        <v>0</v>
      </c>
      <c r="BN70" s="329">
        <v>0</v>
      </c>
      <c r="BO70" s="329">
        <v>0</v>
      </c>
      <c r="BP70" s="329">
        <v>0</v>
      </c>
      <c r="BQ70" s="329">
        <v>0</v>
      </c>
      <c r="BR70" s="329">
        <v>0</v>
      </c>
      <c r="BS70" s="329">
        <v>0</v>
      </c>
      <c r="BT70" s="329">
        <v>0</v>
      </c>
      <c r="BU70" s="329">
        <v>0</v>
      </c>
      <c r="BV70" s="329">
        <v>0</v>
      </c>
      <c r="BW70" s="329">
        <v>0</v>
      </c>
      <c r="BX70" s="329">
        <v>0</v>
      </c>
      <c r="BY70" s="329">
        <v>0</v>
      </c>
      <c r="BZ70" s="329">
        <v>0</v>
      </c>
      <c r="CA70" s="329">
        <v>0</v>
      </c>
      <c r="CB70" s="329">
        <v>0</v>
      </c>
      <c r="CC70" s="329">
        <v>0</v>
      </c>
      <c r="CD70" s="329">
        <v>0</v>
      </c>
      <c r="CE70" s="28">
        <f>SUM(C70:CD70)</f>
        <v>0</v>
      </c>
      <c r="CF70" s="319">
        <v>0</v>
      </c>
    </row>
    <row r="71" spans="1:84" x14ac:dyDescent="0.35">
      <c r="A71" s="29" t="s">
        <v>271</v>
      </c>
      <c r="B71" s="30"/>
      <c r="C71" s="329">
        <v>0</v>
      </c>
      <c r="D71" s="329">
        <v>0</v>
      </c>
      <c r="E71" s="329">
        <v>0</v>
      </c>
      <c r="F71" s="329">
        <v>0</v>
      </c>
      <c r="G71" s="329">
        <v>0</v>
      </c>
      <c r="H71" s="329">
        <v>0</v>
      </c>
      <c r="I71" s="329">
        <v>0</v>
      </c>
      <c r="J71" s="329">
        <v>0</v>
      </c>
      <c r="K71" s="329">
        <v>0</v>
      </c>
      <c r="L71" s="329">
        <v>0</v>
      </c>
      <c r="M71" s="329">
        <v>0</v>
      </c>
      <c r="N71" s="329">
        <v>0</v>
      </c>
      <c r="O71" s="329">
        <v>0</v>
      </c>
      <c r="P71" s="329">
        <v>0</v>
      </c>
      <c r="Q71" s="329">
        <v>0</v>
      </c>
      <c r="R71" s="329">
        <v>0</v>
      </c>
      <c r="S71" s="329">
        <v>0</v>
      </c>
      <c r="T71" s="329">
        <v>0</v>
      </c>
      <c r="U71" s="329">
        <v>0</v>
      </c>
      <c r="V71" s="329">
        <v>0</v>
      </c>
      <c r="W71" s="329">
        <v>0</v>
      </c>
      <c r="X71" s="329">
        <v>0</v>
      </c>
      <c r="Y71" s="329">
        <v>0</v>
      </c>
      <c r="Z71" s="329">
        <v>0</v>
      </c>
      <c r="AA71" s="329">
        <v>0</v>
      </c>
      <c r="AB71" s="329">
        <v>0</v>
      </c>
      <c r="AC71" s="329">
        <v>0</v>
      </c>
      <c r="AD71" s="329">
        <v>0</v>
      </c>
      <c r="AE71" s="329">
        <v>0</v>
      </c>
      <c r="AF71" s="329">
        <v>0</v>
      </c>
      <c r="AG71" s="329">
        <v>0</v>
      </c>
      <c r="AH71" s="329">
        <v>0</v>
      </c>
      <c r="AI71" s="329">
        <v>0</v>
      </c>
      <c r="AJ71" s="329">
        <v>0</v>
      </c>
      <c r="AK71" s="329">
        <v>0</v>
      </c>
      <c r="AL71" s="329">
        <v>0</v>
      </c>
      <c r="AM71" s="329">
        <v>0</v>
      </c>
      <c r="AN71" s="329">
        <v>0</v>
      </c>
      <c r="AO71" s="329">
        <v>0</v>
      </c>
      <c r="AP71" s="329">
        <v>0</v>
      </c>
      <c r="AQ71" s="329">
        <v>0</v>
      </c>
      <c r="AR71" s="329">
        <v>0</v>
      </c>
      <c r="AS71" s="329">
        <v>0</v>
      </c>
      <c r="AT71" s="329">
        <v>0</v>
      </c>
      <c r="AU71" s="329">
        <v>0</v>
      </c>
      <c r="AV71" s="329">
        <v>0</v>
      </c>
      <c r="AW71" s="329">
        <v>0</v>
      </c>
      <c r="AX71" s="329">
        <v>0</v>
      </c>
      <c r="AY71" s="329">
        <v>0</v>
      </c>
      <c r="AZ71" s="329">
        <v>0</v>
      </c>
      <c r="BA71" s="329">
        <v>0</v>
      </c>
      <c r="BB71" s="329">
        <v>0</v>
      </c>
      <c r="BC71" s="329">
        <v>0</v>
      </c>
      <c r="BD71" s="329">
        <v>0</v>
      </c>
      <c r="BE71" s="329">
        <v>0</v>
      </c>
      <c r="BF71" s="329">
        <v>0</v>
      </c>
      <c r="BG71" s="329">
        <v>0</v>
      </c>
      <c r="BH71" s="329">
        <v>0</v>
      </c>
      <c r="BI71" s="329">
        <v>0</v>
      </c>
      <c r="BJ71" s="329">
        <v>0</v>
      </c>
      <c r="BK71" s="329">
        <v>0</v>
      </c>
      <c r="BL71" s="329">
        <v>0</v>
      </c>
      <c r="BM71" s="329">
        <v>0</v>
      </c>
      <c r="BN71" s="329">
        <v>0</v>
      </c>
      <c r="BO71" s="329">
        <v>0</v>
      </c>
      <c r="BP71" s="329">
        <v>0</v>
      </c>
      <c r="BQ71" s="329">
        <v>0</v>
      </c>
      <c r="BR71" s="329">
        <v>0</v>
      </c>
      <c r="BS71" s="329">
        <v>0</v>
      </c>
      <c r="BT71" s="329">
        <v>0</v>
      </c>
      <c r="BU71" s="329">
        <v>0</v>
      </c>
      <c r="BV71" s="329">
        <v>0</v>
      </c>
      <c r="BW71" s="329">
        <v>0</v>
      </c>
      <c r="BX71" s="329">
        <v>0</v>
      </c>
      <c r="BY71" s="329">
        <v>0</v>
      </c>
      <c r="BZ71" s="329">
        <v>0</v>
      </c>
      <c r="CA71" s="329">
        <v>0</v>
      </c>
      <c r="CB71" s="329">
        <v>0</v>
      </c>
      <c r="CC71" s="329">
        <v>0</v>
      </c>
      <c r="CD71" s="329">
        <v>0</v>
      </c>
      <c r="CE71" s="28">
        <f t="shared" ref="CE71:CE85" si="11">SUM(C71:CD71)</f>
        <v>0</v>
      </c>
      <c r="CF71" s="319">
        <v>0</v>
      </c>
    </row>
    <row r="72" spans="1:84" x14ac:dyDescent="0.35">
      <c r="A72" s="29" t="s">
        <v>272</v>
      </c>
      <c r="B72" s="30"/>
      <c r="C72" s="329">
        <v>0</v>
      </c>
      <c r="D72" s="329">
        <v>0</v>
      </c>
      <c r="E72" s="329">
        <v>0</v>
      </c>
      <c r="F72" s="329">
        <v>0</v>
      </c>
      <c r="G72" s="329">
        <v>0</v>
      </c>
      <c r="H72" s="329">
        <v>0</v>
      </c>
      <c r="I72" s="329">
        <v>0</v>
      </c>
      <c r="J72" s="329">
        <v>0</v>
      </c>
      <c r="K72" s="329">
        <v>0</v>
      </c>
      <c r="L72" s="329">
        <v>0</v>
      </c>
      <c r="M72" s="329">
        <v>0</v>
      </c>
      <c r="N72" s="329">
        <v>0</v>
      </c>
      <c r="O72" s="329">
        <v>0</v>
      </c>
      <c r="P72" s="329">
        <v>0</v>
      </c>
      <c r="Q72" s="329">
        <v>0</v>
      </c>
      <c r="R72" s="329">
        <v>0</v>
      </c>
      <c r="S72" s="329">
        <v>0</v>
      </c>
      <c r="T72" s="329">
        <v>0</v>
      </c>
      <c r="U72" s="329">
        <v>0</v>
      </c>
      <c r="V72" s="329">
        <v>0</v>
      </c>
      <c r="W72" s="329">
        <v>0</v>
      </c>
      <c r="X72" s="329">
        <v>0</v>
      </c>
      <c r="Y72" s="329">
        <v>0</v>
      </c>
      <c r="Z72" s="329">
        <v>0</v>
      </c>
      <c r="AA72" s="329">
        <v>0</v>
      </c>
      <c r="AB72" s="329">
        <v>0</v>
      </c>
      <c r="AC72" s="329">
        <v>0</v>
      </c>
      <c r="AD72" s="329">
        <v>0</v>
      </c>
      <c r="AE72" s="329">
        <v>0</v>
      </c>
      <c r="AF72" s="329">
        <v>0</v>
      </c>
      <c r="AG72" s="329">
        <v>0</v>
      </c>
      <c r="AH72" s="329">
        <v>0</v>
      </c>
      <c r="AI72" s="329">
        <v>0</v>
      </c>
      <c r="AJ72" s="329">
        <v>0</v>
      </c>
      <c r="AK72" s="329">
        <v>0</v>
      </c>
      <c r="AL72" s="329">
        <v>0</v>
      </c>
      <c r="AM72" s="329">
        <v>0</v>
      </c>
      <c r="AN72" s="329">
        <v>0</v>
      </c>
      <c r="AO72" s="329">
        <v>0</v>
      </c>
      <c r="AP72" s="329">
        <v>0</v>
      </c>
      <c r="AQ72" s="329">
        <v>0</v>
      </c>
      <c r="AR72" s="329">
        <v>0</v>
      </c>
      <c r="AS72" s="329">
        <v>0</v>
      </c>
      <c r="AT72" s="329">
        <v>0</v>
      </c>
      <c r="AU72" s="329">
        <v>0</v>
      </c>
      <c r="AV72" s="329">
        <v>0</v>
      </c>
      <c r="AW72" s="329">
        <v>0</v>
      </c>
      <c r="AX72" s="329">
        <v>0</v>
      </c>
      <c r="AY72" s="329">
        <v>0</v>
      </c>
      <c r="AZ72" s="329">
        <v>0</v>
      </c>
      <c r="BA72" s="329">
        <v>0</v>
      </c>
      <c r="BB72" s="329">
        <v>0</v>
      </c>
      <c r="BC72" s="329">
        <v>0</v>
      </c>
      <c r="BD72" s="329">
        <v>0</v>
      </c>
      <c r="BE72" s="329">
        <v>0</v>
      </c>
      <c r="BF72" s="329">
        <v>0</v>
      </c>
      <c r="BG72" s="329">
        <v>0</v>
      </c>
      <c r="BH72" s="329">
        <v>0</v>
      </c>
      <c r="BI72" s="329">
        <v>0</v>
      </c>
      <c r="BJ72" s="329">
        <v>0</v>
      </c>
      <c r="BK72" s="329">
        <v>0</v>
      </c>
      <c r="BL72" s="329">
        <v>0</v>
      </c>
      <c r="BM72" s="329">
        <v>0</v>
      </c>
      <c r="BN72" s="329">
        <v>0</v>
      </c>
      <c r="BO72" s="329">
        <v>0</v>
      </c>
      <c r="BP72" s="329">
        <v>0</v>
      </c>
      <c r="BQ72" s="329">
        <v>0</v>
      </c>
      <c r="BR72" s="329">
        <v>0</v>
      </c>
      <c r="BS72" s="329">
        <v>0</v>
      </c>
      <c r="BT72" s="329">
        <v>0</v>
      </c>
      <c r="BU72" s="329">
        <v>0</v>
      </c>
      <c r="BV72" s="329">
        <v>0</v>
      </c>
      <c r="BW72" s="329">
        <v>0</v>
      </c>
      <c r="BX72" s="329">
        <v>0</v>
      </c>
      <c r="BY72" s="329">
        <v>0</v>
      </c>
      <c r="BZ72" s="329">
        <v>0</v>
      </c>
      <c r="CA72" s="329">
        <v>0</v>
      </c>
      <c r="CB72" s="329">
        <v>0</v>
      </c>
      <c r="CC72" s="329">
        <v>0</v>
      </c>
      <c r="CD72" s="329">
        <v>0</v>
      </c>
      <c r="CE72" s="28">
        <f t="shared" si="11"/>
        <v>0</v>
      </c>
      <c r="CF72" s="319">
        <v>0</v>
      </c>
    </row>
    <row r="73" spans="1:84" x14ac:dyDescent="0.35">
      <c r="A73" s="29" t="s">
        <v>273</v>
      </c>
      <c r="B73" s="30"/>
      <c r="C73" s="329">
        <v>0</v>
      </c>
      <c r="D73" s="329">
        <v>0</v>
      </c>
      <c r="E73" s="329">
        <v>0</v>
      </c>
      <c r="F73" s="329">
        <v>0</v>
      </c>
      <c r="G73" s="329">
        <v>0</v>
      </c>
      <c r="H73" s="329">
        <v>0</v>
      </c>
      <c r="I73" s="329">
        <v>0</v>
      </c>
      <c r="J73" s="329">
        <v>0</v>
      </c>
      <c r="K73" s="329">
        <v>0</v>
      </c>
      <c r="L73" s="329">
        <v>0</v>
      </c>
      <c r="M73" s="329">
        <v>0</v>
      </c>
      <c r="N73" s="329">
        <v>0</v>
      </c>
      <c r="O73" s="329">
        <v>0</v>
      </c>
      <c r="P73" s="329">
        <v>0</v>
      </c>
      <c r="Q73" s="329">
        <v>0</v>
      </c>
      <c r="R73" s="329">
        <v>0</v>
      </c>
      <c r="S73" s="329">
        <v>0</v>
      </c>
      <c r="T73" s="329">
        <v>0</v>
      </c>
      <c r="U73" s="329">
        <v>0</v>
      </c>
      <c r="V73" s="329">
        <v>0</v>
      </c>
      <c r="W73" s="329">
        <v>0</v>
      </c>
      <c r="X73" s="329">
        <v>0</v>
      </c>
      <c r="Y73" s="329">
        <v>0</v>
      </c>
      <c r="Z73" s="329">
        <v>0</v>
      </c>
      <c r="AA73" s="329">
        <v>0</v>
      </c>
      <c r="AB73" s="329">
        <v>0</v>
      </c>
      <c r="AC73" s="329">
        <v>0</v>
      </c>
      <c r="AD73" s="329">
        <v>0</v>
      </c>
      <c r="AE73" s="329">
        <v>0</v>
      </c>
      <c r="AF73" s="329">
        <v>0</v>
      </c>
      <c r="AG73" s="329">
        <v>0</v>
      </c>
      <c r="AH73" s="329">
        <v>0</v>
      </c>
      <c r="AI73" s="329">
        <v>0</v>
      </c>
      <c r="AJ73" s="329">
        <v>0</v>
      </c>
      <c r="AK73" s="329">
        <v>0</v>
      </c>
      <c r="AL73" s="329">
        <v>0</v>
      </c>
      <c r="AM73" s="329">
        <v>0</v>
      </c>
      <c r="AN73" s="329">
        <v>0</v>
      </c>
      <c r="AO73" s="329">
        <v>0</v>
      </c>
      <c r="AP73" s="329">
        <v>0</v>
      </c>
      <c r="AQ73" s="329">
        <v>0</v>
      </c>
      <c r="AR73" s="329">
        <v>0</v>
      </c>
      <c r="AS73" s="329">
        <v>0</v>
      </c>
      <c r="AT73" s="329">
        <v>0</v>
      </c>
      <c r="AU73" s="329">
        <v>0</v>
      </c>
      <c r="AV73" s="329">
        <v>0</v>
      </c>
      <c r="AW73" s="329">
        <v>0</v>
      </c>
      <c r="AX73" s="329">
        <v>0</v>
      </c>
      <c r="AY73" s="329">
        <v>0</v>
      </c>
      <c r="AZ73" s="329">
        <v>0</v>
      </c>
      <c r="BA73" s="329">
        <v>0</v>
      </c>
      <c r="BB73" s="329">
        <v>0</v>
      </c>
      <c r="BC73" s="329">
        <v>0</v>
      </c>
      <c r="BD73" s="329">
        <v>0</v>
      </c>
      <c r="BE73" s="329">
        <v>0</v>
      </c>
      <c r="BF73" s="329">
        <v>0</v>
      </c>
      <c r="BG73" s="329">
        <v>0</v>
      </c>
      <c r="BH73" s="329">
        <v>0</v>
      </c>
      <c r="BI73" s="329">
        <v>0</v>
      </c>
      <c r="BJ73" s="329">
        <v>0</v>
      </c>
      <c r="BK73" s="329">
        <v>0</v>
      </c>
      <c r="BL73" s="329">
        <v>0</v>
      </c>
      <c r="BM73" s="329">
        <v>0</v>
      </c>
      <c r="BN73" s="329">
        <v>0</v>
      </c>
      <c r="BO73" s="329">
        <v>0</v>
      </c>
      <c r="BP73" s="329">
        <v>0</v>
      </c>
      <c r="BQ73" s="329">
        <v>0</v>
      </c>
      <c r="BR73" s="329">
        <v>0</v>
      </c>
      <c r="BS73" s="329">
        <v>0</v>
      </c>
      <c r="BT73" s="329">
        <v>0</v>
      </c>
      <c r="BU73" s="329">
        <v>0</v>
      </c>
      <c r="BV73" s="329">
        <v>0</v>
      </c>
      <c r="BW73" s="329">
        <v>0</v>
      </c>
      <c r="BX73" s="329">
        <v>0</v>
      </c>
      <c r="BY73" s="329">
        <v>0</v>
      </c>
      <c r="BZ73" s="329">
        <v>0</v>
      </c>
      <c r="CA73" s="329">
        <v>0</v>
      </c>
      <c r="CB73" s="329">
        <v>0</v>
      </c>
      <c r="CC73" s="329">
        <v>0</v>
      </c>
      <c r="CD73" s="329">
        <v>364767</v>
      </c>
      <c r="CE73" s="28">
        <f t="shared" si="11"/>
        <v>364767</v>
      </c>
      <c r="CF73" s="319">
        <v>0</v>
      </c>
    </row>
    <row r="74" spans="1:84" x14ac:dyDescent="0.35">
      <c r="A74" s="29" t="s">
        <v>274</v>
      </c>
      <c r="B74" s="30"/>
      <c r="C74" s="329">
        <v>0</v>
      </c>
      <c r="D74" s="329">
        <v>0</v>
      </c>
      <c r="E74" s="329">
        <v>0</v>
      </c>
      <c r="F74" s="329">
        <v>0</v>
      </c>
      <c r="G74" s="329">
        <v>0</v>
      </c>
      <c r="H74" s="329">
        <v>0</v>
      </c>
      <c r="I74" s="329">
        <v>0</v>
      </c>
      <c r="J74" s="329">
        <v>0</v>
      </c>
      <c r="K74" s="329">
        <v>0</v>
      </c>
      <c r="L74" s="329">
        <v>0</v>
      </c>
      <c r="M74" s="329">
        <v>0</v>
      </c>
      <c r="N74" s="329">
        <v>0</v>
      </c>
      <c r="O74" s="329">
        <v>0</v>
      </c>
      <c r="P74" s="329">
        <v>0</v>
      </c>
      <c r="Q74" s="329">
        <v>0</v>
      </c>
      <c r="R74" s="329">
        <v>0</v>
      </c>
      <c r="S74" s="329">
        <v>0</v>
      </c>
      <c r="T74" s="329">
        <v>0</v>
      </c>
      <c r="U74" s="329">
        <v>0</v>
      </c>
      <c r="V74" s="329">
        <v>0</v>
      </c>
      <c r="W74" s="329">
        <v>0</v>
      </c>
      <c r="X74" s="329">
        <v>0</v>
      </c>
      <c r="Y74" s="329">
        <v>0</v>
      </c>
      <c r="Z74" s="329">
        <v>0</v>
      </c>
      <c r="AA74" s="329">
        <v>0</v>
      </c>
      <c r="AB74" s="329">
        <v>0</v>
      </c>
      <c r="AC74" s="329">
        <v>0</v>
      </c>
      <c r="AD74" s="329">
        <v>0</v>
      </c>
      <c r="AE74" s="329">
        <v>0</v>
      </c>
      <c r="AF74" s="329">
        <v>0</v>
      </c>
      <c r="AG74" s="329">
        <v>0</v>
      </c>
      <c r="AH74" s="329">
        <v>0</v>
      </c>
      <c r="AI74" s="329">
        <v>0</v>
      </c>
      <c r="AJ74" s="329">
        <v>0</v>
      </c>
      <c r="AK74" s="329">
        <v>0</v>
      </c>
      <c r="AL74" s="329">
        <v>0</v>
      </c>
      <c r="AM74" s="329">
        <v>0</v>
      </c>
      <c r="AN74" s="329">
        <v>0</v>
      </c>
      <c r="AO74" s="329">
        <v>0</v>
      </c>
      <c r="AP74" s="329">
        <v>0</v>
      </c>
      <c r="AQ74" s="329">
        <v>0</v>
      </c>
      <c r="AR74" s="329">
        <v>0</v>
      </c>
      <c r="AS74" s="329">
        <v>0</v>
      </c>
      <c r="AT74" s="329">
        <v>0</v>
      </c>
      <c r="AU74" s="329">
        <v>0</v>
      </c>
      <c r="AV74" s="329">
        <v>0</v>
      </c>
      <c r="AW74" s="329">
        <v>0</v>
      </c>
      <c r="AX74" s="329">
        <v>0</v>
      </c>
      <c r="AY74" s="329">
        <v>0</v>
      </c>
      <c r="AZ74" s="329">
        <v>0</v>
      </c>
      <c r="BA74" s="329">
        <v>0</v>
      </c>
      <c r="BB74" s="329">
        <v>0</v>
      </c>
      <c r="BC74" s="329">
        <v>0</v>
      </c>
      <c r="BD74" s="329">
        <v>0</v>
      </c>
      <c r="BE74" s="329">
        <v>0</v>
      </c>
      <c r="BF74" s="329">
        <v>0</v>
      </c>
      <c r="BG74" s="329">
        <v>0</v>
      </c>
      <c r="BH74" s="329">
        <v>0</v>
      </c>
      <c r="BI74" s="329">
        <v>0</v>
      </c>
      <c r="BJ74" s="329">
        <v>0</v>
      </c>
      <c r="BK74" s="329">
        <v>0</v>
      </c>
      <c r="BL74" s="329">
        <v>0</v>
      </c>
      <c r="BM74" s="329">
        <v>0</v>
      </c>
      <c r="BN74" s="329">
        <v>0</v>
      </c>
      <c r="BO74" s="329">
        <v>0</v>
      </c>
      <c r="BP74" s="329">
        <v>0</v>
      </c>
      <c r="BQ74" s="329">
        <v>0</v>
      </c>
      <c r="BR74" s="329">
        <v>0</v>
      </c>
      <c r="BS74" s="329">
        <v>0</v>
      </c>
      <c r="BT74" s="329">
        <v>0</v>
      </c>
      <c r="BU74" s="329">
        <v>0</v>
      </c>
      <c r="BV74" s="329">
        <v>0</v>
      </c>
      <c r="BW74" s="329">
        <v>0</v>
      </c>
      <c r="BX74" s="329">
        <v>0</v>
      </c>
      <c r="BY74" s="329">
        <v>0</v>
      </c>
      <c r="BZ74" s="329">
        <v>0</v>
      </c>
      <c r="CA74" s="329">
        <v>0</v>
      </c>
      <c r="CB74" s="329">
        <v>0</v>
      </c>
      <c r="CC74" s="329">
        <v>0</v>
      </c>
      <c r="CD74" s="329">
        <v>0</v>
      </c>
      <c r="CE74" s="28">
        <f t="shared" si="11"/>
        <v>0</v>
      </c>
      <c r="CF74" s="319">
        <v>0</v>
      </c>
    </row>
    <row r="75" spans="1:84" x14ac:dyDescent="0.35">
      <c r="A75" s="29" t="s">
        <v>275</v>
      </c>
      <c r="B75" s="30"/>
      <c r="C75" s="329">
        <v>0</v>
      </c>
      <c r="D75" s="329">
        <v>0</v>
      </c>
      <c r="E75" s="329">
        <v>0</v>
      </c>
      <c r="F75" s="329">
        <v>0</v>
      </c>
      <c r="G75" s="329">
        <v>0</v>
      </c>
      <c r="H75" s="329">
        <v>0</v>
      </c>
      <c r="I75" s="329">
        <v>0</v>
      </c>
      <c r="J75" s="329">
        <v>0</v>
      </c>
      <c r="K75" s="329">
        <v>0</v>
      </c>
      <c r="L75" s="329">
        <v>0</v>
      </c>
      <c r="M75" s="329">
        <v>0</v>
      </c>
      <c r="N75" s="329">
        <v>0</v>
      </c>
      <c r="O75" s="329">
        <v>0</v>
      </c>
      <c r="P75" s="329">
        <v>0</v>
      </c>
      <c r="Q75" s="329">
        <v>0</v>
      </c>
      <c r="R75" s="329">
        <v>0</v>
      </c>
      <c r="S75" s="329">
        <v>0</v>
      </c>
      <c r="T75" s="329">
        <v>0</v>
      </c>
      <c r="U75" s="329">
        <v>0</v>
      </c>
      <c r="V75" s="329">
        <v>0</v>
      </c>
      <c r="W75" s="329">
        <v>0</v>
      </c>
      <c r="X75" s="329">
        <v>0</v>
      </c>
      <c r="Y75" s="329">
        <v>0</v>
      </c>
      <c r="Z75" s="329">
        <v>0</v>
      </c>
      <c r="AA75" s="329">
        <v>0</v>
      </c>
      <c r="AB75" s="329">
        <v>0</v>
      </c>
      <c r="AC75" s="329">
        <v>0</v>
      </c>
      <c r="AD75" s="329">
        <v>0</v>
      </c>
      <c r="AE75" s="329">
        <v>0</v>
      </c>
      <c r="AF75" s="329">
        <v>0</v>
      </c>
      <c r="AG75" s="329">
        <v>0</v>
      </c>
      <c r="AH75" s="329">
        <v>0</v>
      </c>
      <c r="AI75" s="329">
        <v>0</v>
      </c>
      <c r="AJ75" s="329">
        <v>0</v>
      </c>
      <c r="AK75" s="329">
        <v>0</v>
      </c>
      <c r="AL75" s="329">
        <v>0</v>
      </c>
      <c r="AM75" s="329">
        <v>0</v>
      </c>
      <c r="AN75" s="329">
        <v>0</v>
      </c>
      <c r="AO75" s="329">
        <v>0</v>
      </c>
      <c r="AP75" s="329">
        <v>0</v>
      </c>
      <c r="AQ75" s="329">
        <v>0</v>
      </c>
      <c r="AR75" s="329">
        <v>0</v>
      </c>
      <c r="AS75" s="329">
        <v>0</v>
      </c>
      <c r="AT75" s="329">
        <v>0</v>
      </c>
      <c r="AU75" s="329">
        <v>0</v>
      </c>
      <c r="AV75" s="329">
        <v>0</v>
      </c>
      <c r="AW75" s="329">
        <v>0</v>
      </c>
      <c r="AX75" s="329">
        <v>0</v>
      </c>
      <c r="AY75" s="329">
        <v>0</v>
      </c>
      <c r="AZ75" s="329">
        <v>0</v>
      </c>
      <c r="BA75" s="329">
        <v>0</v>
      </c>
      <c r="BB75" s="329">
        <v>0</v>
      </c>
      <c r="BC75" s="329">
        <v>0</v>
      </c>
      <c r="BD75" s="329">
        <v>0</v>
      </c>
      <c r="BE75" s="329">
        <v>0</v>
      </c>
      <c r="BF75" s="329">
        <v>0</v>
      </c>
      <c r="BG75" s="329">
        <v>0</v>
      </c>
      <c r="BH75" s="329">
        <v>0</v>
      </c>
      <c r="BI75" s="329">
        <v>0</v>
      </c>
      <c r="BJ75" s="329">
        <v>0</v>
      </c>
      <c r="BK75" s="329">
        <v>0</v>
      </c>
      <c r="BL75" s="329">
        <v>0</v>
      </c>
      <c r="BM75" s="329">
        <v>0</v>
      </c>
      <c r="BN75" s="329">
        <v>0</v>
      </c>
      <c r="BO75" s="329">
        <v>0</v>
      </c>
      <c r="BP75" s="329">
        <v>0</v>
      </c>
      <c r="BQ75" s="329">
        <v>0</v>
      </c>
      <c r="BR75" s="329">
        <v>0</v>
      </c>
      <c r="BS75" s="329">
        <v>0</v>
      </c>
      <c r="BT75" s="329">
        <v>0</v>
      </c>
      <c r="BU75" s="329">
        <v>0</v>
      </c>
      <c r="BV75" s="329">
        <v>0</v>
      </c>
      <c r="BW75" s="329">
        <v>0</v>
      </c>
      <c r="BX75" s="329">
        <v>0</v>
      </c>
      <c r="BY75" s="329">
        <v>0</v>
      </c>
      <c r="BZ75" s="329">
        <v>0</v>
      </c>
      <c r="CA75" s="329">
        <v>0</v>
      </c>
      <c r="CB75" s="329">
        <v>0</v>
      </c>
      <c r="CC75" s="329">
        <v>0</v>
      </c>
      <c r="CD75" s="329">
        <v>0</v>
      </c>
      <c r="CE75" s="28">
        <f t="shared" si="11"/>
        <v>0</v>
      </c>
      <c r="CF75" s="319">
        <v>0</v>
      </c>
    </row>
    <row r="76" spans="1:84" x14ac:dyDescent="0.35">
      <c r="A76" s="29" t="s">
        <v>276</v>
      </c>
      <c r="B76" s="213"/>
      <c r="C76" s="329">
        <v>0</v>
      </c>
      <c r="D76" s="329">
        <v>0</v>
      </c>
      <c r="E76" s="329">
        <v>0</v>
      </c>
      <c r="F76" s="329">
        <v>0</v>
      </c>
      <c r="G76" s="329">
        <v>0</v>
      </c>
      <c r="H76" s="329">
        <v>0</v>
      </c>
      <c r="I76" s="329">
        <v>0</v>
      </c>
      <c r="J76" s="329">
        <v>0</v>
      </c>
      <c r="K76" s="329">
        <v>0</v>
      </c>
      <c r="L76" s="329">
        <v>0</v>
      </c>
      <c r="M76" s="329">
        <v>0</v>
      </c>
      <c r="N76" s="329">
        <v>0</v>
      </c>
      <c r="O76" s="329">
        <v>0</v>
      </c>
      <c r="P76" s="329">
        <v>0</v>
      </c>
      <c r="Q76" s="329">
        <v>0</v>
      </c>
      <c r="R76" s="329">
        <v>0</v>
      </c>
      <c r="S76" s="329">
        <v>0</v>
      </c>
      <c r="T76" s="329">
        <v>0</v>
      </c>
      <c r="U76" s="329">
        <v>0</v>
      </c>
      <c r="V76" s="329">
        <v>0</v>
      </c>
      <c r="W76" s="329">
        <v>0</v>
      </c>
      <c r="X76" s="329">
        <v>0</v>
      </c>
      <c r="Y76" s="329">
        <v>0</v>
      </c>
      <c r="Z76" s="329">
        <v>0</v>
      </c>
      <c r="AA76" s="329">
        <v>0</v>
      </c>
      <c r="AB76" s="329">
        <v>0</v>
      </c>
      <c r="AC76" s="329">
        <v>0</v>
      </c>
      <c r="AD76" s="329">
        <v>0</v>
      </c>
      <c r="AE76" s="329">
        <v>0</v>
      </c>
      <c r="AF76" s="329">
        <v>0</v>
      </c>
      <c r="AG76" s="329">
        <v>0</v>
      </c>
      <c r="AH76" s="329">
        <v>0</v>
      </c>
      <c r="AI76" s="329">
        <v>0</v>
      </c>
      <c r="AJ76" s="329">
        <v>0</v>
      </c>
      <c r="AK76" s="329">
        <v>0</v>
      </c>
      <c r="AL76" s="329">
        <v>0</v>
      </c>
      <c r="AM76" s="329">
        <v>0</v>
      </c>
      <c r="AN76" s="329">
        <v>0</v>
      </c>
      <c r="AO76" s="329">
        <v>0</v>
      </c>
      <c r="AP76" s="329">
        <v>0</v>
      </c>
      <c r="AQ76" s="329">
        <v>0</v>
      </c>
      <c r="AR76" s="329">
        <v>0</v>
      </c>
      <c r="AS76" s="329">
        <v>0</v>
      </c>
      <c r="AT76" s="329">
        <v>0</v>
      </c>
      <c r="AU76" s="329">
        <v>0</v>
      </c>
      <c r="AV76" s="329">
        <v>0</v>
      </c>
      <c r="AW76" s="329">
        <v>0</v>
      </c>
      <c r="AX76" s="329">
        <v>0</v>
      </c>
      <c r="AY76" s="329">
        <v>0</v>
      </c>
      <c r="AZ76" s="329">
        <v>0</v>
      </c>
      <c r="BA76" s="329">
        <v>0</v>
      </c>
      <c r="BB76" s="329">
        <v>0</v>
      </c>
      <c r="BC76" s="329">
        <v>0</v>
      </c>
      <c r="BD76" s="329">
        <v>0</v>
      </c>
      <c r="BE76" s="329">
        <v>0</v>
      </c>
      <c r="BF76" s="329">
        <v>0</v>
      </c>
      <c r="BG76" s="329">
        <v>0</v>
      </c>
      <c r="BH76" s="329">
        <v>0</v>
      </c>
      <c r="BI76" s="329">
        <v>0</v>
      </c>
      <c r="BJ76" s="329">
        <v>0</v>
      </c>
      <c r="BK76" s="329">
        <v>0</v>
      </c>
      <c r="BL76" s="329">
        <v>0</v>
      </c>
      <c r="BM76" s="329">
        <v>0</v>
      </c>
      <c r="BN76" s="329">
        <v>0</v>
      </c>
      <c r="BO76" s="329">
        <v>0</v>
      </c>
      <c r="BP76" s="329">
        <v>0</v>
      </c>
      <c r="BQ76" s="329">
        <v>0</v>
      </c>
      <c r="BR76" s="329">
        <v>0</v>
      </c>
      <c r="BS76" s="329">
        <v>0</v>
      </c>
      <c r="BT76" s="329">
        <v>0</v>
      </c>
      <c r="BU76" s="329">
        <v>0</v>
      </c>
      <c r="BV76" s="329">
        <v>0</v>
      </c>
      <c r="BW76" s="329">
        <v>0</v>
      </c>
      <c r="BX76" s="329">
        <v>0</v>
      </c>
      <c r="BY76" s="329">
        <v>0</v>
      </c>
      <c r="BZ76" s="329">
        <v>0</v>
      </c>
      <c r="CA76" s="329">
        <v>0</v>
      </c>
      <c r="CB76" s="329">
        <v>0</v>
      </c>
      <c r="CC76" s="329">
        <v>0</v>
      </c>
      <c r="CD76" s="329">
        <v>0</v>
      </c>
      <c r="CE76" s="28">
        <f t="shared" si="11"/>
        <v>0</v>
      </c>
      <c r="CF76" s="319">
        <v>0</v>
      </c>
    </row>
    <row r="77" spans="1:84" x14ac:dyDescent="0.35">
      <c r="A77" s="29" t="s">
        <v>277</v>
      </c>
      <c r="B77" s="30"/>
      <c r="C77" s="329">
        <v>0</v>
      </c>
      <c r="D77" s="329">
        <v>0</v>
      </c>
      <c r="E77" s="329">
        <v>6871</v>
      </c>
      <c r="F77" s="329">
        <v>0</v>
      </c>
      <c r="G77" s="329">
        <v>0</v>
      </c>
      <c r="H77" s="329">
        <v>0</v>
      </c>
      <c r="I77" s="329">
        <v>0</v>
      </c>
      <c r="J77" s="329">
        <v>0</v>
      </c>
      <c r="K77" s="329">
        <v>1831</v>
      </c>
      <c r="L77" s="329">
        <v>11081</v>
      </c>
      <c r="M77" s="329">
        <v>0</v>
      </c>
      <c r="N77" s="329">
        <v>0</v>
      </c>
      <c r="O77" s="329">
        <v>0</v>
      </c>
      <c r="P77" s="329">
        <v>21385</v>
      </c>
      <c r="Q77" s="329">
        <v>0</v>
      </c>
      <c r="R77" s="329">
        <v>5937</v>
      </c>
      <c r="S77" s="329">
        <v>0</v>
      </c>
      <c r="T77" s="329">
        <v>0</v>
      </c>
      <c r="U77" s="329">
        <v>58304</v>
      </c>
      <c r="V77" s="329">
        <v>0</v>
      </c>
      <c r="W77" s="329">
        <v>7832</v>
      </c>
      <c r="X77" s="329">
        <v>40599</v>
      </c>
      <c r="Y77" s="329">
        <v>98316</v>
      </c>
      <c r="Z77" s="329">
        <v>0</v>
      </c>
      <c r="AA77" s="329">
        <v>0</v>
      </c>
      <c r="AB77" s="329">
        <v>16646</v>
      </c>
      <c r="AC77" s="329">
        <v>4720</v>
      </c>
      <c r="AD77" s="329">
        <v>0</v>
      </c>
      <c r="AE77" s="329">
        <v>719</v>
      </c>
      <c r="AF77" s="329">
        <v>0</v>
      </c>
      <c r="AG77" s="329">
        <v>2929</v>
      </c>
      <c r="AH77" s="329">
        <v>0</v>
      </c>
      <c r="AI77" s="329">
        <v>0</v>
      </c>
      <c r="AJ77" s="329">
        <v>52</v>
      </c>
      <c r="AK77" s="329">
        <v>381</v>
      </c>
      <c r="AL77" s="329">
        <v>0</v>
      </c>
      <c r="AM77" s="329">
        <v>0</v>
      </c>
      <c r="AN77" s="329">
        <v>0</v>
      </c>
      <c r="AO77" s="329">
        <v>1514</v>
      </c>
      <c r="AP77" s="329">
        <v>0</v>
      </c>
      <c r="AQ77" s="329">
        <v>0</v>
      </c>
      <c r="AR77" s="329">
        <v>0</v>
      </c>
      <c r="AS77" s="329">
        <v>0</v>
      </c>
      <c r="AT77" s="329">
        <v>0</v>
      </c>
      <c r="AU77" s="329">
        <v>0</v>
      </c>
      <c r="AV77" s="329">
        <v>0</v>
      </c>
      <c r="AW77" s="329">
        <v>0</v>
      </c>
      <c r="AX77" s="329">
        <v>0</v>
      </c>
      <c r="AY77" s="329">
        <v>757</v>
      </c>
      <c r="AZ77" s="329">
        <v>0</v>
      </c>
      <c r="BA77" s="329">
        <v>656</v>
      </c>
      <c r="BB77" s="329">
        <v>0</v>
      </c>
      <c r="BC77" s="329">
        <v>0</v>
      </c>
      <c r="BD77" s="329">
        <v>0</v>
      </c>
      <c r="BE77" s="329">
        <f>180723+15041</f>
        <v>195764</v>
      </c>
      <c r="BF77" s="329">
        <v>1499</v>
      </c>
      <c r="BG77" s="329">
        <v>0</v>
      </c>
      <c r="BH77" s="329">
        <v>2805</v>
      </c>
      <c r="BI77" s="329">
        <v>0</v>
      </c>
      <c r="BJ77" s="329">
        <v>0</v>
      </c>
      <c r="BK77" s="329">
        <v>0</v>
      </c>
      <c r="BL77" s="329">
        <v>0</v>
      </c>
      <c r="BM77" s="329">
        <v>0</v>
      </c>
      <c r="BN77" s="329">
        <f>478</f>
        <v>478</v>
      </c>
      <c r="BO77" s="329">
        <v>0</v>
      </c>
      <c r="BP77" s="329">
        <v>0</v>
      </c>
      <c r="BQ77" s="329">
        <v>0</v>
      </c>
      <c r="BR77" s="329">
        <v>880</v>
      </c>
      <c r="BS77" s="329">
        <v>0</v>
      </c>
      <c r="BT77" s="329">
        <v>0</v>
      </c>
      <c r="BU77" s="329">
        <v>0</v>
      </c>
      <c r="BV77" s="329">
        <v>0</v>
      </c>
      <c r="BW77" s="329">
        <v>0</v>
      </c>
      <c r="BX77" s="329">
        <v>0</v>
      </c>
      <c r="BY77" s="329">
        <v>0</v>
      </c>
      <c r="BZ77" s="329">
        <v>0</v>
      </c>
      <c r="CA77" s="329">
        <v>0</v>
      </c>
      <c r="CB77" s="329">
        <v>0</v>
      </c>
      <c r="CC77" s="329">
        <v>0</v>
      </c>
      <c r="CD77" s="329">
        <v>0</v>
      </c>
      <c r="CE77" s="28">
        <f t="shared" si="11"/>
        <v>481956</v>
      </c>
      <c r="CF77" s="319">
        <v>0</v>
      </c>
    </row>
    <row r="78" spans="1:84" x14ac:dyDescent="0.35">
      <c r="A78" s="29" t="s">
        <v>278</v>
      </c>
      <c r="B78" s="16"/>
      <c r="C78" s="329">
        <v>0</v>
      </c>
      <c r="D78" s="329">
        <v>0</v>
      </c>
      <c r="E78" s="329">
        <v>0</v>
      </c>
      <c r="F78" s="329">
        <v>0</v>
      </c>
      <c r="G78" s="329">
        <v>0</v>
      </c>
      <c r="H78" s="329">
        <v>0</v>
      </c>
      <c r="I78" s="329">
        <v>0</v>
      </c>
      <c r="J78" s="329">
        <v>0</v>
      </c>
      <c r="K78" s="329">
        <v>0</v>
      </c>
      <c r="L78" s="329">
        <v>0</v>
      </c>
      <c r="M78" s="329">
        <v>0</v>
      </c>
      <c r="N78" s="329">
        <v>0</v>
      </c>
      <c r="O78" s="329">
        <v>0</v>
      </c>
      <c r="P78" s="329">
        <v>0</v>
      </c>
      <c r="Q78" s="329">
        <v>0</v>
      </c>
      <c r="R78" s="329">
        <v>0</v>
      </c>
      <c r="S78" s="329">
        <v>0</v>
      </c>
      <c r="T78" s="329">
        <v>0</v>
      </c>
      <c r="U78" s="329">
        <v>0</v>
      </c>
      <c r="V78" s="329">
        <v>0</v>
      </c>
      <c r="W78" s="329">
        <v>0</v>
      </c>
      <c r="X78" s="329">
        <v>0</v>
      </c>
      <c r="Y78" s="329">
        <v>0</v>
      </c>
      <c r="Z78" s="329">
        <v>0</v>
      </c>
      <c r="AA78" s="329">
        <v>0</v>
      </c>
      <c r="AB78" s="329">
        <v>0</v>
      </c>
      <c r="AC78" s="329">
        <v>0</v>
      </c>
      <c r="AD78" s="329">
        <v>0</v>
      </c>
      <c r="AE78" s="329">
        <v>0</v>
      </c>
      <c r="AF78" s="329">
        <v>0</v>
      </c>
      <c r="AG78" s="329">
        <v>0</v>
      </c>
      <c r="AH78" s="329">
        <v>0</v>
      </c>
      <c r="AI78" s="329">
        <v>0</v>
      </c>
      <c r="AJ78" s="329">
        <v>0</v>
      </c>
      <c r="AK78" s="329">
        <v>0</v>
      </c>
      <c r="AL78" s="329">
        <v>0</v>
      </c>
      <c r="AM78" s="329">
        <v>0</v>
      </c>
      <c r="AN78" s="329">
        <v>0</v>
      </c>
      <c r="AO78" s="329">
        <v>0</v>
      </c>
      <c r="AP78" s="329">
        <v>0</v>
      </c>
      <c r="AQ78" s="329">
        <v>0</v>
      </c>
      <c r="AR78" s="329">
        <v>0</v>
      </c>
      <c r="AS78" s="329">
        <v>0</v>
      </c>
      <c r="AT78" s="329">
        <v>0</v>
      </c>
      <c r="AU78" s="329">
        <v>0</v>
      </c>
      <c r="AV78" s="329">
        <v>0</v>
      </c>
      <c r="AW78" s="329">
        <v>0</v>
      </c>
      <c r="AX78" s="329">
        <v>0</v>
      </c>
      <c r="AY78" s="329">
        <v>0</v>
      </c>
      <c r="AZ78" s="329">
        <v>0</v>
      </c>
      <c r="BA78" s="329">
        <v>0</v>
      </c>
      <c r="BB78" s="329">
        <v>0</v>
      </c>
      <c r="BC78" s="329">
        <v>0</v>
      </c>
      <c r="BD78" s="329">
        <v>0</v>
      </c>
      <c r="BE78" s="329">
        <v>0</v>
      </c>
      <c r="BF78" s="329">
        <v>0</v>
      </c>
      <c r="BG78" s="329">
        <v>0</v>
      </c>
      <c r="BH78" s="329">
        <v>0</v>
      </c>
      <c r="BI78" s="329">
        <v>0</v>
      </c>
      <c r="BJ78" s="329">
        <v>0</v>
      </c>
      <c r="BK78" s="329">
        <v>0</v>
      </c>
      <c r="BL78" s="329">
        <v>0</v>
      </c>
      <c r="BM78" s="329">
        <v>0</v>
      </c>
      <c r="BN78" s="329">
        <v>0</v>
      </c>
      <c r="BO78" s="329">
        <v>0</v>
      </c>
      <c r="BP78" s="329">
        <v>0</v>
      </c>
      <c r="BQ78" s="329">
        <v>0</v>
      </c>
      <c r="BR78" s="329">
        <v>0</v>
      </c>
      <c r="BS78" s="329">
        <v>0</v>
      </c>
      <c r="BT78" s="329">
        <v>0</v>
      </c>
      <c r="BU78" s="329">
        <v>0</v>
      </c>
      <c r="BV78" s="329">
        <v>0</v>
      </c>
      <c r="BW78" s="329">
        <v>0</v>
      </c>
      <c r="BX78" s="329">
        <v>0</v>
      </c>
      <c r="BY78" s="329">
        <v>0</v>
      </c>
      <c r="BZ78" s="329">
        <v>0</v>
      </c>
      <c r="CA78" s="329">
        <v>0</v>
      </c>
      <c r="CB78" s="329">
        <v>0</v>
      </c>
      <c r="CC78" s="329">
        <v>0</v>
      </c>
      <c r="CD78" s="329">
        <v>0</v>
      </c>
      <c r="CE78" s="28">
        <f t="shared" si="11"/>
        <v>0</v>
      </c>
      <c r="CF78" s="319">
        <v>0</v>
      </c>
    </row>
    <row r="79" spans="1:84" x14ac:dyDescent="0.35">
      <c r="A79" s="29" t="s">
        <v>279</v>
      </c>
      <c r="B79" s="16"/>
      <c r="C79" s="329">
        <v>0</v>
      </c>
      <c r="D79" s="329">
        <v>0</v>
      </c>
      <c r="E79" s="329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329">
        <v>0</v>
      </c>
      <c r="L79" s="329">
        <v>0</v>
      </c>
      <c r="M79" s="329">
        <v>0</v>
      </c>
      <c r="N79" s="329">
        <v>0</v>
      </c>
      <c r="O79" s="329">
        <v>0</v>
      </c>
      <c r="P79" s="329">
        <v>0</v>
      </c>
      <c r="Q79" s="329">
        <v>0</v>
      </c>
      <c r="R79" s="329">
        <v>0</v>
      </c>
      <c r="S79" s="329">
        <v>0</v>
      </c>
      <c r="T79" s="329">
        <v>0</v>
      </c>
      <c r="U79" s="329">
        <v>0</v>
      </c>
      <c r="V79" s="329">
        <v>0</v>
      </c>
      <c r="W79" s="329">
        <v>0</v>
      </c>
      <c r="X79" s="329">
        <v>0</v>
      </c>
      <c r="Y79" s="329">
        <v>0</v>
      </c>
      <c r="Z79" s="329">
        <v>0</v>
      </c>
      <c r="AA79" s="329">
        <v>0</v>
      </c>
      <c r="AB79" s="329">
        <v>0</v>
      </c>
      <c r="AC79" s="329">
        <v>0</v>
      </c>
      <c r="AD79" s="329">
        <v>0</v>
      </c>
      <c r="AE79" s="329">
        <v>0</v>
      </c>
      <c r="AF79" s="329">
        <v>0</v>
      </c>
      <c r="AG79" s="329">
        <v>0</v>
      </c>
      <c r="AH79" s="329">
        <v>0</v>
      </c>
      <c r="AI79" s="329">
        <v>0</v>
      </c>
      <c r="AJ79" s="329">
        <v>0</v>
      </c>
      <c r="AK79" s="329">
        <v>0</v>
      </c>
      <c r="AL79" s="329">
        <v>0</v>
      </c>
      <c r="AM79" s="329">
        <v>0</v>
      </c>
      <c r="AN79" s="329">
        <v>0</v>
      </c>
      <c r="AO79" s="329">
        <v>0</v>
      </c>
      <c r="AP79" s="329">
        <v>0</v>
      </c>
      <c r="AQ79" s="329">
        <v>0</v>
      </c>
      <c r="AR79" s="329">
        <v>0</v>
      </c>
      <c r="AS79" s="329">
        <v>0</v>
      </c>
      <c r="AT79" s="329">
        <v>0</v>
      </c>
      <c r="AU79" s="329">
        <v>0</v>
      </c>
      <c r="AV79" s="329">
        <v>0</v>
      </c>
      <c r="AW79" s="329">
        <v>0</v>
      </c>
      <c r="AX79" s="329">
        <v>0</v>
      </c>
      <c r="AY79" s="329">
        <v>0</v>
      </c>
      <c r="AZ79" s="329">
        <v>0</v>
      </c>
      <c r="BA79" s="329">
        <v>0</v>
      </c>
      <c r="BB79" s="329">
        <v>0</v>
      </c>
      <c r="BC79" s="329">
        <v>0</v>
      </c>
      <c r="BD79" s="329">
        <v>0</v>
      </c>
      <c r="BE79" s="329">
        <v>0</v>
      </c>
      <c r="BF79" s="329">
        <v>0</v>
      </c>
      <c r="BG79" s="329">
        <v>0</v>
      </c>
      <c r="BH79" s="329">
        <v>0</v>
      </c>
      <c r="BI79" s="329">
        <v>0</v>
      </c>
      <c r="BJ79" s="329">
        <v>0</v>
      </c>
      <c r="BK79" s="329">
        <v>0</v>
      </c>
      <c r="BL79" s="329">
        <v>0</v>
      </c>
      <c r="BM79" s="329">
        <v>0</v>
      </c>
      <c r="BN79" s="329">
        <v>932</v>
      </c>
      <c r="BO79" s="329">
        <v>0</v>
      </c>
      <c r="BP79" s="329">
        <v>0</v>
      </c>
      <c r="BQ79" s="329">
        <v>0</v>
      </c>
      <c r="BR79" s="329">
        <v>96404</v>
      </c>
      <c r="BS79" s="329">
        <v>0</v>
      </c>
      <c r="BT79" s="329">
        <v>0</v>
      </c>
      <c r="BU79" s="329">
        <v>0</v>
      </c>
      <c r="BV79" s="329">
        <v>0</v>
      </c>
      <c r="BW79" s="329">
        <v>0</v>
      </c>
      <c r="BX79" s="329">
        <v>0</v>
      </c>
      <c r="BY79" s="329">
        <v>0</v>
      </c>
      <c r="BZ79" s="329">
        <v>0</v>
      </c>
      <c r="CA79" s="329">
        <v>0</v>
      </c>
      <c r="CB79" s="329">
        <v>0</v>
      </c>
      <c r="CC79" s="329">
        <v>0</v>
      </c>
      <c r="CD79" s="329">
        <v>0</v>
      </c>
      <c r="CE79" s="28">
        <f t="shared" si="11"/>
        <v>97336</v>
      </c>
      <c r="CF79" s="319">
        <v>0</v>
      </c>
    </row>
    <row r="80" spans="1:84" x14ac:dyDescent="0.35">
      <c r="A80" s="29" t="s">
        <v>280</v>
      </c>
      <c r="B80" s="16"/>
      <c r="C80" s="329">
        <v>0</v>
      </c>
      <c r="D80" s="329">
        <v>0</v>
      </c>
      <c r="E80" s="329">
        <v>9702</v>
      </c>
      <c r="F80" s="329">
        <v>0</v>
      </c>
      <c r="G80" s="329">
        <v>0</v>
      </c>
      <c r="H80" s="329">
        <v>0</v>
      </c>
      <c r="I80" s="329">
        <v>0</v>
      </c>
      <c r="J80" s="329">
        <v>0</v>
      </c>
      <c r="K80" s="329">
        <v>2025</v>
      </c>
      <c r="L80" s="329">
        <v>15647</v>
      </c>
      <c r="M80" s="329">
        <v>0</v>
      </c>
      <c r="N80" s="329">
        <v>0</v>
      </c>
      <c r="O80" s="329">
        <v>0</v>
      </c>
      <c r="P80" s="329">
        <v>0</v>
      </c>
      <c r="Q80" s="329">
        <v>0</v>
      </c>
      <c r="R80" s="329">
        <v>0</v>
      </c>
      <c r="S80" s="329">
        <v>0</v>
      </c>
      <c r="T80" s="329">
        <v>0</v>
      </c>
      <c r="U80" s="329">
        <v>1090</v>
      </c>
      <c r="V80" s="329">
        <v>0</v>
      </c>
      <c r="W80" s="329">
        <v>0</v>
      </c>
      <c r="X80" s="329">
        <v>0</v>
      </c>
      <c r="Y80" s="329">
        <v>0</v>
      </c>
      <c r="Z80" s="329">
        <v>0</v>
      </c>
      <c r="AA80" s="329">
        <v>0</v>
      </c>
      <c r="AB80" s="329">
        <v>6000</v>
      </c>
      <c r="AC80" s="329">
        <v>240</v>
      </c>
      <c r="AD80" s="329">
        <v>0</v>
      </c>
      <c r="AE80" s="329">
        <f>4532+283</f>
        <v>4815</v>
      </c>
      <c r="AF80" s="329">
        <v>0</v>
      </c>
      <c r="AG80" s="329">
        <f>1473+170</f>
        <v>1643</v>
      </c>
      <c r="AH80" s="329">
        <v>0</v>
      </c>
      <c r="AI80" s="329">
        <v>0</v>
      </c>
      <c r="AJ80" s="329">
        <v>10147</v>
      </c>
      <c r="AK80" s="329">
        <v>1718</v>
      </c>
      <c r="AL80" s="329">
        <v>0</v>
      </c>
      <c r="AM80" s="329">
        <v>0</v>
      </c>
      <c r="AN80" s="329">
        <v>0</v>
      </c>
      <c r="AO80" s="329">
        <v>2139</v>
      </c>
      <c r="AP80" s="329">
        <v>0</v>
      </c>
      <c r="AQ80" s="329">
        <v>0</v>
      </c>
      <c r="AR80" s="329">
        <v>0</v>
      </c>
      <c r="AS80" s="329">
        <v>0</v>
      </c>
      <c r="AT80" s="329">
        <v>0</v>
      </c>
      <c r="AU80" s="329">
        <v>0</v>
      </c>
      <c r="AV80" s="329">
        <v>3094</v>
      </c>
      <c r="AW80" s="329">
        <v>0</v>
      </c>
      <c r="AX80" s="329">
        <v>0</v>
      </c>
      <c r="AY80" s="329">
        <v>1458</v>
      </c>
      <c r="AZ80" s="329">
        <v>0</v>
      </c>
      <c r="BA80" s="329">
        <v>0</v>
      </c>
      <c r="BB80" s="329">
        <v>0</v>
      </c>
      <c r="BC80" s="329">
        <v>0</v>
      </c>
      <c r="BD80" s="329">
        <v>0</v>
      </c>
      <c r="BE80" s="329">
        <f>4650</f>
        <v>4650</v>
      </c>
      <c r="BF80" s="329">
        <v>0</v>
      </c>
      <c r="BG80" s="329">
        <v>0</v>
      </c>
      <c r="BH80" s="329">
        <v>5369</v>
      </c>
      <c r="BI80" s="329">
        <v>0</v>
      </c>
      <c r="BJ80" s="329">
        <f>2026</f>
        <v>2026</v>
      </c>
      <c r="BK80" s="329">
        <v>200</v>
      </c>
      <c r="BL80" s="329">
        <v>0</v>
      </c>
      <c r="BM80" s="329">
        <v>0</v>
      </c>
      <c r="BN80" s="329">
        <v>897</v>
      </c>
      <c r="BO80" s="329">
        <v>0</v>
      </c>
      <c r="BP80" s="329">
        <v>0</v>
      </c>
      <c r="BQ80" s="329">
        <v>0</v>
      </c>
      <c r="BR80" s="329">
        <v>1490</v>
      </c>
      <c r="BS80" s="329">
        <v>0</v>
      </c>
      <c r="BT80" s="329">
        <v>0</v>
      </c>
      <c r="BU80" s="329">
        <v>0</v>
      </c>
      <c r="BV80" s="329">
        <v>4235</v>
      </c>
      <c r="BW80" s="329">
        <v>0</v>
      </c>
      <c r="BX80" s="329">
        <v>0</v>
      </c>
      <c r="BY80" s="329">
        <v>0</v>
      </c>
      <c r="BZ80" s="329">
        <v>0</v>
      </c>
      <c r="CA80" s="329">
        <v>0</v>
      </c>
      <c r="CB80" s="329">
        <v>0</v>
      </c>
      <c r="CC80" s="329">
        <v>0</v>
      </c>
      <c r="CD80" s="329">
        <v>0</v>
      </c>
      <c r="CE80" s="28">
        <f t="shared" si="11"/>
        <v>78585</v>
      </c>
      <c r="CF80" s="319">
        <v>0</v>
      </c>
    </row>
    <row r="81" spans="1:84" x14ac:dyDescent="0.35">
      <c r="A81" s="29" t="s">
        <v>281</v>
      </c>
      <c r="B81" s="16"/>
      <c r="C81" s="329">
        <v>0</v>
      </c>
      <c r="D81" s="329">
        <v>0</v>
      </c>
      <c r="E81" s="329">
        <v>0</v>
      </c>
      <c r="F81" s="329">
        <v>0</v>
      </c>
      <c r="G81" s="329">
        <v>0</v>
      </c>
      <c r="H81" s="329">
        <v>0</v>
      </c>
      <c r="I81" s="329">
        <v>0</v>
      </c>
      <c r="J81" s="329">
        <v>0</v>
      </c>
      <c r="K81" s="329">
        <v>0</v>
      </c>
      <c r="L81" s="329">
        <v>0</v>
      </c>
      <c r="M81" s="329">
        <v>0</v>
      </c>
      <c r="N81" s="329">
        <v>0</v>
      </c>
      <c r="O81" s="329">
        <v>0</v>
      </c>
      <c r="P81" s="329">
        <v>0</v>
      </c>
      <c r="Q81" s="329">
        <v>0</v>
      </c>
      <c r="R81" s="329">
        <v>0</v>
      </c>
      <c r="S81" s="329">
        <v>0</v>
      </c>
      <c r="T81" s="329">
        <v>0</v>
      </c>
      <c r="U81" s="329">
        <v>0</v>
      </c>
      <c r="V81" s="329">
        <v>0</v>
      </c>
      <c r="W81" s="329">
        <v>0</v>
      </c>
      <c r="X81" s="329">
        <v>0</v>
      </c>
      <c r="Y81" s="329">
        <v>0</v>
      </c>
      <c r="Z81" s="329">
        <v>0</v>
      </c>
      <c r="AA81" s="329">
        <v>0</v>
      </c>
      <c r="AB81" s="329">
        <v>0</v>
      </c>
      <c r="AC81" s="329">
        <v>0</v>
      </c>
      <c r="AD81" s="329">
        <v>0</v>
      </c>
      <c r="AE81" s="329">
        <v>0</v>
      </c>
      <c r="AF81" s="329">
        <v>0</v>
      </c>
      <c r="AG81" s="329">
        <v>0</v>
      </c>
      <c r="AH81" s="329">
        <v>0</v>
      </c>
      <c r="AI81" s="329">
        <v>0</v>
      </c>
      <c r="AJ81" s="329">
        <v>0</v>
      </c>
      <c r="AK81" s="329">
        <v>0</v>
      </c>
      <c r="AL81" s="329">
        <v>0</v>
      </c>
      <c r="AM81" s="329">
        <v>0</v>
      </c>
      <c r="AN81" s="329">
        <v>0</v>
      </c>
      <c r="AO81" s="329">
        <v>0</v>
      </c>
      <c r="AP81" s="329">
        <v>0</v>
      </c>
      <c r="AQ81" s="329">
        <v>0</v>
      </c>
      <c r="AR81" s="329">
        <v>0</v>
      </c>
      <c r="AS81" s="329">
        <v>0</v>
      </c>
      <c r="AT81" s="329">
        <v>0</v>
      </c>
      <c r="AU81" s="329">
        <v>0</v>
      </c>
      <c r="AV81" s="329">
        <v>0</v>
      </c>
      <c r="AW81" s="329">
        <v>0</v>
      </c>
      <c r="AX81" s="329">
        <v>0</v>
      </c>
      <c r="AY81" s="329">
        <v>0</v>
      </c>
      <c r="AZ81" s="329">
        <v>0</v>
      </c>
      <c r="BA81" s="329">
        <v>0</v>
      </c>
      <c r="BB81" s="329">
        <v>0</v>
      </c>
      <c r="BC81" s="329">
        <v>0</v>
      </c>
      <c r="BD81" s="329">
        <v>0</v>
      </c>
      <c r="BE81" s="329">
        <v>0</v>
      </c>
      <c r="BF81" s="329">
        <v>0</v>
      </c>
      <c r="BG81" s="329">
        <v>0</v>
      </c>
      <c r="BH81" s="329">
        <v>0</v>
      </c>
      <c r="BI81" s="329">
        <v>0</v>
      </c>
      <c r="BJ81" s="329">
        <v>0</v>
      </c>
      <c r="BK81" s="329">
        <v>0</v>
      </c>
      <c r="BL81" s="329">
        <v>0</v>
      </c>
      <c r="BM81" s="329">
        <v>0</v>
      </c>
      <c r="BN81" s="329">
        <v>0</v>
      </c>
      <c r="BO81" s="329">
        <v>0</v>
      </c>
      <c r="BP81" s="329">
        <v>0</v>
      </c>
      <c r="BQ81" s="329">
        <v>0</v>
      </c>
      <c r="BR81" s="329">
        <v>0</v>
      </c>
      <c r="BS81" s="329">
        <v>0</v>
      </c>
      <c r="BT81" s="329">
        <v>0</v>
      </c>
      <c r="BU81" s="329">
        <v>0</v>
      </c>
      <c r="BV81" s="329">
        <v>0</v>
      </c>
      <c r="BW81" s="329">
        <v>0</v>
      </c>
      <c r="BX81" s="329">
        <v>0</v>
      </c>
      <c r="BY81" s="329">
        <v>0</v>
      </c>
      <c r="BZ81" s="329">
        <v>0</v>
      </c>
      <c r="CA81" s="329">
        <v>0</v>
      </c>
      <c r="CB81" s="329">
        <v>0</v>
      </c>
      <c r="CC81" s="329">
        <v>0</v>
      </c>
      <c r="CD81" s="329">
        <f>115753</f>
        <v>115753</v>
      </c>
      <c r="CE81" s="28">
        <f t="shared" si="11"/>
        <v>115753</v>
      </c>
      <c r="CF81" s="319">
        <v>0</v>
      </c>
    </row>
    <row r="82" spans="1:84" x14ac:dyDescent="0.35">
      <c r="A82" s="29" t="s">
        <v>282</v>
      </c>
      <c r="B82" s="16"/>
      <c r="C82" s="329">
        <v>0</v>
      </c>
      <c r="D82" s="329">
        <v>0</v>
      </c>
      <c r="E82" s="329">
        <v>0</v>
      </c>
      <c r="F82" s="329">
        <v>0</v>
      </c>
      <c r="G82" s="329">
        <v>0</v>
      </c>
      <c r="H82" s="329">
        <v>0</v>
      </c>
      <c r="I82" s="329">
        <v>0</v>
      </c>
      <c r="J82" s="329">
        <v>0</v>
      </c>
      <c r="K82" s="329">
        <v>0</v>
      </c>
      <c r="L82" s="329">
        <v>0</v>
      </c>
      <c r="M82" s="329">
        <v>0</v>
      </c>
      <c r="N82" s="329">
        <v>0</v>
      </c>
      <c r="O82" s="329">
        <v>0</v>
      </c>
      <c r="P82" s="329">
        <v>0</v>
      </c>
      <c r="Q82" s="329">
        <v>0</v>
      </c>
      <c r="R82" s="329">
        <v>0</v>
      </c>
      <c r="S82" s="329">
        <v>0</v>
      </c>
      <c r="T82" s="329">
        <v>0</v>
      </c>
      <c r="U82" s="329">
        <v>0</v>
      </c>
      <c r="V82" s="329">
        <v>0</v>
      </c>
      <c r="W82" s="329">
        <v>0</v>
      </c>
      <c r="X82" s="329">
        <v>0</v>
      </c>
      <c r="Y82" s="329">
        <v>0</v>
      </c>
      <c r="Z82" s="329">
        <v>0</v>
      </c>
      <c r="AA82" s="329">
        <v>0</v>
      </c>
      <c r="AB82" s="329">
        <v>0</v>
      </c>
      <c r="AC82" s="329">
        <v>0</v>
      </c>
      <c r="AD82" s="329">
        <v>0</v>
      </c>
      <c r="AE82" s="329">
        <v>0</v>
      </c>
      <c r="AF82" s="329">
        <v>0</v>
      </c>
      <c r="AG82" s="329">
        <v>0</v>
      </c>
      <c r="AH82" s="329">
        <v>0</v>
      </c>
      <c r="AI82" s="329">
        <v>0</v>
      </c>
      <c r="AJ82" s="329">
        <v>0</v>
      </c>
      <c r="AK82" s="329">
        <v>0</v>
      </c>
      <c r="AL82" s="329">
        <v>0</v>
      </c>
      <c r="AM82" s="329">
        <v>0</v>
      </c>
      <c r="AN82" s="329">
        <v>0</v>
      </c>
      <c r="AO82" s="329">
        <v>0</v>
      </c>
      <c r="AP82" s="329">
        <v>0</v>
      </c>
      <c r="AQ82" s="329">
        <v>0</v>
      </c>
      <c r="AR82" s="329">
        <v>0</v>
      </c>
      <c r="AS82" s="329">
        <v>0</v>
      </c>
      <c r="AT82" s="329">
        <v>0</v>
      </c>
      <c r="AU82" s="329">
        <v>0</v>
      </c>
      <c r="AV82" s="329">
        <v>0</v>
      </c>
      <c r="AW82" s="329">
        <v>0</v>
      </c>
      <c r="AX82" s="329">
        <v>0</v>
      </c>
      <c r="AY82" s="329">
        <v>0</v>
      </c>
      <c r="AZ82" s="329">
        <v>0</v>
      </c>
      <c r="BA82" s="329">
        <v>0</v>
      </c>
      <c r="BB82" s="329">
        <v>0</v>
      </c>
      <c r="BC82" s="329">
        <v>0</v>
      </c>
      <c r="BD82" s="329">
        <v>0</v>
      </c>
      <c r="BE82" s="329">
        <v>0</v>
      </c>
      <c r="BF82" s="329">
        <v>0</v>
      </c>
      <c r="BG82" s="329">
        <v>0</v>
      </c>
      <c r="BH82" s="329">
        <v>0</v>
      </c>
      <c r="BI82" s="329">
        <v>0</v>
      </c>
      <c r="BJ82" s="329">
        <v>0</v>
      </c>
      <c r="BK82" s="329">
        <v>0</v>
      </c>
      <c r="BL82" s="329">
        <v>0</v>
      </c>
      <c r="BM82" s="329">
        <v>0</v>
      </c>
      <c r="BN82" s="329">
        <v>0</v>
      </c>
      <c r="BO82" s="329">
        <v>0</v>
      </c>
      <c r="BP82" s="329">
        <v>0</v>
      </c>
      <c r="BQ82" s="329">
        <v>0</v>
      </c>
      <c r="BR82" s="329">
        <v>0</v>
      </c>
      <c r="BS82" s="329">
        <v>0</v>
      </c>
      <c r="BT82" s="329">
        <v>0</v>
      </c>
      <c r="BU82" s="329">
        <v>0</v>
      </c>
      <c r="BV82" s="329">
        <v>0</v>
      </c>
      <c r="BW82" s="329">
        <v>0</v>
      </c>
      <c r="BX82" s="329">
        <v>0</v>
      </c>
      <c r="BY82" s="329">
        <v>0</v>
      </c>
      <c r="BZ82" s="329">
        <v>0</v>
      </c>
      <c r="CA82" s="329">
        <v>0</v>
      </c>
      <c r="CB82" s="329">
        <v>0</v>
      </c>
      <c r="CC82" s="329">
        <v>0</v>
      </c>
      <c r="CD82" s="329">
        <v>0</v>
      </c>
      <c r="CE82" s="28">
        <f t="shared" si="11"/>
        <v>0</v>
      </c>
      <c r="CF82" s="319">
        <v>0</v>
      </c>
    </row>
    <row r="83" spans="1:84" x14ac:dyDescent="0.35">
      <c r="A83" s="29" t="s">
        <v>283</v>
      </c>
      <c r="B83" s="16"/>
      <c r="C83" s="318">
        <v>0</v>
      </c>
      <c r="D83" s="318">
        <v>0</v>
      </c>
      <c r="E83" s="321">
        <v>1561</v>
      </c>
      <c r="F83" s="321">
        <v>0</v>
      </c>
      <c r="G83" s="318">
        <v>0</v>
      </c>
      <c r="H83" s="318">
        <v>0</v>
      </c>
      <c r="I83" s="321">
        <v>0</v>
      </c>
      <c r="J83" s="321">
        <v>0</v>
      </c>
      <c r="K83" s="321">
        <f>34743-K80-K77</f>
        <v>30887</v>
      </c>
      <c r="L83" s="321">
        <v>2518</v>
      </c>
      <c r="M83" s="318">
        <v>0</v>
      </c>
      <c r="N83" s="318">
        <v>0</v>
      </c>
      <c r="O83" s="318">
        <v>0</v>
      </c>
      <c r="P83" s="321">
        <v>3433</v>
      </c>
      <c r="Q83" s="321">
        <v>0</v>
      </c>
      <c r="R83" s="322">
        <v>0</v>
      </c>
      <c r="S83" s="321">
        <v>0</v>
      </c>
      <c r="T83" s="318">
        <v>0</v>
      </c>
      <c r="U83" s="321">
        <f>1515+415</f>
        <v>1930</v>
      </c>
      <c r="V83" s="321">
        <v>0</v>
      </c>
      <c r="W83" s="318">
        <v>72</v>
      </c>
      <c r="X83" s="321">
        <v>373</v>
      </c>
      <c r="Y83" s="321">
        <v>904</v>
      </c>
      <c r="Z83" s="321">
        <v>0</v>
      </c>
      <c r="AA83" s="321">
        <v>0</v>
      </c>
      <c r="AB83" s="321">
        <v>14720</v>
      </c>
      <c r="AC83" s="321">
        <v>0</v>
      </c>
      <c r="AD83" s="321">
        <v>0</v>
      </c>
      <c r="AE83" s="321">
        <f>15509-AE80-AE77</f>
        <v>9975</v>
      </c>
      <c r="AF83" s="321">
        <v>0</v>
      </c>
      <c r="AG83" s="321">
        <f>6663-AG80-AG77</f>
        <v>2091</v>
      </c>
      <c r="AH83" s="321">
        <v>0</v>
      </c>
      <c r="AI83" s="321">
        <v>0</v>
      </c>
      <c r="AJ83" s="321">
        <f>15162-AJ80-AJ77</f>
        <v>4963</v>
      </c>
      <c r="AK83" s="321">
        <f>3505-AK80-AK77</f>
        <v>1406</v>
      </c>
      <c r="AL83" s="321">
        <v>0</v>
      </c>
      <c r="AM83" s="321">
        <v>0</v>
      </c>
      <c r="AN83" s="321">
        <v>0</v>
      </c>
      <c r="AO83" s="318">
        <v>344</v>
      </c>
      <c r="AP83" s="321">
        <v>0</v>
      </c>
      <c r="AQ83" s="318">
        <v>0</v>
      </c>
      <c r="AR83" s="318">
        <v>0</v>
      </c>
      <c r="AS83" s="318">
        <v>0</v>
      </c>
      <c r="AT83" s="318">
        <v>0</v>
      </c>
      <c r="AU83" s="321">
        <v>0</v>
      </c>
      <c r="AV83" s="321">
        <v>955</v>
      </c>
      <c r="AW83" s="321">
        <v>0</v>
      </c>
      <c r="AX83" s="321">
        <v>0</v>
      </c>
      <c r="AY83" s="321">
        <f>145-757</f>
        <v>-612</v>
      </c>
      <c r="AZ83" s="321">
        <v>1245</v>
      </c>
      <c r="BA83" s="321">
        <v>135</v>
      </c>
      <c r="BB83" s="321">
        <v>0</v>
      </c>
      <c r="BC83" s="321">
        <v>0</v>
      </c>
      <c r="BD83" s="321">
        <v>3181</v>
      </c>
      <c r="BE83" s="321">
        <f>201106-BE80-BE77</f>
        <v>692</v>
      </c>
      <c r="BF83" s="321">
        <v>0</v>
      </c>
      <c r="BG83" s="321">
        <v>0</v>
      </c>
      <c r="BH83" s="322">
        <f>36+35347</f>
        <v>35383</v>
      </c>
      <c r="BI83" s="321">
        <v>0</v>
      </c>
      <c r="BJ83" s="321">
        <f>44760-BJ80</f>
        <v>42734</v>
      </c>
      <c r="BK83" s="321">
        <v>375</v>
      </c>
      <c r="BL83" s="321">
        <v>347</v>
      </c>
      <c r="BM83" s="321">
        <v>0</v>
      </c>
      <c r="BN83" s="321">
        <f>94276-BN80-BN79-BN77</f>
        <v>91969</v>
      </c>
      <c r="BO83" s="321">
        <v>0</v>
      </c>
      <c r="BP83" s="321">
        <v>0</v>
      </c>
      <c r="BQ83" s="321">
        <v>0</v>
      </c>
      <c r="BR83" s="321">
        <f>99735-BR80-BR79-BR77</f>
        <v>961</v>
      </c>
      <c r="BS83" s="321">
        <v>0</v>
      </c>
      <c r="BT83" s="321">
        <v>0</v>
      </c>
      <c r="BU83" s="321">
        <v>0</v>
      </c>
      <c r="BV83" s="321">
        <v>3743</v>
      </c>
      <c r="BW83" s="321">
        <v>0</v>
      </c>
      <c r="BX83" s="321">
        <v>0</v>
      </c>
      <c r="BY83" s="321">
        <f>1227+24442</f>
        <v>25669</v>
      </c>
      <c r="BZ83" s="321">
        <v>0</v>
      </c>
      <c r="CA83" s="321">
        <v>0</v>
      </c>
      <c r="CB83" s="321">
        <v>0</v>
      </c>
      <c r="CC83" s="321">
        <v>0</v>
      </c>
      <c r="CD83" s="329">
        <f>744236-CD81-CD74-CD73-CD72</f>
        <v>263716</v>
      </c>
      <c r="CE83" s="28">
        <f t="shared" si="11"/>
        <v>545670</v>
      </c>
      <c r="CF83" s="319">
        <v>0</v>
      </c>
    </row>
    <row r="84" spans="1:84" x14ac:dyDescent="0.35">
      <c r="A84" s="35" t="s">
        <v>284</v>
      </c>
      <c r="B84" s="16"/>
      <c r="C84" s="318">
        <v>0</v>
      </c>
      <c r="D84" s="318">
        <v>0</v>
      </c>
      <c r="E84" s="318">
        <v>0</v>
      </c>
      <c r="F84" s="318">
        <v>0</v>
      </c>
      <c r="G84" s="318">
        <v>0</v>
      </c>
      <c r="H84" s="318">
        <v>0</v>
      </c>
      <c r="I84" s="318">
        <v>0</v>
      </c>
      <c r="J84" s="318">
        <v>0</v>
      </c>
      <c r="K84" s="318">
        <v>17465</v>
      </c>
      <c r="L84" s="318">
        <v>0</v>
      </c>
      <c r="M84" s="318">
        <v>0</v>
      </c>
      <c r="N84" s="318">
        <v>0</v>
      </c>
      <c r="O84" s="318">
        <v>0</v>
      </c>
      <c r="P84" s="318">
        <v>0</v>
      </c>
      <c r="Q84" s="318">
        <v>0</v>
      </c>
      <c r="R84" s="318">
        <v>0</v>
      </c>
      <c r="S84" s="318">
        <v>0</v>
      </c>
      <c r="T84" s="318">
        <v>0</v>
      </c>
      <c r="U84" s="318">
        <v>0</v>
      </c>
      <c r="V84" s="318">
        <v>0</v>
      </c>
      <c r="W84" s="318">
        <v>0</v>
      </c>
      <c r="X84" s="318">
        <v>0</v>
      </c>
      <c r="Y84" s="318">
        <v>0</v>
      </c>
      <c r="Z84" s="318">
        <v>0</v>
      </c>
      <c r="AA84" s="318">
        <v>0</v>
      </c>
      <c r="AB84" s="318">
        <v>0</v>
      </c>
      <c r="AC84" s="318">
        <v>0</v>
      </c>
      <c r="AD84" s="318">
        <v>0</v>
      </c>
      <c r="AE84" s="318">
        <v>0</v>
      </c>
      <c r="AF84" s="318">
        <v>0</v>
      </c>
      <c r="AG84" s="318">
        <v>0</v>
      </c>
      <c r="AH84" s="318">
        <v>0</v>
      </c>
      <c r="AI84" s="318">
        <v>0</v>
      </c>
      <c r="AJ84" s="318">
        <v>0</v>
      </c>
      <c r="AK84" s="318">
        <v>0</v>
      </c>
      <c r="AL84" s="318">
        <v>0</v>
      </c>
      <c r="AM84" s="318">
        <v>0</v>
      </c>
      <c r="AN84" s="318">
        <v>0</v>
      </c>
      <c r="AO84" s="318">
        <v>0</v>
      </c>
      <c r="AP84" s="318">
        <v>0</v>
      </c>
      <c r="AQ84" s="318">
        <v>0</v>
      </c>
      <c r="AR84" s="318">
        <v>0</v>
      </c>
      <c r="AS84" s="318">
        <v>0</v>
      </c>
      <c r="AT84" s="318">
        <v>0</v>
      </c>
      <c r="AU84" s="318">
        <v>0</v>
      </c>
      <c r="AV84" s="318">
        <v>0</v>
      </c>
      <c r="AW84" s="318">
        <v>0</v>
      </c>
      <c r="AX84" s="318">
        <v>0</v>
      </c>
      <c r="AY84" s="318">
        <v>282403</v>
      </c>
      <c r="AZ84" s="318">
        <f>86833+41257</f>
        <v>128090</v>
      </c>
      <c r="BA84" s="318">
        <v>370144</v>
      </c>
      <c r="BB84" s="318">
        <v>0</v>
      </c>
      <c r="BC84" s="318">
        <v>0</v>
      </c>
      <c r="BD84" s="318">
        <v>0</v>
      </c>
      <c r="BE84" s="318">
        <v>0</v>
      </c>
      <c r="BF84" s="318">
        <v>0</v>
      </c>
      <c r="BG84" s="318">
        <v>0</v>
      </c>
      <c r="BH84" s="318">
        <v>0</v>
      </c>
      <c r="BI84" s="318">
        <v>0</v>
      </c>
      <c r="BJ84" s="318">
        <v>0</v>
      </c>
      <c r="BK84" s="318">
        <v>0</v>
      </c>
      <c r="BL84" s="318">
        <v>0</v>
      </c>
      <c r="BM84" s="318">
        <v>0</v>
      </c>
      <c r="BN84" s="318">
        <v>32804</v>
      </c>
      <c r="BO84" s="318">
        <v>0</v>
      </c>
      <c r="BP84" s="318">
        <v>0</v>
      </c>
      <c r="BQ84" s="318">
        <v>0</v>
      </c>
      <c r="BR84" s="318">
        <v>0</v>
      </c>
      <c r="BS84" s="318">
        <v>0</v>
      </c>
      <c r="BT84" s="318">
        <v>0</v>
      </c>
      <c r="BU84" s="318">
        <v>0</v>
      </c>
      <c r="BV84" s="318">
        <v>18905</v>
      </c>
      <c r="BW84" s="318">
        <v>0</v>
      </c>
      <c r="BX84" s="318">
        <v>0</v>
      </c>
      <c r="BY84" s="318">
        <v>0</v>
      </c>
      <c r="BZ84" s="318">
        <v>0</v>
      </c>
      <c r="CA84" s="318">
        <v>0</v>
      </c>
      <c r="CB84" s="318">
        <v>0</v>
      </c>
      <c r="CC84" s="318">
        <v>0</v>
      </c>
      <c r="CD84" s="329">
        <v>248425</v>
      </c>
      <c r="CE84" s="28">
        <f t="shared" si="11"/>
        <v>1098236</v>
      </c>
      <c r="CF84" s="319">
        <v>0</v>
      </c>
    </row>
    <row r="85" spans="1:84" x14ac:dyDescent="0.35">
      <c r="A85" s="35" t="s">
        <v>285</v>
      </c>
      <c r="B85" s="28"/>
      <c r="C85" s="28">
        <f>SUM(C61:C69)-C84</f>
        <v>0</v>
      </c>
      <c r="D85" s="28">
        <f t="shared" ref="D85:BO85" si="12">SUM(D61:D69)-D84</f>
        <v>0</v>
      </c>
      <c r="E85" s="28">
        <f t="shared" si="12"/>
        <v>1287525</v>
      </c>
      <c r="F85" s="28">
        <f t="shared" si="12"/>
        <v>0</v>
      </c>
      <c r="G85" s="28">
        <f t="shared" si="12"/>
        <v>0</v>
      </c>
      <c r="H85" s="28">
        <f t="shared" si="12"/>
        <v>0</v>
      </c>
      <c r="I85" s="28">
        <f t="shared" si="12"/>
        <v>0</v>
      </c>
      <c r="J85" s="28">
        <f t="shared" si="12"/>
        <v>0</v>
      </c>
      <c r="K85" s="28">
        <f t="shared" si="12"/>
        <v>3587530</v>
      </c>
      <c r="L85" s="28">
        <f t="shared" si="12"/>
        <v>2076472</v>
      </c>
      <c r="M85" s="28">
        <f t="shared" si="12"/>
        <v>0</v>
      </c>
      <c r="N85" s="28">
        <f t="shared" si="12"/>
        <v>0</v>
      </c>
      <c r="O85" s="28">
        <f t="shared" si="12"/>
        <v>0</v>
      </c>
      <c r="P85" s="28">
        <f t="shared" si="12"/>
        <v>812781</v>
      </c>
      <c r="Q85" s="28">
        <f t="shared" si="12"/>
        <v>21691</v>
      </c>
      <c r="R85" s="28">
        <f t="shared" si="12"/>
        <v>107990</v>
      </c>
      <c r="S85" s="28">
        <f t="shared" si="12"/>
        <v>63706</v>
      </c>
      <c r="T85" s="28">
        <f t="shared" si="12"/>
        <v>0</v>
      </c>
      <c r="U85" s="28">
        <f t="shared" si="12"/>
        <v>1485545</v>
      </c>
      <c r="V85" s="28">
        <f t="shared" si="12"/>
        <v>0</v>
      </c>
      <c r="W85" s="28">
        <f t="shared" si="12"/>
        <v>130521</v>
      </c>
      <c r="X85" s="28">
        <f t="shared" si="12"/>
        <v>676595</v>
      </c>
      <c r="Y85" s="28">
        <f t="shared" si="12"/>
        <v>1638494</v>
      </c>
      <c r="Z85" s="28">
        <f t="shared" si="12"/>
        <v>0</v>
      </c>
      <c r="AA85" s="28">
        <f t="shared" si="12"/>
        <v>0</v>
      </c>
      <c r="AB85" s="28">
        <f t="shared" si="12"/>
        <v>2302025</v>
      </c>
      <c r="AC85" s="28">
        <f t="shared" si="12"/>
        <v>193681</v>
      </c>
      <c r="AD85" s="28">
        <f t="shared" si="12"/>
        <v>0</v>
      </c>
      <c r="AE85" s="28">
        <f t="shared" si="12"/>
        <v>1396170</v>
      </c>
      <c r="AF85" s="28">
        <f t="shared" si="12"/>
        <v>0</v>
      </c>
      <c r="AG85" s="28">
        <f t="shared" si="12"/>
        <v>4590856</v>
      </c>
      <c r="AH85" s="28">
        <f t="shared" si="12"/>
        <v>0</v>
      </c>
      <c r="AI85" s="28">
        <f t="shared" si="12"/>
        <v>0</v>
      </c>
      <c r="AJ85" s="28">
        <f t="shared" si="12"/>
        <v>1518762</v>
      </c>
      <c r="AK85" s="28">
        <f t="shared" si="12"/>
        <v>299385</v>
      </c>
      <c r="AL85" s="28">
        <f t="shared" si="12"/>
        <v>225550</v>
      </c>
      <c r="AM85" s="28">
        <f t="shared" si="12"/>
        <v>0</v>
      </c>
      <c r="AN85" s="28">
        <f t="shared" si="12"/>
        <v>0</v>
      </c>
      <c r="AO85" s="28">
        <f t="shared" si="12"/>
        <v>283760</v>
      </c>
      <c r="AP85" s="28">
        <f t="shared" si="12"/>
        <v>0</v>
      </c>
      <c r="AQ85" s="28">
        <f t="shared" si="12"/>
        <v>0</v>
      </c>
      <c r="AR85" s="28">
        <f t="shared" si="12"/>
        <v>0</v>
      </c>
      <c r="AS85" s="28">
        <f t="shared" si="12"/>
        <v>0</v>
      </c>
      <c r="AT85" s="28">
        <f t="shared" si="12"/>
        <v>0</v>
      </c>
      <c r="AU85" s="28">
        <f t="shared" si="12"/>
        <v>0</v>
      </c>
      <c r="AV85" s="28">
        <f t="shared" si="12"/>
        <v>124387</v>
      </c>
      <c r="AW85" s="28">
        <f t="shared" si="12"/>
        <v>0</v>
      </c>
      <c r="AX85" s="28">
        <f t="shared" si="12"/>
        <v>0</v>
      </c>
      <c r="AY85" s="28">
        <f t="shared" si="12"/>
        <v>828301</v>
      </c>
      <c r="AZ85" s="28">
        <f t="shared" si="12"/>
        <v>77131</v>
      </c>
      <c r="BA85" s="28">
        <f t="shared" si="12"/>
        <v>90179</v>
      </c>
      <c r="BB85" s="28">
        <f t="shared" si="12"/>
        <v>89711</v>
      </c>
      <c r="BC85" s="28">
        <f t="shared" si="12"/>
        <v>0</v>
      </c>
      <c r="BD85" s="28">
        <f t="shared" si="12"/>
        <v>332590</v>
      </c>
      <c r="BE85" s="28">
        <f t="shared" si="12"/>
        <v>1078674</v>
      </c>
      <c r="BF85" s="28">
        <f t="shared" si="12"/>
        <v>561710</v>
      </c>
      <c r="BG85" s="28">
        <f t="shared" si="12"/>
        <v>58116</v>
      </c>
      <c r="BH85" s="28">
        <f t="shared" si="12"/>
        <v>919140</v>
      </c>
      <c r="BI85" s="28">
        <f t="shared" si="12"/>
        <v>0</v>
      </c>
      <c r="BJ85" s="28">
        <f t="shared" si="12"/>
        <v>809312</v>
      </c>
      <c r="BK85" s="28">
        <f t="shared" si="12"/>
        <v>629763</v>
      </c>
      <c r="BL85" s="28">
        <f t="shared" si="12"/>
        <v>549182</v>
      </c>
      <c r="BM85" s="28">
        <f t="shared" si="12"/>
        <v>0</v>
      </c>
      <c r="BN85" s="28">
        <f t="shared" si="12"/>
        <v>2905154</v>
      </c>
      <c r="BO85" s="28">
        <f t="shared" si="12"/>
        <v>0</v>
      </c>
      <c r="BP85" s="28">
        <f t="shared" ref="BP85:CD85" si="13">SUM(BP61:BP69)-BP84</f>
        <v>0</v>
      </c>
      <c r="BQ85" s="28">
        <f t="shared" si="13"/>
        <v>0</v>
      </c>
      <c r="BR85" s="28">
        <f t="shared" si="13"/>
        <v>503518</v>
      </c>
      <c r="BS85" s="28">
        <f t="shared" si="13"/>
        <v>0</v>
      </c>
      <c r="BT85" s="28">
        <f t="shared" si="13"/>
        <v>0</v>
      </c>
      <c r="BU85" s="28">
        <f t="shared" si="13"/>
        <v>0</v>
      </c>
      <c r="BV85" s="28">
        <f t="shared" si="13"/>
        <v>790204</v>
      </c>
      <c r="BW85" s="28">
        <f t="shared" si="13"/>
        <v>0</v>
      </c>
      <c r="BX85" s="28">
        <f t="shared" si="13"/>
        <v>0</v>
      </c>
      <c r="BY85" s="28">
        <f t="shared" si="13"/>
        <v>455264</v>
      </c>
      <c r="BZ85" s="28">
        <f t="shared" si="13"/>
        <v>0</v>
      </c>
      <c r="CA85" s="28">
        <f t="shared" si="13"/>
        <v>0</v>
      </c>
      <c r="CB85" s="28">
        <f t="shared" si="13"/>
        <v>0</v>
      </c>
      <c r="CC85" s="28">
        <f t="shared" si="13"/>
        <v>0</v>
      </c>
      <c r="CD85" s="28">
        <f t="shared" si="13"/>
        <v>495811</v>
      </c>
      <c r="CE85" s="28">
        <f t="shared" si="11"/>
        <v>33997186</v>
      </c>
      <c r="CF85" s="319">
        <v>0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9">
        <v>1317121</v>
      </c>
      <c r="CF86" s="319">
        <v>0</v>
      </c>
    </row>
    <row r="87" spans="1:84" x14ac:dyDescent="0.35">
      <c r="A87" s="35" t="s">
        <v>287</v>
      </c>
      <c r="B87" s="16"/>
      <c r="C87" s="318">
        <v>0</v>
      </c>
      <c r="D87" s="318">
        <v>0</v>
      </c>
      <c r="E87" s="318">
        <v>1977160</v>
      </c>
      <c r="F87" s="318">
        <v>0</v>
      </c>
      <c r="G87" s="318">
        <v>0</v>
      </c>
      <c r="H87" s="318">
        <v>0</v>
      </c>
      <c r="I87" s="318">
        <v>0</v>
      </c>
      <c r="J87" s="318">
        <v>0</v>
      </c>
      <c r="K87" s="318">
        <v>4477156</v>
      </c>
      <c r="L87" s="318">
        <v>2327274</v>
      </c>
      <c r="M87" s="318">
        <v>0</v>
      </c>
      <c r="N87" s="318">
        <v>0</v>
      </c>
      <c r="O87" s="318">
        <v>0</v>
      </c>
      <c r="P87" s="318">
        <v>15547</v>
      </c>
      <c r="Q87" s="318">
        <v>0</v>
      </c>
      <c r="R87" s="318">
        <v>0</v>
      </c>
      <c r="S87" s="318">
        <v>293748</v>
      </c>
      <c r="T87" s="318">
        <v>0</v>
      </c>
      <c r="U87" s="318">
        <v>474966</v>
      </c>
      <c r="V87" s="318">
        <v>9050</v>
      </c>
      <c r="W87" s="318">
        <v>15373</v>
      </c>
      <c r="X87" s="318">
        <v>79687</v>
      </c>
      <c r="Y87" s="318">
        <v>192978</v>
      </c>
      <c r="Z87" s="318">
        <v>0</v>
      </c>
      <c r="AA87" s="318">
        <v>0</v>
      </c>
      <c r="AB87" s="318">
        <v>701900</v>
      </c>
      <c r="AC87" s="318">
        <v>104540</v>
      </c>
      <c r="AD87" s="318">
        <v>0</v>
      </c>
      <c r="AE87" s="318">
        <v>350739</v>
      </c>
      <c r="AF87" s="318">
        <v>0</v>
      </c>
      <c r="AG87" s="318">
        <v>135386</v>
      </c>
      <c r="AH87" s="318">
        <v>0</v>
      </c>
      <c r="AI87" s="318">
        <v>0</v>
      </c>
      <c r="AJ87" s="318">
        <v>0</v>
      </c>
      <c r="AK87" s="318">
        <v>448742</v>
      </c>
      <c r="AL87" s="318">
        <v>74783</v>
      </c>
      <c r="AM87" s="318">
        <v>0</v>
      </c>
      <c r="AN87" s="318">
        <v>0</v>
      </c>
      <c r="AO87" s="318">
        <v>0</v>
      </c>
      <c r="AP87" s="318">
        <v>0</v>
      </c>
      <c r="AQ87" s="318">
        <v>0</v>
      </c>
      <c r="AR87" s="318">
        <v>0</v>
      </c>
      <c r="AS87" s="318">
        <v>0</v>
      </c>
      <c r="AT87" s="318">
        <v>0</v>
      </c>
      <c r="AU87" s="318">
        <v>0</v>
      </c>
      <c r="AV87" s="318">
        <v>110210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14">SUM(C87:CD87)</f>
        <v>11789239</v>
      </c>
      <c r="CF87" s="319">
        <v>0</v>
      </c>
    </row>
    <row r="88" spans="1:84" x14ac:dyDescent="0.35">
      <c r="A88" s="35" t="s">
        <v>288</v>
      </c>
      <c r="B88" s="16"/>
      <c r="C88" s="318">
        <v>0</v>
      </c>
      <c r="D88" s="318">
        <v>0</v>
      </c>
      <c r="E88" s="318">
        <v>0</v>
      </c>
      <c r="F88" s="318">
        <v>0</v>
      </c>
      <c r="G88" s="318">
        <v>0</v>
      </c>
      <c r="H88" s="318">
        <v>0</v>
      </c>
      <c r="I88" s="318">
        <v>0</v>
      </c>
      <c r="J88" s="318">
        <v>0</v>
      </c>
      <c r="K88" s="318">
        <v>0</v>
      </c>
      <c r="L88" s="318">
        <v>0</v>
      </c>
      <c r="M88" s="318">
        <v>0</v>
      </c>
      <c r="N88" s="318">
        <v>0</v>
      </c>
      <c r="O88" s="318">
        <v>0</v>
      </c>
      <c r="P88" s="318">
        <v>1096354</v>
      </c>
      <c r="Q88" s="318">
        <v>32862</v>
      </c>
      <c r="R88" s="318">
        <v>103901</v>
      </c>
      <c r="S88" s="318">
        <v>638042</v>
      </c>
      <c r="T88" s="318">
        <v>0</v>
      </c>
      <c r="U88" s="318">
        <v>3362049</v>
      </c>
      <c r="V88" s="318">
        <v>260614</v>
      </c>
      <c r="W88" s="318">
        <v>509552</v>
      </c>
      <c r="X88" s="318">
        <v>2641412</v>
      </c>
      <c r="Y88" s="318">
        <v>6396587</v>
      </c>
      <c r="Z88" s="318">
        <v>0</v>
      </c>
      <c r="AA88" s="318">
        <v>0</v>
      </c>
      <c r="AB88" s="318">
        <v>5643695</v>
      </c>
      <c r="AC88" s="318">
        <v>640465</v>
      </c>
      <c r="AD88" s="318">
        <v>0</v>
      </c>
      <c r="AE88" s="318">
        <v>2897800</v>
      </c>
      <c r="AF88" s="318">
        <v>0</v>
      </c>
      <c r="AG88" s="318">
        <v>12300895</v>
      </c>
      <c r="AH88" s="318">
        <v>0</v>
      </c>
      <c r="AI88" s="318">
        <v>0</v>
      </c>
      <c r="AJ88" s="318">
        <v>881147</v>
      </c>
      <c r="AK88" s="318">
        <v>672214</v>
      </c>
      <c r="AL88" s="318">
        <v>360443</v>
      </c>
      <c r="AM88" s="318">
        <v>0</v>
      </c>
      <c r="AN88" s="318">
        <v>0</v>
      </c>
      <c r="AO88" s="318">
        <v>536599</v>
      </c>
      <c r="AP88" s="318">
        <v>0</v>
      </c>
      <c r="AQ88" s="318">
        <v>0</v>
      </c>
      <c r="AR88" s="318">
        <v>0</v>
      </c>
      <c r="AS88" s="318">
        <v>0</v>
      </c>
      <c r="AT88" s="318">
        <v>0</v>
      </c>
      <c r="AU88" s="318">
        <v>0</v>
      </c>
      <c r="AV88" s="318">
        <v>1263627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14"/>
        <v>40238258</v>
      </c>
      <c r="CF88" s="319">
        <v>0</v>
      </c>
    </row>
    <row r="89" spans="1:84" x14ac:dyDescent="0.35">
      <c r="A89" s="22" t="s">
        <v>289</v>
      </c>
      <c r="B89" s="16"/>
      <c r="C89" s="28">
        <f>C87+C88</f>
        <v>0</v>
      </c>
      <c r="D89" s="28">
        <f t="shared" ref="D89:AV89" si="15">D87+D88</f>
        <v>0</v>
      </c>
      <c r="E89" s="28">
        <f t="shared" si="15"/>
        <v>1977160</v>
      </c>
      <c r="F89" s="28">
        <f t="shared" si="15"/>
        <v>0</v>
      </c>
      <c r="G89" s="28">
        <f t="shared" si="15"/>
        <v>0</v>
      </c>
      <c r="H89" s="28">
        <f t="shared" si="15"/>
        <v>0</v>
      </c>
      <c r="I89" s="28">
        <f t="shared" si="15"/>
        <v>0</v>
      </c>
      <c r="J89" s="28">
        <f t="shared" si="15"/>
        <v>0</v>
      </c>
      <c r="K89" s="28">
        <f t="shared" si="15"/>
        <v>4477156</v>
      </c>
      <c r="L89" s="28">
        <f t="shared" si="15"/>
        <v>2327274</v>
      </c>
      <c r="M89" s="28">
        <f t="shared" si="15"/>
        <v>0</v>
      </c>
      <c r="N89" s="28">
        <f t="shared" si="15"/>
        <v>0</v>
      </c>
      <c r="O89" s="28">
        <f t="shared" si="15"/>
        <v>0</v>
      </c>
      <c r="P89" s="28">
        <f t="shared" si="15"/>
        <v>1111901</v>
      </c>
      <c r="Q89" s="28">
        <f t="shared" si="15"/>
        <v>32862</v>
      </c>
      <c r="R89" s="28">
        <f t="shared" si="15"/>
        <v>103901</v>
      </c>
      <c r="S89" s="28">
        <f t="shared" si="15"/>
        <v>931790</v>
      </c>
      <c r="T89" s="28">
        <f t="shared" si="15"/>
        <v>0</v>
      </c>
      <c r="U89" s="28">
        <f t="shared" si="15"/>
        <v>3837015</v>
      </c>
      <c r="V89" s="28">
        <f t="shared" si="15"/>
        <v>269664</v>
      </c>
      <c r="W89" s="28">
        <f t="shared" si="15"/>
        <v>524925</v>
      </c>
      <c r="X89" s="28">
        <f t="shared" si="15"/>
        <v>2721099</v>
      </c>
      <c r="Y89" s="28">
        <f t="shared" si="15"/>
        <v>6589565</v>
      </c>
      <c r="Z89" s="28">
        <f t="shared" si="15"/>
        <v>0</v>
      </c>
      <c r="AA89" s="28">
        <f t="shared" si="15"/>
        <v>0</v>
      </c>
      <c r="AB89" s="28">
        <f t="shared" si="15"/>
        <v>6345595</v>
      </c>
      <c r="AC89" s="28">
        <f t="shared" si="15"/>
        <v>745005</v>
      </c>
      <c r="AD89" s="28">
        <f t="shared" si="15"/>
        <v>0</v>
      </c>
      <c r="AE89" s="28">
        <f t="shared" si="15"/>
        <v>3248539</v>
      </c>
      <c r="AF89" s="28">
        <f t="shared" si="15"/>
        <v>0</v>
      </c>
      <c r="AG89" s="28">
        <f t="shared" si="15"/>
        <v>12436281</v>
      </c>
      <c r="AH89" s="28">
        <f t="shared" si="15"/>
        <v>0</v>
      </c>
      <c r="AI89" s="28">
        <f t="shared" si="15"/>
        <v>0</v>
      </c>
      <c r="AJ89" s="28">
        <f t="shared" si="15"/>
        <v>881147</v>
      </c>
      <c r="AK89" s="28">
        <f t="shared" si="15"/>
        <v>1120956</v>
      </c>
      <c r="AL89" s="28">
        <f t="shared" si="15"/>
        <v>435226</v>
      </c>
      <c r="AM89" s="28">
        <f t="shared" si="15"/>
        <v>0</v>
      </c>
      <c r="AN89" s="28">
        <f t="shared" si="15"/>
        <v>0</v>
      </c>
      <c r="AO89" s="28">
        <f t="shared" si="15"/>
        <v>536599</v>
      </c>
      <c r="AP89" s="28">
        <f t="shared" si="15"/>
        <v>0</v>
      </c>
      <c r="AQ89" s="28">
        <f t="shared" si="15"/>
        <v>0</v>
      </c>
      <c r="AR89" s="28">
        <f t="shared" si="15"/>
        <v>0</v>
      </c>
      <c r="AS89" s="28">
        <f t="shared" si="15"/>
        <v>0</v>
      </c>
      <c r="AT89" s="28">
        <f t="shared" si="15"/>
        <v>0</v>
      </c>
      <c r="AU89" s="28">
        <f t="shared" si="15"/>
        <v>0</v>
      </c>
      <c r="AV89" s="28">
        <f t="shared" si="15"/>
        <v>1373837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14"/>
        <v>52027497</v>
      </c>
      <c r="CF89" s="319">
        <v>0</v>
      </c>
    </row>
    <row r="90" spans="1:84" x14ac:dyDescent="0.35">
      <c r="A90" s="35" t="s">
        <v>290</v>
      </c>
      <c r="B90" s="28"/>
      <c r="C90" s="318">
        <v>0</v>
      </c>
      <c r="D90" s="318">
        <v>0</v>
      </c>
      <c r="E90" s="318">
        <v>2450</v>
      </c>
      <c r="F90" s="318">
        <v>0</v>
      </c>
      <c r="G90" s="318">
        <v>0</v>
      </c>
      <c r="H90" s="318">
        <v>0</v>
      </c>
      <c r="I90" s="318">
        <v>0</v>
      </c>
      <c r="J90" s="318">
        <v>0</v>
      </c>
      <c r="K90" s="318">
        <v>16915</v>
      </c>
      <c r="L90" s="318">
        <v>3951</v>
      </c>
      <c r="M90" s="318">
        <v>0</v>
      </c>
      <c r="N90" s="318">
        <v>0</v>
      </c>
      <c r="O90" s="318">
        <v>0</v>
      </c>
      <c r="P90" s="318">
        <v>2717</v>
      </c>
      <c r="Q90" s="318">
        <v>716</v>
      </c>
      <c r="R90" s="318">
        <v>623</v>
      </c>
      <c r="S90" s="318">
        <v>784</v>
      </c>
      <c r="T90" s="318">
        <v>0</v>
      </c>
      <c r="U90" s="318">
        <v>2145</v>
      </c>
      <c r="V90" s="318">
        <v>0</v>
      </c>
      <c r="W90" s="318">
        <v>193</v>
      </c>
      <c r="X90" s="318">
        <v>1001</v>
      </c>
      <c r="Y90" s="318">
        <v>2425</v>
      </c>
      <c r="Z90" s="318">
        <v>0</v>
      </c>
      <c r="AA90" s="318">
        <v>0</v>
      </c>
      <c r="AB90" s="318">
        <v>942</v>
      </c>
      <c r="AC90" s="318">
        <v>173</v>
      </c>
      <c r="AD90" s="318">
        <v>0</v>
      </c>
      <c r="AE90" s="318">
        <v>8469</v>
      </c>
      <c r="AF90" s="318">
        <v>0</v>
      </c>
      <c r="AG90" s="318">
        <v>9684</v>
      </c>
      <c r="AH90" s="318">
        <v>0</v>
      </c>
      <c r="AI90" s="318">
        <v>0</v>
      </c>
      <c r="AJ90" s="318">
        <v>6363</v>
      </c>
      <c r="AK90" s="318">
        <v>0</v>
      </c>
      <c r="AL90" s="318">
        <v>0</v>
      </c>
      <c r="AM90" s="318">
        <v>0</v>
      </c>
      <c r="AN90" s="318">
        <v>0</v>
      </c>
      <c r="AO90" s="318">
        <v>540</v>
      </c>
      <c r="AP90" s="318">
        <v>0</v>
      </c>
      <c r="AQ90" s="318">
        <v>0</v>
      </c>
      <c r="AR90" s="318">
        <v>0</v>
      </c>
      <c r="AS90" s="318">
        <v>0</v>
      </c>
      <c r="AT90" s="318">
        <v>0</v>
      </c>
      <c r="AU90" s="318">
        <v>0</v>
      </c>
      <c r="AV90" s="318">
        <v>894</v>
      </c>
      <c r="AW90" s="318">
        <v>0</v>
      </c>
      <c r="AX90" s="318">
        <v>0</v>
      </c>
      <c r="AY90" s="318">
        <v>3739</v>
      </c>
      <c r="AZ90" s="318">
        <v>0</v>
      </c>
      <c r="BA90" s="318">
        <v>2073</v>
      </c>
      <c r="BB90" s="318">
        <v>0</v>
      </c>
      <c r="BC90" s="318">
        <v>0</v>
      </c>
      <c r="BD90" s="318">
        <v>0</v>
      </c>
      <c r="BE90" s="318">
        <v>9406</v>
      </c>
      <c r="BF90" s="318">
        <v>1496</v>
      </c>
      <c r="BG90" s="318">
        <v>740</v>
      </c>
      <c r="BH90" s="318">
        <v>1455</v>
      </c>
      <c r="BI90" s="318">
        <v>0</v>
      </c>
      <c r="BJ90" s="318">
        <v>2436</v>
      </c>
      <c r="BK90" s="318">
        <v>0</v>
      </c>
      <c r="BL90" s="318">
        <v>2278</v>
      </c>
      <c r="BM90" s="318">
        <v>0</v>
      </c>
      <c r="BN90" s="318">
        <f>3061</f>
        <v>3061</v>
      </c>
      <c r="BO90" s="318">
        <v>0</v>
      </c>
      <c r="BP90" s="318">
        <v>0</v>
      </c>
      <c r="BQ90" s="318">
        <v>0</v>
      </c>
      <c r="BR90" s="318">
        <v>2648</v>
      </c>
      <c r="BS90" s="318">
        <v>0</v>
      </c>
      <c r="BT90" s="318">
        <v>0</v>
      </c>
      <c r="BU90" s="318">
        <v>0</v>
      </c>
      <c r="BV90" s="318">
        <v>1298</v>
      </c>
      <c r="BW90" s="318">
        <v>0</v>
      </c>
      <c r="BX90" s="318">
        <v>0</v>
      </c>
      <c r="BY90" s="318">
        <v>564</v>
      </c>
      <c r="BZ90" s="318">
        <v>0</v>
      </c>
      <c r="CA90" s="318">
        <v>0</v>
      </c>
      <c r="CB90" s="318">
        <v>0</v>
      </c>
      <c r="CC90" s="318">
        <v>0</v>
      </c>
      <c r="CD90" s="236" t="s">
        <v>248</v>
      </c>
      <c r="CE90" s="28">
        <f>SUM(C90:CD90)</f>
        <v>92179</v>
      </c>
      <c r="CF90" s="28">
        <f>BE59-CE90</f>
        <v>-5</v>
      </c>
    </row>
    <row r="91" spans="1:84" x14ac:dyDescent="0.35">
      <c r="A91" s="22" t="s">
        <v>291</v>
      </c>
      <c r="B91" s="16"/>
      <c r="C91" s="318">
        <v>0</v>
      </c>
      <c r="D91" s="318">
        <v>0</v>
      </c>
      <c r="E91" s="318">
        <v>3382</v>
      </c>
      <c r="F91" s="318">
        <v>0</v>
      </c>
      <c r="G91" s="318">
        <v>0</v>
      </c>
      <c r="H91" s="318">
        <v>0</v>
      </c>
      <c r="I91" s="318">
        <v>0</v>
      </c>
      <c r="J91" s="318">
        <v>0</v>
      </c>
      <c r="K91" s="318">
        <v>36593</v>
      </c>
      <c r="L91" s="318">
        <v>4050</v>
      </c>
      <c r="M91" s="318">
        <v>0</v>
      </c>
      <c r="N91" s="318">
        <v>0</v>
      </c>
      <c r="O91" s="318">
        <v>0</v>
      </c>
      <c r="P91" s="318">
        <v>0</v>
      </c>
      <c r="Q91" s="318">
        <v>0</v>
      </c>
      <c r="R91" s="318">
        <v>0</v>
      </c>
      <c r="S91" s="318">
        <v>0</v>
      </c>
      <c r="T91" s="318">
        <v>0</v>
      </c>
      <c r="U91" s="318">
        <v>0</v>
      </c>
      <c r="V91" s="318">
        <v>0</v>
      </c>
      <c r="W91" s="318">
        <v>0</v>
      </c>
      <c r="X91" s="318">
        <v>0</v>
      </c>
      <c r="Y91" s="318">
        <v>0</v>
      </c>
      <c r="Z91" s="318">
        <v>0</v>
      </c>
      <c r="AA91" s="318">
        <v>0</v>
      </c>
      <c r="AB91" s="318">
        <v>0</v>
      </c>
      <c r="AC91" s="318">
        <v>0</v>
      </c>
      <c r="AD91" s="318">
        <v>0</v>
      </c>
      <c r="AE91" s="318">
        <v>0</v>
      </c>
      <c r="AF91" s="318">
        <v>0</v>
      </c>
      <c r="AG91" s="318">
        <v>0</v>
      </c>
      <c r="AH91" s="318">
        <v>0</v>
      </c>
      <c r="AI91" s="318">
        <v>0</v>
      </c>
      <c r="AJ91" s="318">
        <v>0</v>
      </c>
      <c r="AK91" s="318">
        <v>0</v>
      </c>
      <c r="AL91" s="318">
        <v>0</v>
      </c>
      <c r="AM91" s="318">
        <v>0</v>
      </c>
      <c r="AN91" s="318">
        <v>0</v>
      </c>
      <c r="AO91" s="318">
        <v>943</v>
      </c>
      <c r="AP91" s="318">
        <v>0</v>
      </c>
      <c r="AQ91" s="318">
        <v>0</v>
      </c>
      <c r="AR91" s="318">
        <v>0</v>
      </c>
      <c r="AS91" s="318">
        <v>0</v>
      </c>
      <c r="AT91" s="318">
        <v>0</v>
      </c>
      <c r="AU91" s="318">
        <v>0</v>
      </c>
      <c r="AV91" s="318">
        <v>0</v>
      </c>
      <c r="AW91" s="318">
        <v>0</v>
      </c>
      <c r="AX91" s="252" t="s">
        <v>248</v>
      </c>
      <c r="AY91" s="252" t="s">
        <v>248</v>
      </c>
      <c r="AZ91" s="318">
        <v>1693</v>
      </c>
      <c r="BA91" s="318">
        <v>0</v>
      </c>
      <c r="BB91" s="318">
        <v>0</v>
      </c>
      <c r="BC91" s="318">
        <v>0</v>
      </c>
      <c r="BD91" s="25" t="s">
        <v>248</v>
      </c>
      <c r="BE91" s="25" t="s">
        <v>248</v>
      </c>
      <c r="BF91" s="318">
        <v>0</v>
      </c>
      <c r="BG91" s="25" t="s">
        <v>248</v>
      </c>
      <c r="BH91" s="318">
        <v>0</v>
      </c>
      <c r="BI91" s="318">
        <v>0</v>
      </c>
      <c r="BJ91" s="25" t="s">
        <v>248</v>
      </c>
      <c r="BK91" s="318">
        <v>0</v>
      </c>
      <c r="BL91" s="318">
        <v>0</v>
      </c>
      <c r="BM91" s="318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8">
        <v>0</v>
      </c>
      <c r="BS91" s="318">
        <v>0</v>
      </c>
      <c r="BT91" s="318">
        <v>0</v>
      </c>
      <c r="BU91" s="318">
        <v>0</v>
      </c>
      <c r="BV91" s="318">
        <v>0</v>
      </c>
      <c r="BW91" s="318">
        <v>0</v>
      </c>
      <c r="BX91" s="318">
        <v>0</v>
      </c>
      <c r="BY91" s="318">
        <v>0</v>
      </c>
      <c r="BZ91" s="318">
        <v>0</v>
      </c>
      <c r="CA91" s="318">
        <v>0</v>
      </c>
      <c r="CB91" s="318">
        <v>0</v>
      </c>
      <c r="CC91" s="25" t="s">
        <v>248</v>
      </c>
      <c r="CD91" s="25" t="s">
        <v>248</v>
      </c>
      <c r="CE91" s="28">
        <f t="shared" si="14"/>
        <v>46661</v>
      </c>
      <c r="CF91" s="28">
        <f>AY59-CE91</f>
        <v>0</v>
      </c>
    </row>
    <row r="92" spans="1:84" x14ac:dyDescent="0.35">
      <c r="A92" s="22" t="s">
        <v>292</v>
      </c>
      <c r="B92" s="16"/>
      <c r="C92" s="318">
        <v>0</v>
      </c>
      <c r="D92" s="318">
        <v>0</v>
      </c>
      <c r="E92" s="318">
        <v>904</v>
      </c>
      <c r="F92" s="318">
        <v>0</v>
      </c>
      <c r="G92" s="318">
        <v>0</v>
      </c>
      <c r="H92" s="318">
        <v>0</v>
      </c>
      <c r="I92" s="318">
        <v>0</v>
      </c>
      <c r="J92" s="318">
        <v>0</v>
      </c>
      <c r="K92" s="318">
        <v>0</v>
      </c>
      <c r="L92" s="318">
        <v>1458</v>
      </c>
      <c r="M92" s="318">
        <v>0</v>
      </c>
      <c r="N92" s="318">
        <v>0</v>
      </c>
      <c r="O92" s="318">
        <v>0</v>
      </c>
      <c r="P92" s="318">
        <v>299</v>
      </c>
      <c r="Q92" s="318">
        <v>56</v>
      </c>
      <c r="R92" s="318">
        <v>0</v>
      </c>
      <c r="S92" s="318">
        <v>69</v>
      </c>
      <c r="T92" s="318">
        <v>0</v>
      </c>
      <c r="U92" s="318">
        <v>147</v>
      </c>
      <c r="V92" s="318">
        <v>0</v>
      </c>
      <c r="W92" s="318">
        <v>15</v>
      </c>
      <c r="X92" s="318">
        <v>75</v>
      </c>
      <c r="Y92" s="318">
        <v>186</v>
      </c>
      <c r="Z92" s="318">
        <v>0</v>
      </c>
      <c r="AA92" s="318">
        <v>0</v>
      </c>
      <c r="AB92" s="318">
        <v>0</v>
      </c>
      <c r="AC92" s="318">
        <v>0</v>
      </c>
      <c r="AD92" s="318">
        <v>0</v>
      </c>
      <c r="AE92" s="318">
        <v>72</v>
      </c>
      <c r="AF92" s="318">
        <v>0</v>
      </c>
      <c r="AG92" s="318">
        <v>1252</v>
      </c>
      <c r="AH92" s="318">
        <v>0</v>
      </c>
      <c r="AI92" s="318">
        <v>0</v>
      </c>
      <c r="AJ92" s="318">
        <v>246</v>
      </c>
      <c r="AK92" s="318">
        <v>73</v>
      </c>
      <c r="AL92" s="318">
        <v>73</v>
      </c>
      <c r="AM92" s="318">
        <v>0</v>
      </c>
      <c r="AN92" s="318">
        <v>0</v>
      </c>
      <c r="AO92" s="318">
        <v>200</v>
      </c>
      <c r="AP92" s="318">
        <v>0</v>
      </c>
      <c r="AQ92" s="318">
        <v>0</v>
      </c>
      <c r="AR92" s="318">
        <v>0</v>
      </c>
      <c r="AS92" s="318">
        <v>0</v>
      </c>
      <c r="AT92" s="318">
        <v>0</v>
      </c>
      <c r="AU92" s="318">
        <v>0</v>
      </c>
      <c r="AV92" s="318">
        <v>0</v>
      </c>
      <c r="AW92" s="318">
        <v>0</v>
      </c>
      <c r="AX92" s="252" t="s">
        <v>248</v>
      </c>
      <c r="AY92" s="252" t="s">
        <v>248</v>
      </c>
      <c r="AZ92" s="25" t="s">
        <v>248</v>
      </c>
      <c r="BA92" s="318">
        <v>0</v>
      </c>
      <c r="BB92" s="318">
        <v>0</v>
      </c>
      <c r="BC92" s="318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8">
        <v>70</v>
      </c>
      <c r="BI92" s="318">
        <v>0</v>
      </c>
      <c r="BJ92" s="25" t="s">
        <v>248</v>
      </c>
      <c r="BK92" s="318">
        <v>0</v>
      </c>
      <c r="BL92" s="318">
        <v>266</v>
      </c>
      <c r="BM92" s="318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>
        <v>0</v>
      </c>
      <c r="BT92" s="318">
        <v>0</v>
      </c>
      <c r="BU92" s="318">
        <v>0</v>
      </c>
      <c r="BV92" s="318">
        <v>45</v>
      </c>
      <c r="BW92" s="318">
        <v>0</v>
      </c>
      <c r="BX92" s="318">
        <v>0</v>
      </c>
      <c r="BY92" s="318">
        <v>0</v>
      </c>
      <c r="BZ92" s="318">
        <v>0</v>
      </c>
      <c r="CA92" s="318">
        <v>0</v>
      </c>
      <c r="CB92" s="318">
        <v>0</v>
      </c>
      <c r="CC92" s="25" t="s">
        <v>248</v>
      </c>
      <c r="CD92" s="25" t="s">
        <v>248</v>
      </c>
      <c r="CE92" s="28">
        <f t="shared" si="14"/>
        <v>5506</v>
      </c>
      <c r="CF92" s="16"/>
    </row>
    <row r="93" spans="1:84" x14ac:dyDescent="0.35">
      <c r="A93" s="22" t="s">
        <v>293</v>
      </c>
      <c r="B93" s="16"/>
      <c r="C93" s="318">
        <v>0</v>
      </c>
      <c r="D93" s="318">
        <v>0</v>
      </c>
      <c r="E93" s="318">
        <v>15804</v>
      </c>
      <c r="F93" s="318">
        <v>0</v>
      </c>
      <c r="G93" s="318">
        <v>0</v>
      </c>
      <c r="H93" s="318">
        <v>0</v>
      </c>
      <c r="I93" s="318">
        <v>0</v>
      </c>
      <c r="J93" s="318">
        <v>0</v>
      </c>
      <c r="K93" s="318">
        <v>145131</v>
      </c>
      <c r="L93" s="318">
        <v>25488</v>
      </c>
      <c r="M93" s="318">
        <v>0</v>
      </c>
      <c r="N93" s="318">
        <v>0</v>
      </c>
      <c r="O93" s="318">
        <v>0</v>
      </c>
      <c r="P93" s="318">
        <v>3731</v>
      </c>
      <c r="Q93" s="318">
        <v>0</v>
      </c>
      <c r="R93" s="318">
        <v>0</v>
      </c>
      <c r="S93" s="318">
        <v>0</v>
      </c>
      <c r="T93" s="318">
        <v>0</v>
      </c>
      <c r="U93" s="318">
        <v>0</v>
      </c>
      <c r="V93" s="318">
        <v>0</v>
      </c>
      <c r="W93" s="318">
        <v>596</v>
      </c>
      <c r="X93" s="318">
        <v>3091</v>
      </c>
      <c r="Y93" s="318">
        <v>7484</v>
      </c>
      <c r="Z93" s="318">
        <v>0</v>
      </c>
      <c r="AA93" s="318">
        <v>0</v>
      </c>
      <c r="AB93" s="318">
        <v>0</v>
      </c>
      <c r="AC93" s="318">
        <v>0</v>
      </c>
      <c r="AD93" s="318">
        <v>0</v>
      </c>
      <c r="AE93" s="318">
        <v>1393</v>
      </c>
      <c r="AF93" s="318">
        <v>0</v>
      </c>
      <c r="AG93" s="318">
        <v>15598</v>
      </c>
      <c r="AH93" s="318">
        <v>0</v>
      </c>
      <c r="AI93" s="318">
        <v>0</v>
      </c>
      <c r="AJ93" s="318">
        <v>324</v>
      </c>
      <c r="AK93" s="318">
        <v>1392</v>
      </c>
      <c r="AL93" s="318">
        <v>1392</v>
      </c>
      <c r="AM93" s="318">
        <v>0</v>
      </c>
      <c r="AN93" s="318">
        <v>0</v>
      </c>
      <c r="AO93" s="318">
        <v>3483</v>
      </c>
      <c r="AP93" s="318">
        <v>0</v>
      </c>
      <c r="AQ93" s="318">
        <v>0</v>
      </c>
      <c r="AR93" s="318">
        <v>0</v>
      </c>
      <c r="AS93" s="318">
        <v>0</v>
      </c>
      <c r="AT93" s="318">
        <v>0</v>
      </c>
      <c r="AU93" s="318">
        <v>0</v>
      </c>
      <c r="AV93" s="318">
        <v>0</v>
      </c>
      <c r="AW93" s="318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318">
        <v>0</v>
      </c>
      <c r="BC93" s="318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8">
        <v>0</v>
      </c>
      <c r="BI93" s="318">
        <v>0</v>
      </c>
      <c r="BJ93" s="25" t="s">
        <v>248</v>
      </c>
      <c r="BK93" s="318">
        <v>0</v>
      </c>
      <c r="BL93" s="318">
        <v>0</v>
      </c>
      <c r="BM93" s="318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>
        <v>0</v>
      </c>
      <c r="BT93" s="318">
        <v>0</v>
      </c>
      <c r="BU93" s="318">
        <v>0</v>
      </c>
      <c r="BV93" s="318">
        <v>0</v>
      </c>
      <c r="BW93" s="318">
        <v>0</v>
      </c>
      <c r="BX93" s="318">
        <v>0</v>
      </c>
      <c r="BY93" s="318">
        <v>0</v>
      </c>
      <c r="BZ93" s="318">
        <v>0</v>
      </c>
      <c r="CA93" s="318">
        <v>0</v>
      </c>
      <c r="CB93" s="318">
        <v>0</v>
      </c>
      <c r="CC93" s="25" t="s">
        <v>248</v>
      </c>
      <c r="CD93" s="25" t="s">
        <v>248</v>
      </c>
      <c r="CE93" s="28">
        <f t="shared" si="14"/>
        <v>224907</v>
      </c>
      <c r="CF93" s="28">
        <f>BA59</f>
        <v>0</v>
      </c>
    </row>
    <row r="94" spans="1:84" x14ac:dyDescent="0.35">
      <c r="A94" s="22" t="s">
        <v>294</v>
      </c>
      <c r="B94" s="16"/>
      <c r="C94" s="323">
        <v>0</v>
      </c>
      <c r="D94" s="323">
        <v>0</v>
      </c>
      <c r="E94" s="323">
        <v>7.68</v>
      </c>
      <c r="F94" s="323">
        <v>0</v>
      </c>
      <c r="G94" s="323">
        <v>0</v>
      </c>
      <c r="H94" s="323">
        <v>0</v>
      </c>
      <c r="I94" s="323">
        <v>0</v>
      </c>
      <c r="J94" s="323">
        <v>0</v>
      </c>
      <c r="K94" s="323">
        <v>23.55</v>
      </c>
      <c r="L94" s="323">
        <v>12.39</v>
      </c>
      <c r="M94" s="323">
        <v>0</v>
      </c>
      <c r="N94" s="323">
        <v>0</v>
      </c>
      <c r="O94" s="323">
        <v>0</v>
      </c>
      <c r="P94" s="320">
        <v>2.38</v>
      </c>
      <c r="Q94" s="320">
        <v>0.08</v>
      </c>
      <c r="R94" s="320">
        <v>0</v>
      </c>
      <c r="S94" s="324">
        <v>0</v>
      </c>
      <c r="T94" s="324">
        <v>0</v>
      </c>
      <c r="U94" s="325">
        <v>0</v>
      </c>
      <c r="V94" s="320">
        <v>0</v>
      </c>
      <c r="W94" s="320">
        <v>0</v>
      </c>
      <c r="X94" s="320">
        <v>0</v>
      </c>
      <c r="Y94" s="320">
        <v>0</v>
      </c>
      <c r="Z94" s="320">
        <v>0</v>
      </c>
      <c r="AA94" s="320">
        <v>0</v>
      </c>
      <c r="AB94" s="324">
        <v>0</v>
      </c>
      <c r="AC94" s="320">
        <v>0</v>
      </c>
      <c r="AD94" s="320">
        <v>0</v>
      </c>
      <c r="AE94" s="320">
        <v>0</v>
      </c>
      <c r="AF94" s="320">
        <v>0</v>
      </c>
      <c r="AG94" s="320">
        <v>12.45</v>
      </c>
      <c r="AH94" s="320">
        <v>0</v>
      </c>
      <c r="AI94" s="320">
        <v>0</v>
      </c>
      <c r="AJ94" s="320">
        <v>0</v>
      </c>
      <c r="AK94" s="320">
        <v>0</v>
      </c>
      <c r="AL94" s="320">
        <v>0</v>
      </c>
      <c r="AM94" s="320">
        <v>0</v>
      </c>
      <c r="AN94" s="320">
        <v>0</v>
      </c>
      <c r="AO94" s="320">
        <v>1.69</v>
      </c>
      <c r="AP94" s="320">
        <v>0</v>
      </c>
      <c r="AQ94" s="320">
        <v>0</v>
      </c>
      <c r="AR94" s="320">
        <v>0</v>
      </c>
      <c r="AS94" s="320">
        <v>0</v>
      </c>
      <c r="AT94" s="320">
        <v>0</v>
      </c>
      <c r="AU94" s="320">
        <v>0</v>
      </c>
      <c r="AV94" s="324">
        <v>0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8">
        <f t="shared" si="14"/>
        <v>60.22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0" t="s">
        <v>1362</v>
      </c>
      <c r="D96" s="331" t="s">
        <v>5</v>
      </c>
      <c r="E96" s="332" t="s">
        <v>5</v>
      </c>
      <c r="F96" s="12"/>
    </row>
    <row r="97" spans="1:6" x14ac:dyDescent="0.35">
      <c r="A97" s="28" t="s">
        <v>298</v>
      </c>
      <c r="B97" s="36" t="s">
        <v>299</v>
      </c>
      <c r="C97" s="333" t="s">
        <v>300</v>
      </c>
      <c r="D97" s="331" t="s">
        <v>5</v>
      </c>
      <c r="E97" s="332" t="s">
        <v>5</v>
      </c>
      <c r="F97" s="12"/>
    </row>
    <row r="98" spans="1:6" x14ac:dyDescent="0.35">
      <c r="A98" s="28" t="s">
        <v>301</v>
      </c>
      <c r="B98" s="36" t="s">
        <v>299</v>
      </c>
      <c r="C98" s="334" t="s">
        <v>302</v>
      </c>
      <c r="D98" s="331" t="s">
        <v>5</v>
      </c>
      <c r="E98" s="332" t="s">
        <v>5</v>
      </c>
      <c r="F98" s="12"/>
    </row>
    <row r="99" spans="1:6" x14ac:dyDescent="0.35">
      <c r="A99" s="28" t="s">
        <v>303</v>
      </c>
      <c r="B99" s="36" t="s">
        <v>299</v>
      </c>
      <c r="C99" s="335" t="s">
        <v>304</v>
      </c>
      <c r="D99" s="331" t="s">
        <v>5</v>
      </c>
      <c r="E99" s="332" t="s">
        <v>5</v>
      </c>
      <c r="F99" s="12"/>
    </row>
    <row r="100" spans="1:6" x14ac:dyDescent="0.35">
      <c r="A100" s="28" t="s">
        <v>305</v>
      </c>
      <c r="B100" s="36" t="s">
        <v>299</v>
      </c>
      <c r="C100" s="334" t="s">
        <v>306</v>
      </c>
      <c r="D100" s="331" t="s">
        <v>5</v>
      </c>
      <c r="E100" s="332" t="s">
        <v>5</v>
      </c>
      <c r="F100" s="12"/>
    </row>
    <row r="101" spans="1:6" x14ac:dyDescent="0.35">
      <c r="A101" s="28" t="s">
        <v>307</v>
      </c>
      <c r="B101" s="36" t="s">
        <v>299</v>
      </c>
      <c r="C101" s="334" t="s">
        <v>308</v>
      </c>
      <c r="D101" s="331" t="s">
        <v>5</v>
      </c>
      <c r="E101" s="332" t="s">
        <v>5</v>
      </c>
      <c r="F101" s="12"/>
    </row>
    <row r="102" spans="1:6" x14ac:dyDescent="0.35">
      <c r="A102" s="28" t="s">
        <v>309</v>
      </c>
      <c r="B102" s="36" t="s">
        <v>299</v>
      </c>
      <c r="C102" s="336">
        <v>98855</v>
      </c>
      <c r="D102" s="331" t="s">
        <v>5</v>
      </c>
      <c r="E102" s="332" t="s">
        <v>5</v>
      </c>
      <c r="F102" s="12"/>
    </row>
    <row r="103" spans="1:6" x14ac:dyDescent="0.35">
      <c r="A103" s="28" t="s">
        <v>310</v>
      </c>
      <c r="B103" s="36" t="s">
        <v>299</v>
      </c>
      <c r="C103" s="334" t="s">
        <v>311</v>
      </c>
      <c r="D103" s="331" t="s">
        <v>5</v>
      </c>
      <c r="E103" s="332" t="s">
        <v>5</v>
      </c>
      <c r="F103" s="12"/>
    </row>
    <row r="104" spans="1:6" x14ac:dyDescent="0.35">
      <c r="A104" s="28" t="s">
        <v>312</v>
      </c>
      <c r="B104" s="36" t="s">
        <v>299</v>
      </c>
      <c r="C104" s="337" t="s">
        <v>313</v>
      </c>
      <c r="D104" s="331" t="s">
        <v>5</v>
      </c>
      <c r="E104" s="332" t="s">
        <v>5</v>
      </c>
      <c r="F104" s="12"/>
    </row>
    <row r="105" spans="1:6" x14ac:dyDescent="0.35">
      <c r="A105" s="28" t="s">
        <v>314</v>
      </c>
      <c r="B105" s="36" t="s">
        <v>299</v>
      </c>
      <c r="C105" s="257" t="s">
        <v>315</v>
      </c>
      <c r="D105" s="331" t="s">
        <v>5</v>
      </c>
      <c r="E105" s="332" t="s">
        <v>5</v>
      </c>
      <c r="F105" s="12"/>
    </row>
    <row r="106" spans="1:6" x14ac:dyDescent="0.35">
      <c r="A106" s="28" t="s">
        <v>316</v>
      </c>
      <c r="B106" s="36" t="s">
        <v>299</v>
      </c>
      <c r="C106" s="37" t="s">
        <v>1363</v>
      </c>
      <c r="D106" s="331" t="s">
        <v>5</v>
      </c>
      <c r="E106" s="332" t="s">
        <v>5</v>
      </c>
      <c r="F106" s="12"/>
    </row>
    <row r="107" spans="1:6" x14ac:dyDescent="0.35">
      <c r="A107" s="28" t="s">
        <v>318</v>
      </c>
      <c r="B107" s="36" t="s">
        <v>299</v>
      </c>
      <c r="C107" s="338" t="s">
        <v>319</v>
      </c>
      <c r="D107" s="331" t="s">
        <v>5</v>
      </c>
      <c r="E107" s="332" t="s">
        <v>5</v>
      </c>
      <c r="F107" s="12"/>
    </row>
    <row r="108" spans="1:6" x14ac:dyDescent="0.35">
      <c r="A108" s="28" t="s">
        <v>320</v>
      </c>
      <c r="B108" s="36" t="s">
        <v>299</v>
      </c>
      <c r="C108" s="338" t="s">
        <v>321</v>
      </c>
      <c r="D108" s="331" t="s">
        <v>5</v>
      </c>
      <c r="E108" s="332" t="s">
        <v>5</v>
      </c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31" t="s">
        <v>5</v>
      </c>
      <c r="E109" s="332" t="s">
        <v>5</v>
      </c>
      <c r="F109" s="12"/>
    </row>
    <row r="110" spans="1:6" x14ac:dyDescent="0.35">
      <c r="A110" s="40" t="s">
        <v>324</v>
      </c>
      <c r="B110" s="36" t="s">
        <v>299</v>
      </c>
      <c r="C110" s="37" t="s">
        <v>325</v>
      </c>
      <c r="D110" s="331" t="s">
        <v>5</v>
      </c>
      <c r="E110" s="332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9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9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9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9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0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9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9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9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41">
        <v>265</v>
      </c>
      <c r="D127" s="342">
        <v>971</v>
      </c>
      <c r="E127" s="16"/>
    </row>
    <row r="128" spans="1:5" x14ac:dyDescent="0.35">
      <c r="A128" s="16" t="s">
        <v>339</v>
      </c>
      <c r="B128" s="42" t="s">
        <v>299</v>
      </c>
      <c r="C128" s="341">
        <v>63</v>
      </c>
      <c r="D128" s="342">
        <v>14517</v>
      </c>
      <c r="E128" s="16"/>
    </row>
    <row r="129" spans="1:5" x14ac:dyDescent="0.35">
      <c r="A129" s="16" t="s">
        <v>340</v>
      </c>
      <c r="B129" s="42" t="s">
        <v>299</v>
      </c>
      <c r="C129" s="339">
        <v>0</v>
      </c>
      <c r="D129" s="342">
        <v>0</v>
      </c>
      <c r="E129" s="16"/>
    </row>
    <row r="130" spans="1:5" x14ac:dyDescent="0.35">
      <c r="A130" s="16" t="s">
        <v>341</v>
      </c>
      <c r="B130" s="42" t="s">
        <v>299</v>
      </c>
      <c r="C130" s="339">
        <v>0</v>
      </c>
      <c r="D130" s="342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9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9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43">
        <v>18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9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9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9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9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41">
        <v>42</v>
      </c>
      <c r="D139" s="16"/>
      <c r="E139" s="16"/>
    </row>
    <row r="140" spans="1:5" x14ac:dyDescent="0.35">
      <c r="A140" s="16" t="s">
        <v>350</v>
      </c>
      <c r="B140" s="42"/>
      <c r="C140" s="339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9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9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60</v>
      </c>
    </row>
    <row r="144" spans="1:5" x14ac:dyDescent="0.35">
      <c r="A144" s="16" t="s">
        <v>353</v>
      </c>
      <c r="B144" s="42" t="s">
        <v>299</v>
      </c>
      <c r="C144" s="341">
        <v>67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9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41">
        <v>305297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ht="14.5" customHeight="1" x14ac:dyDescent="0.35">
      <c r="A150" s="16"/>
      <c r="B150" s="16"/>
      <c r="C150" s="23"/>
      <c r="D150" s="16"/>
      <c r="E150" s="16"/>
    </row>
    <row r="151" spans="1:6" ht="14.5" customHeight="1" x14ac:dyDescent="0.35">
      <c r="A151" s="16"/>
      <c r="B151" s="16"/>
      <c r="C151" s="23"/>
      <c r="D151" s="16"/>
      <c r="E151" s="16"/>
    </row>
    <row r="152" spans="1:6" ht="14.5" customHeight="1" x14ac:dyDescent="0.35">
      <c r="A152" s="34" t="s">
        <v>356</v>
      </c>
      <c r="B152" s="45"/>
      <c r="C152" s="45"/>
      <c r="D152" s="45"/>
      <c r="E152" s="45"/>
    </row>
    <row r="153" spans="1:6" ht="14.5" customHeight="1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ht="14.5" customHeight="1" x14ac:dyDescent="0.35">
      <c r="A154" s="16" t="s">
        <v>337</v>
      </c>
      <c r="B154" s="342">
        <v>180</v>
      </c>
      <c r="C154" s="342">
        <v>3</v>
      </c>
      <c r="D154" s="342">
        <v>82</v>
      </c>
      <c r="E154" s="28">
        <f>SUM(B154:D154)</f>
        <v>265</v>
      </c>
    </row>
    <row r="155" spans="1:6" ht="14.5" customHeight="1" x14ac:dyDescent="0.35">
      <c r="A155" s="16" t="s">
        <v>242</v>
      </c>
      <c r="B155" s="342">
        <v>439</v>
      </c>
      <c r="C155" s="342">
        <v>7</v>
      </c>
      <c r="D155" s="342">
        <v>525</v>
      </c>
      <c r="E155" s="28">
        <f>SUM(B155:D155)</f>
        <v>971</v>
      </c>
    </row>
    <row r="156" spans="1:6" ht="14.5" customHeight="1" x14ac:dyDescent="0.35">
      <c r="A156" s="16" t="s">
        <v>360</v>
      </c>
      <c r="B156" s="342">
        <v>0</v>
      </c>
      <c r="C156" s="342">
        <v>0</v>
      </c>
      <c r="D156" s="342">
        <v>0</v>
      </c>
      <c r="E156" s="28">
        <f>SUM(B156:D156)</f>
        <v>0</v>
      </c>
    </row>
    <row r="157" spans="1:6" ht="14.5" customHeight="1" x14ac:dyDescent="0.35">
      <c r="A157" s="16" t="s">
        <v>287</v>
      </c>
      <c r="B157" s="342">
        <v>2253689</v>
      </c>
      <c r="C157" s="342">
        <v>35936</v>
      </c>
      <c r="D157" s="342">
        <v>2695186</v>
      </c>
      <c r="E157" s="28">
        <f>SUM(B157:D157)</f>
        <v>4984811</v>
      </c>
      <c r="F157" s="14"/>
    </row>
    <row r="158" spans="1:6" ht="14.5" customHeight="1" x14ac:dyDescent="0.35">
      <c r="A158" s="16" t="s">
        <v>288</v>
      </c>
      <c r="B158" s="342">
        <v>18194273</v>
      </c>
      <c r="C158" s="342">
        <v>290114</v>
      </c>
      <c r="D158" s="342">
        <v>21758527</v>
      </c>
      <c r="E158" s="28">
        <f>SUM(B158:D158)</f>
        <v>40242914</v>
      </c>
      <c r="F158" s="14"/>
    </row>
    <row r="159" spans="1:6" ht="14.5" customHeight="1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ht="14.5" customHeight="1" x14ac:dyDescent="0.35">
      <c r="A160" s="16" t="s">
        <v>337</v>
      </c>
      <c r="B160" s="317">
        <v>47</v>
      </c>
      <c r="C160" s="317">
        <v>5</v>
      </c>
      <c r="D160" s="317">
        <v>11</v>
      </c>
      <c r="E160" s="28">
        <f>SUM(B160:D160)</f>
        <v>63</v>
      </c>
    </row>
    <row r="161" spans="1:5" ht="14.5" customHeight="1" x14ac:dyDescent="0.35">
      <c r="A161" s="16" t="s">
        <v>242</v>
      </c>
      <c r="B161" s="317">
        <v>1497</v>
      </c>
      <c r="C161" s="317">
        <v>9824</v>
      </c>
      <c r="D161" s="317">
        <v>3196</v>
      </c>
      <c r="E161" s="28">
        <f>SUM(B161:D161)</f>
        <v>14517</v>
      </c>
    </row>
    <row r="162" spans="1:5" ht="14.5" customHeight="1" x14ac:dyDescent="0.35">
      <c r="A162" s="16" t="s">
        <v>360</v>
      </c>
      <c r="B162" s="342">
        <v>0</v>
      </c>
      <c r="C162" s="342">
        <v>0</v>
      </c>
      <c r="D162" s="342">
        <v>0</v>
      </c>
      <c r="E162" s="28">
        <f>SUM(B162:D162)</f>
        <v>0</v>
      </c>
    </row>
    <row r="163" spans="1:5" ht="14.5" customHeight="1" x14ac:dyDescent="0.35">
      <c r="A163" s="16" t="s">
        <v>287</v>
      </c>
      <c r="B163" s="317">
        <v>2191804</v>
      </c>
      <c r="C163" s="317">
        <v>2922372</v>
      </c>
      <c r="D163" s="317">
        <v>1690254</v>
      </c>
      <c r="E163" s="28">
        <f>SUM(B163:D163)</f>
        <v>6804430</v>
      </c>
    </row>
    <row r="164" spans="1:5" ht="14.5" customHeight="1" x14ac:dyDescent="0.35">
      <c r="A164" s="16" t="s">
        <v>288</v>
      </c>
      <c r="B164" s="342">
        <v>0</v>
      </c>
      <c r="C164" s="342">
        <v>0</v>
      </c>
      <c r="D164" s="342">
        <v>0</v>
      </c>
      <c r="E164" s="28">
        <f>SUM(B164:D164)</f>
        <v>0</v>
      </c>
    </row>
    <row r="165" spans="1:5" ht="14.5" customHeight="1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ht="14.5" customHeight="1" x14ac:dyDescent="0.35">
      <c r="A166" s="16" t="s">
        <v>337</v>
      </c>
      <c r="B166" s="342">
        <v>0</v>
      </c>
      <c r="C166" s="342">
        <v>0</v>
      </c>
      <c r="D166" s="342">
        <v>0</v>
      </c>
      <c r="E166" s="28">
        <f>SUM(B166:D166)</f>
        <v>0</v>
      </c>
    </row>
    <row r="167" spans="1:5" ht="14.5" customHeight="1" x14ac:dyDescent="0.35">
      <c r="A167" s="16" t="s">
        <v>242</v>
      </c>
      <c r="B167" s="342">
        <v>0</v>
      </c>
      <c r="C167" s="342">
        <v>0</v>
      </c>
      <c r="D167" s="342">
        <v>0</v>
      </c>
      <c r="E167" s="28">
        <f>SUM(B167:D167)</f>
        <v>0</v>
      </c>
    </row>
    <row r="168" spans="1:5" ht="14.5" customHeight="1" x14ac:dyDescent="0.35">
      <c r="A168" s="16" t="s">
        <v>360</v>
      </c>
      <c r="B168" s="342">
        <v>0</v>
      </c>
      <c r="C168" s="342">
        <v>0</v>
      </c>
      <c r="D168" s="342">
        <v>0</v>
      </c>
      <c r="E168" s="28">
        <f>SUM(B168:D168)</f>
        <v>0</v>
      </c>
    </row>
    <row r="169" spans="1:5" ht="14.5" customHeight="1" x14ac:dyDescent="0.35">
      <c r="A169" s="16" t="s">
        <v>287</v>
      </c>
      <c r="B169" s="342">
        <v>0</v>
      </c>
      <c r="C169" s="342">
        <v>0</v>
      </c>
      <c r="D169" s="342">
        <v>0</v>
      </c>
      <c r="E169" s="28">
        <f>SUM(B169:D169)</f>
        <v>0</v>
      </c>
    </row>
    <row r="170" spans="1:5" ht="14.5" customHeight="1" x14ac:dyDescent="0.35">
      <c r="A170" s="16" t="s">
        <v>288</v>
      </c>
      <c r="B170" s="342">
        <v>0</v>
      </c>
      <c r="C170" s="342">
        <v>0</v>
      </c>
      <c r="D170" s="342">
        <v>0</v>
      </c>
      <c r="E170" s="28">
        <f>SUM(B170:D170)</f>
        <v>0</v>
      </c>
    </row>
    <row r="171" spans="1:5" ht="14.5" customHeight="1" x14ac:dyDescent="0.35">
      <c r="A171" s="21"/>
      <c r="B171" s="21"/>
      <c r="C171" s="50"/>
      <c r="D171" s="51"/>
      <c r="E171" s="16"/>
    </row>
    <row r="172" spans="1:5" ht="14.5" customHeight="1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ht="14.5" customHeight="1" x14ac:dyDescent="0.35">
      <c r="A173" s="21" t="s">
        <v>366</v>
      </c>
      <c r="B173" s="317">
        <v>4991379</v>
      </c>
      <c r="C173" s="317">
        <v>1656779</v>
      </c>
      <c r="D173" s="16"/>
      <c r="E173" s="16"/>
    </row>
    <row r="174" spans="1:5" ht="14.5" customHeight="1" x14ac:dyDescent="0.35">
      <c r="A174" s="21"/>
      <c r="B174" s="51"/>
      <c r="C174" s="50"/>
      <c r="D174" s="16"/>
      <c r="E174" s="16"/>
    </row>
    <row r="175" spans="1:5" ht="14.5" customHeight="1" x14ac:dyDescent="0.35">
      <c r="A175" s="21"/>
      <c r="B175" s="21"/>
      <c r="C175" s="50"/>
      <c r="D175" s="51"/>
      <c r="E175" s="16"/>
    </row>
    <row r="176" spans="1:5" ht="14.5" customHeight="1" x14ac:dyDescent="0.35">
      <c r="A176" s="21"/>
      <c r="B176" s="21"/>
      <c r="C176" s="50"/>
      <c r="D176" s="51"/>
      <c r="E176" s="16"/>
    </row>
    <row r="177" spans="1:5" ht="14.5" customHeight="1" x14ac:dyDescent="0.35">
      <c r="A177" s="21"/>
      <c r="B177" s="21"/>
      <c r="C177" s="50"/>
      <c r="D177" s="51"/>
      <c r="E177" s="16"/>
    </row>
    <row r="178" spans="1:5" ht="14.5" customHeight="1" x14ac:dyDescent="0.35">
      <c r="A178" s="21"/>
      <c r="B178" s="21"/>
      <c r="C178" s="50"/>
      <c r="D178" s="51"/>
      <c r="E178" s="16"/>
    </row>
    <row r="179" spans="1:5" ht="14.5" customHeight="1" x14ac:dyDescent="0.35">
      <c r="A179" s="45" t="s">
        <v>367</v>
      </c>
      <c r="B179" s="34"/>
      <c r="C179" s="34"/>
      <c r="D179" s="34"/>
      <c r="E179" s="34"/>
    </row>
    <row r="180" spans="1:5" ht="14.5" customHeight="1" x14ac:dyDescent="0.35">
      <c r="A180" s="41" t="s">
        <v>368</v>
      </c>
      <c r="B180" s="41"/>
      <c r="C180" s="41"/>
      <c r="D180" s="41"/>
      <c r="E180" s="41"/>
    </row>
    <row r="181" spans="1:5" ht="14.5" customHeight="1" x14ac:dyDescent="0.35">
      <c r="A181" s="16" t="s">
        <v>369</v>
      </c>
      <c r="B181" s="42" t="s">
        <v>299</v>
      </c>
      <c r="C181" s="339">
        <v>835038</v>
      </c>
      <c r="D181" s="16"/>
      <c r="E181" s="16"/>
    </row>
    <row r="182" spans="1:5" ht="14.5" customHeight="1" x14ac:dyDescent="0.35">
      <c r="A182" s="16" t="s">
        <v>370</v>
      </c>
      <c r="B182" s="42" t="s">
        <v>299</v>
      </c>
      <c r="C182" s="339">
        <v>201036</v>
      </c>
      <c r="D182" s="16"/>
      <c r="E182" s="16"/>
    </row>
    <row r="183" spans="1:5" ht="14.5" customHeight="1" x14ac:dyDescent="0.35">
      <c r="A183" s="21" t="s">
        <v>371</v>
      </c>
      <c r="B183" s="42" t="s">
        <v>299</v>
      </c>
      <c r="C183" s="339">
        <v>148672</v>
      </c>
      <c r="D183" s="16"/>
      <c r="E183" s="16"/>
    </row>
    <row r="184" spans="1:5" ht="14.5" customHeight="1" x14ac:dyDescent="0.35">
      <c r="A184" s="16" t="s">
        <v>372</v>
      </c>
      <c r="B184" s="42" t="s">
        <v>299</v>
      </c>
      <c r="C184" s="339">
        <v>1839774</v>
      </c>
      <c r="D184" s="16"/>
      <c r="E184" s="16"/>
    </row>
    <row r="185" spans="1:5" ht="14.5" customHeight="1" x14ac:dyDescent="0.35">
      <c r="A185" s="16" t="s">
        <v>373</v>
      </c>
      <c r="B185" s="42" t="s">
        <v>299</v>
      </c>
      <c r="C185" s="339">
        <v>0</v>
      </c>
      <c r="D185" s="16"/>
      <c r="E185" s="16"/>
    </row>
    <row r="186" spans="1:5" ht="14.5" customHeight="1" x14ac:dyDescent="0.35">
      <c r="A186" s="16" t="s">
        <v>374</v>
      </c>
      <c r="B186" s="42" t="s">
        <v>299</v>
      </c>
      <c r="C186" s="339">
        <v>184413</v>
      </c>
      <c r="D186" s="16"/>
      <c r="E186" s="16"/>
    </row>
    <row r="187" spans="1:5" ht="14.5" customHeight="1" x14ac:dyDescent="0.35">
      <c r="A187" s="16" t="s">
        <v>375</v>
      </c>
      <c r="B187" s="42" t="s">
        <v>299</v>
      </c>
      <c r="C187" s="339">
        <v>251357</v>
      </c>
      <c r="D187" s="16"/>
      <c r="E187" s="16"/>
    </row>
    <row r="188" spans="1:5" ht="14.5" customHeight="1" x14ac:dyDescent="0.35">
      <c r="A188" s="16" t="s">
        <v>375</v>
      </c>
      <c r="B188" s="42" t="s">
        <v>299</v>
      </c>
      <c r="C188" s="339">
        <v>0</v>
      </c>
      <c r="D188" s="16"/>
      <c r="E188" s="16"/>
    </row>
    <row r="189" spans="1:5" ht="14.5" customHeight="1" x14ac:dyDescent="0.35">
      <c r="A189" s="16" t="s">
        <v>230</v>
      </c>
      <c r="B189" s="16"/>
      <c r="C189" s="23"/>
      <c r="D189" s="28">
        <f>SUM(C181:C188)</f>
        <v>3460290</v>
      </c>
      <c r="E189" s="16"/>
    </row>
    <row r="190" spans="1:5" ht="14.5" customHeight="1" x14ac:dyDescent="0.35">
      <c r="A190" s="41" t="s">
        <v>376</v>
      </c>
      <c r="B190" s="41"/>
      <c r="C190" s="41"/>
      <c r="D190" s="41"/>
      <c r="E190" s="41"/>
    </row>
    <row r="191" spans="1:5" ht="14.5" customHeight="1" x14ac:dyDescent="0.35">
      <c r="A191" s="16" t="s">
        <v>377</v>
      </c>
      <c r="B191" s="42" t="s">
        <v>299</v>
      </c>
      <c r="C191" s="339">
        <v>26069</v>
      </c>
      <c r="D191" s="16"/>
      <c r="E191" s="16"/>
    </row>
    <row r="192" spans="1:5" ht="14.5" customHeight="1" x14ac:dyDescent="0.35">
      <c r="A192" s="16" t="s">
        <v>378</v>
      </c>
      <c r="B192" s="42" t="s">
        <v>299</v>
      </c>
      <c r="C192" s="339">
        <v>438421</v>
      </c>
      <c r="D192" s="16"/>
      <c r="E192" s="16"/>
    </row>
    <row r="193" spans="1:5" ht="14.5" customHeight="1" x14ac:dyDescent="0.35">
      <c r="A193" s="16" t="s">
        <v>230</v>
      </c>
      <c r="B193" s="16"/>
      <c r="C193" s="23"/>
      <c r="D193" s="28">
        <f>SUM(C191:C192)</f>
        <v>464490</v>
      </c>
      <c r="E193" s="16"/>
    </row>
    <row r="194" spans="1:5" ht="14.5" customHeight="1" x14ac:dyDescent="0.35">
      <c r="A194" s="41" t="s">
        <v>379</v>
      </c>
      <c r="B194" s="41"/>
      <c r="C194" s="41"/>
      <c r="D194" s="41"/>
      <c r="E194" s="41"/>
    </row>
    <row r="195" spans="1:5" ht="14.5" customHeight="1" x14ac:dyDescent="0.35">
      <c r="A195" s="16" t="s">
        <v>380</v>
      </c>
      <c r="B195" s="42" t="s">
        <v>299</v>
      </c>
      <c r="C195" s="339">
        <v>259595</v>
      </c>
      <c r="D195" s="16"/>
      <c r="E195" s="16"/>
    </row>
    <row r="196" spans="1:5" ht="14.5" customHeight="1" x14ac:dyDescent="0.35">
      <c r="A196" s="16" t="s">
        <v>381</v>
      </c>
      <c r="B196" s="42" t="s">
        <v>299</v>
      </c>
      <c r="C196" s="339">
        <v>105172</v>
      </c>
      <c r="D196" s="16"/>
      <c r="E196" s="16"/>
    </row>
    <row r="197" spans="1:5" ht="14.5" customHeight="1" x14ac:dyDescent="0.35">
      <c r="A197" s="16" t="s">
        <v>230</v>
      </c>
      <c r="B197" s="16"/>
      <c r="C197" s="23"/>
      <c r="D197" s="28">
        <f>SUM(C195:C196)</f>
        <v>364767</v>
      </c>
      <c r="E197" s="16"/>
    </row>
    <row r="198" spans="1:5" ht="14.5" customHeight="1" x14ac:dyDescent="0.35">
      <c r="A198" s="41" t="s">
        <v>382</v>
      </c>
      <c r="B198" s="41"/>
      <c r="C198" s="41"/>
      <c r="D198" s="41"/>
      <c r="E198" s="41"/>
    </row>
    <row r="199" spans="1:5" ht="14.5" customHeight="1" x14ac:dyDescent="0.35">
      <c r="A199" s="16" t="s">
        <v>383</v>
      </c>
      <c r="B199" s="42" t="s">
        <v>299</v>
      </c>
      <c r="C199" s="339">
        <v>44812</v>
      </c>
      <c r="D199" s="16"/>
      <c r="E199" s="16"/>
    </row>
    <row r="200" spans="1:5" ht="14.5" customHeight="1" x14ac:dyDescent="0.35">
      <c r="A200" s="16" t="s">
        <v>384</v>
      </c>
      <c r="B200" s="42" t="s">
        <v>299</v>
      </c>
      <c r="C200" s="339">
        <v>115753</v>
      </c>
      <c r="D200" s="16"/>
      <c r="E200" s="16"/>
    </row>
    <row r="201" spans="1:5" ht="14.5" customHeight="1" x14ac:dyDescent="0.35">
      <c r="A201" s="16" t="s">
        <v>159</v>
      </c>
      <c r="B201" s="42" t="s">
        <v>299</v>
      </c>
      <c r="C201" s="339">
        <v>-10</v>
      </c>
      <c r="D201" s="16"/>
      <c r="E201" s="16"/>
    </row>
    <row r="202" spans="1:5" ht="14.5" customHeight="1" x14ac:dyDescent="0.35">
      <c r="A202" s="16" t="s">
        <v>230</v>
      </c>
      <c r="B202" s="16"/>
      <c r="C202" s="23"/>
      <c r="D202" s="28">
        <f>SUM(C199:C201)</f>
        <v>160555</v>
      </c>
      <c r="E202" s="16"/>
    </row>
    <row r="203" spans="1:5" ht="14.5" customHeight="1" x14ac:dyDescent="0.35">
      <c r="A203" s="41" t="s">
        <v>385</v>
      </c>
      <c r="B203" s="41"/>
      <c r="C203" s="41"/>
      <c r="D203" s="41"/>
      <c r="E203" s="41"/>
    </row>
    <row r="204" spans="1:5" ht="14.5" customHeight="1" x14ac:dyDescent="0.35">
      <c r="A204" s="16" t="s">
        <v>386</v>
      </c>
      <c r="B204" s="42" t="s">
        <v>299</v>
      </c>
      <c r="C204" s="339">
        <v>0</v>
      </c>
      <c r="D204" s="16"/>
      <c r="E204" s="16"/>
    </row>
    <row r="205" spans="1:5" ht="14.5" customHeight="1" x14ac:dyDescent="0.35">
      <c r="A205" s="16" t="s">
        <v>387</v>
      </c>
      <c r="B205" s="42" t="s">
        <v>299</v>
      </c>
      <c r="C205" s="339">
        <v>218914</v>
      </c>
      <c r="D205" s="16"/>
      <c r="E205" s="16"/>
    </row>
    <row r="206" spans="1:5" ht="14.5" customHeight="1" x14ac:dyDescent="0.35">
      <c r="A206" s="16" t="s">
        <v>230</v>
      </c>
      <c r="B206" s="16"/>
      <c r="C206" s="23"/>
      <c r="D206" s="28">
        <f>SUM(C204:C205)</f>
        <v>218914</v>
      </c>
      <c r="E206" s="16"/>
    </row>
    <row r="207" spans="1:5" ht="14.5" customHeight="1" x14ac:dyDescent="0.35">
      <c r="A207" s="16"/>
      <c r="B207" s="16"/>
      <c r="C207" s="23"/>
      <c r="D207" s="16"/>
      <c r="E207" s="16"/>
    </row>
    <row r="208" spans="1:5" ht="14.5" customHeight="1" x14ac:dyDescent="0.35">
      <c r="A208" s="34" t="s">
        <v>388</v>
      </c>
      <c r="B208" s="34"/>
      <c r="C208" s="34"/>
      <c r="D208" s="34"/>
      <c r="E208" s="34"/>
    </row>
    <row r="209" spans="1:5" ht="14.5" customHeight="1" x14ac:dyDescent="0.35">
      <c r="A209" s="45" t="s">
        <v>389</v>
      </c>
      <c r="B209" s="34"/>
      <c r="C209" s="34"/>
      <c r="D209" s="34"/>
      <c r="E209" s="34"/>
    </row>
    <row r="210" spans="1:5" ht="14.5" customHeight="1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ht="14.5" customHeight="1" x14ac:dyDescent="0.35">
      <c r="A211" s="16" t="s">
        <v>394</v>
      </c>
      <c r="B211" s="339">
        <v>358540</v>
      </c>
      <c r="C211" s="339">
        <v>0</v>
      </c>
      <c r="D211" s="342">
        <v>0</v>
      </c>
      <c r="E211" s="28">
        <f t="shared" ref="E211:E219" si="16">SUM(B211:C211)-D211</f>
        <v>358540</v>
      </c>
    </row>
    <row r="212" spans="1:5" ht="14.5" customHeight="1" x14ac:dyDescent="0.35">
      <c r="A212" s="16" t="s">
        <v>395</v>
      </c>
      <c r="B212" s="339">
        <v>719936</v>
      </c>
      <c r="C212" s="339">
        <v>0</v>
      </c>
      <c r="D212" s="342">
        <v>0</v>
      </c>
      <c r="E212" s="28">
        <f t="shared" si="16"/>
        <v>719936</v>
      </c>
    </row>
    <row r="213" spans="1:5" ht="14.5" customHeight="1" x14ac:dyDescent="0.35">
      <c r="A213" s="16" t="s">
        <v>396</v>
      </c>
      <c r="B213" s="339">
        <v>14372998</v>
      </c>
      <c r="C213" s="339">
        <f>14473214-14372998</f>
        <v>100216</v>
      </c>
      <c r="D213" s="342">
        <v>0</v>
      </c>
      <c r="E213" s="28">
        <f t="shared" si="16"/>
        <v>14473214</v>
      </c>
    </row>
    <row r="214" spans="1:5" ht="14.5" customHeight="1" x14ac:dyDescent="0.35">
      <c r="A214" s="16" t="s">
        <v>397</v>
      </c>
      <c r="B214" s="339">
        <v>0</v>
      </c>
      <c r="C214" s="339">
        <v>0</v>
      </c>
      <c r="D214" s="342">
        <v>0</v>
      </c>
      <c r="E214" s="28">
        <f t="shared" si="16"/>
        <v>0</v>
      </c>
    </row>
    <row r="215" spans="1:5" ht="14.5" customHeight="1" x14ac:dyDescent="0.35">
      <c r="A215" s="16" t="s">
        <v>398</v>
      </c>
      <c r="B215" s="339">
        <v>7342811</v>
      </c>
      <c r="C215" s="339">
        <f>7373508-7342811</f>
        <v>30697</v>
      </c>
      <c r="D215" s="342">
        <v>0</v>
      </c>
      <c r="E215" s="28">
        <f t="shared" si="16"/>
        <v>7373508</v>
      </c>
    </row>
    <row r="216" spans="1:5" ht="14.5" customHeight="1" x14ac:dyDescent="0.35">
      <c r="A216" s="16" t="s">
        <v>399</v>
      </c>
      <c r="B216" s="339">
        <v>9096175</v>
      </c>
      <c r="C216" s="339">
        <f>9389639-9096175</f>
        <v>293464</v>
      </c>
      <c r="D216" s="342">
        <v>0</v>
      </c>
      <c r="E216" s="28">
        <f t="shared" si="16"/>
        <v>9389639</v>
      </c>
    </row>
    <row r="217" spans="1:5" ht="14.5" customHeight="1" x14ac:dyDescent="0.35">
      <c r="A217" s="16" t="s">
        <v>400</v>
      </c>
      <c r="B217" s="339">
        <v>0</v>
      </c>
      <c r="C217" s="339">
        <v>0</v>
      </c>
      <c r="D217" s="342">
        <v>0</v>
      </c>
      <c r="E217" s="28">
        <f t="shared" si="16"/>
        <v>0</v>
      </c>
    </row>
    <row r="218" spans="1:5" ht="14.5" customHeight="1" x14ac:dyDescent="0.35">
      <c r="A218" s="16" t="s">
        <v>401</v>
      </c>
      <c r="B218" s="339">
        <v>0</v>
      </c>
      <c r="C218" s="339">
        <v>0</v>
      </c>
      <c r="D218" s="342">
        <v>0</v>
      </c>
      <c r="E218" s="28">
        <f t="shared" si="16"/>
        <v>0</v>
      </c>
    </row>
    <row r="219" spans="1:5" ht="14.5" customHeight="1" x14ac:dyDescent="0.35">
      <c r="A219" s="16" t="s">
        <v>402</v>
      </c>
      <c r="B219" s="339">
        <v>1505130</v>
      </c>
      <c r="C219" s="339">
        <f>3560648-1505130</f>
        <v>2055518</v>
      </c>
      <c r="D219" s="342">
        <v>0</v>
      </c>
      <c r="E219" s="28">
        <f t="shared" si="16"/>
        <v>3560648</v>
      </c>
    </row>
    <row r="220" spans="1:5" ht="14.5" customHeight="1" x14ac:dyDescent="0.35">
      <c r="A220" s="16" t="s">
        <v>230</v>
      </c>
      <c r="B220" s="28">
        <f>SUM(B211:B219)</f>
        <v>33395590</v>
      </c>
      <c r="C220" s="237">
        <f>SUM(C211:C219)</f>
        <v>2479895</v>
      </c>
      <c r="D220" s="28">
        <f>SUM(D211:D219)</f>
        <v>0</v>
      </c>
      <c r="E220" s="28">
        <f>SUM(E211:E219)</f>
        <v>35875485</v>
      </c>
    </row>
    <row r="221" spans="1:5" ht="14.5" customHeight="1" x14ac:dyDescent="0.35">
      <c r="A221" s="16"/>
      <c r="B221" s="16"/>
      <c r="C221" s="23"/>
      <c r="D221" s="16"/>
      <c r="E221" s="16"/>
    </row>
    <row r="222" spans="1:5" ht="14.5" customHeight="1" x14ac:dyDescent="0.35">
      <c r="A222" s="45" t="s">
        <v>403</v>
      </c>
      <c r="B222" s="45"/>
      <c r="C222" s="45"/>
      <c r="D222" s="45"/>
      <c r="E222" s="45"/>
    </row>
    <row r="223" spans="1:5" ht="14.5" customHeight="1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ht="14.5" customHeight="1" x14ac:dyDescent="0.35">
      <c r="A224" s="16" t="s">
        <v>394</v>
      </c>
      <c r="B224" s="51"/>
      <c r="C224" s="50"/>
      <c r="D224" s="51"/>
      <c r="E224" s="16"/>
    </row>
    <row r="225" spans="1:5" ht="14.5" customHeight="1" x14ac:dyDescent="0.35">
      <c r="A225" s="16" t="s">
        <v>395</v>
      </c>
      <c r="B225" s="339">
        <v>717609</v>
      </c>
      <c r="C225" s="339">
        <f>717974-717609</f>
        <v>365</v>
      </c>
      <c r="D225" s="342">
        <v>0</v>
      </c>
      <c r="E225" s="28">
        <f t="shared" ref="E225:E232" si="17">SUM(B225:C225)-D225</f>
        <v>717974</v>
      </c>
    </row>
    <row r="226" spans="1:5" ht="14.5" customHeight="1" x14ac:dyDescent="0.35">
      <c r="A226" s="16" t="s">
        <v>396</v>
      </c>
      <c r="B226" s="339">
        <v>7397336</v>
      </c>
      <c r="C226" s="339">
        <f>7827442-7397336</f>
        <v>430106</v>
      </c>
      <c r="D226" s="342">
        <v>0</v>
      </c>
      <c r="E226" s="28">
        <f t="shared" si="17"/>
        <v>7827442</v>
      </c>
    </row>
    <row r="227" spans="1:5" ht="14.5" customHeight="1" x14ac:dyDescent="0.35">
      <c r="A227" s="16" t="s">
        <v>397</v>
      </c>
      <c r="B227" s="339">
        <v>0</v>
      </c>
      <c r="C227" s="339">
        <v>0</v>
      </c>
      <c r="D227" s="342">
        <v>0</v>
      </c>
      <c r="E227" s="28">
        <f t="shared" si="17"/>
        <v>0</v>
      </c>
    </row>
    <row r="228" spans="1:5" ht="14.5" customHeight="1" x14ac:dyDescent="0.35">
      <c r="A228" s="16" t="s">
        <v>398</v>
      </c>
      <c r="B228" s="339">
        <v>5498782</v>
      </c>
      <c r="C228" s="339">
        <f>5666987-5498782</f>
        <v>168205</v>
      </c>
      <c r="D228" s="342">
        <v>0</v>
      </c>
      <c r="E228" s="28">
        <f t="shared" si="17"/>
        <v>5666987</v>
      </c>
    </row>
    <row r="229" spans="1:5" ht="14.5" customHeight="1" x14ac:dyDescent="0.35">
      <c r="A229" s="16" t="s">
        <v>399</v>
      </c>
      <c r="B229" s="339">
        <v>7126275</v>
      </c>
      <c r="C229" s="339">
        <f>7835116-7126275</f>
        <v>708841</v>
      </c>
      <c r="D229" s="342">
        <v>0</v>
      </c>
      <c r="E229" s="28">
        <f t="shared" si="17"/>
        <v>7835116</v>
      </c>
    </row>
    <row r="230" spans="1:5" ht="14.5" customHeight="1" x14ac:dyDescent="0.35">
      <c r="A230" s="16" t="s">
        <v>400</v>
      </c>
      <c r="B230" s="339">
        <v>0</v>
      </c>
      <c r="C230" s="339">
        <v>0</v>
      </c>
      <c r="D230" s="342">
        <v>0</v>
      </c>
      <c r="E230" s="28">
        <f t="shared" si="17"/>
        <v>0</v>
      </c>
    </row>
    <row r="231" spans="1:5" ht="14.5" customHeight="1" x14ac:dyDescent="0.35">
      <c r="A231" s="16" t="s">
        <v>401</v>
      </c>
      <c r="B231" s="339">
        <v>0</v>
      </c>
      <c r="C231" s="339">
        <v>0</v>
      </c>
      <c r="D231" s="342">
        <v>0</v>
      </c>
      <c r="E231" s="28">
        <f t="shared" si="17"/>
        <v>0</v>
      </c>
    </row>
    <row r="232" spans="1:5" ht="14.5" customHeight="1" x14ac:dyDescent="0.35">
      <c r="A232" s="16" t="s">
        <v>402</v>
      </c>
      <c r="B232" s="339">
        <v>0</v>
      </c>
      <c r="C232" s="339">
        <v>0</v>
      </c>
      <c r="D232" s="342">
        <v>0</v>
      </c>
      <c r="E232" s="28">
        <f t="shared" si="17"/>
        <v>0</v>
      </c>
    </row>
    <row r="233" spans="1:5" ht="14.5" customHeight="1" x14ac:dyDescent="0.35">
      <c r="A233" s="16" t="s">
        <v>230</v>
      </c>
      <c r="B233" s="28">
        <f>SUM(B224:B232)</f>
        <v>20740002</v>
      </c>
      <c r="C233" s="237">
        <f>SUM(C224:C232)</f>
        <v>1307517</v>
      </c>
      <c r="D233" s="28">
        <f>SUM(D224:D232)</f>
        <v>0</v>
      </c>
      <c r="E233" s="28">
        <f>SUM(E224:E232)</f>
        <v>22047519</v>
      </c>
    </row>
    <row r="234" spans="1:5" ht="14.5" customHeight="1" x14ac:dyDescent="0.35">
      <c r="A234" s="16"/>
      <c r="B234" s="16"/>
      <c r="C234" s="23"/>
      <c r="D234" s="16"/>
      <c r="E234" s="16"/>
    </row>
    <row r="235" spans="1:5" ht="14.5" customHeight="1" x14ac:dyDescent="0.35">
      <c r="A235" s="34" t="s">
        <v>404</v>
      </c>
      <c r="B235" s="34"/>
      <c r="C235" s="34"/>
      <c r="D235" s="34"/>
      <c r="E235" s="34"/>
    </row>
    <row r="236" spans="1:5" ht="14.5" customHeight="1" x14ac:dyDescent="0.35">
      <c r="A236" s="34"/>
      <c r="B236" s="352" t="s">
        <v>405</v>
      </c>
      <c r="C236" s="352"/>
      <c r="D236" s="34"/>
      <c r="E236" s="34"/>
    </row>
    <row r="237" spans="1:5" ht="14.5" customHeight="1" x14ac:dyDescent="0.35">
      <c r="A237" s="52" t="s">
        <v>405</v>
      </c>
      <c r="B237" s="34"/>
      <c r="C237" s="339">
        <v>923584</v>
      </c>
      <c r="D237" s="36">
        <f>C237</f>
        <v>923584</v>
      </c>
      <c r="E237" s="34"/>
    </row>
    <row r="238" spans="1:5" ht="14.5" customHeight="1" x14ac:dyDescent="0.35">
      <c r="A238" s="41" t="s">
        <v>406</v>
      </c>
      <c r="B238" s="41"/>
      <c r="C238" s="41"/>
      <c r="D238" s="41"/>
      <c r="E238" s="41"/>
    </row>
    <row r="239" spans="1:5" ht="14.5" customHeight="1" x14ac:dyDescent="0.35">
      <c r="A239" s="16" t="s">
        <v>407</v>
      </c>
      <c r="B239" s="42" t="s">
        <v>299</v>
      </c>
      <c r="C239" s="339">
        <v>11814099</v>
      </c>
      <c r="D239" s="16"/>
      <c r="E239" s="16"/>
    </row>
    <row r="240" spans="1:5" ht="14.5" customHeight="1" x14ac:dyDescent="0.35">
      <c r="A240" s="16" t="s">
        <v>408</v>
      </c>
      <c r="B240" s="42" t="s">
        <v>299</v>
      </c>
      <c r="C240" s="339">
        <v>6977886</v>
      </c>
      <c r="D240" s="16"/>
      <c r="E240" s="16"/>
    </row>
    <row r="241" spans="1:5" ht="14.5" customHeight="1" x14ac:dyDescent="0.35">
      <c r="A241" s="16" t="s">
        <v>409</v>
      </c>
      <c r="B241" s="42" t="s">
        <v>299</v>
      </c>
      <c r="C241" s="339">
        <v>0</v>
      </c>
      <c r="D241" s="16"/>
      <c r="E241" s="16"/>
    </row>
    <row r="242" spans="1:5" ht="14.5" customHeight="1" x14ac:dyDescent="0.35">
      <c r="A242" s="16" t="s">
        <v>410</v>
      </c>
      <c r="B242" s="42" t="s">
        <v>299</v>
      </c>
      <c r="C242" s="339">
        <v>0</v>
      </c>
      <c r="D242" s="16"/>
      <c r="E242" s="16"/>
    </row>
    <row r="243" spans="1:5" ht="14.5" customHeight="1" x14ac:dyDescent="0.35">
      <c r="A243" s="16" t="s">
        <v>411</v>
      </c>
      <c r="B243" s="42" t="s">
        <v>299</v>
      </c>
      <c r="C243" s="339">
        <v>0</v>
      </c>
      <c r="D243" s="16"/>
      <c r="E243" s="16"/>
    </row>
    <row r="244" spans="1:5" ht="14.5" customHeight="1" x14ac:dyDescent="0.35">
      <c r="A244" s="16" t="s">
        <v>412</v>
      </c>
      <c r="B244" s="42" t="s">
        <v>299</v>
      </c>
      <c r="C244" s="339">
        <v>466358</v>
      </c>
      <c r="D244" s="16"/>
      <c r="E244" s="16"/>
    </row>
    <row r="245" spans="1:5" ht="14.5" customHeight="1" x14ac:dyDescent="0.35">
      <c r="A245" s="16" t="s">
        <v>413</v>
      </c>
      <c r="B245" s="16"/>
      <c r="C245" s="23"/>
      <c r="D245" s="28">
        <f>SUM(C239:C244)</f>
        <v>19258343</v>
      </c>
      <c r="E245" s="16"/>
    </row>
    <row r="246" spans="1:5" ht="14.5" customHeight="1" x14ac:dyDescent="0.35">
      <c r="A246" s="41" t="s">
        <v>414</v>
      </c>
      <c r="B246" s="41"/>
      <c r="C246" s="41"/>
      <c r="D246" s="41"/>
      <c r="E246" s="41"/>
    </row>
    <row r="247" spans="1:5" ht="14.5" customHeight="1" x14ac:dyDescent="0.35">
      <c r="A247" s="22" t="s">
        <v>415</v>
      </c>
      <c r="B247" s="42" t="s">
        <v>299</v>
      </c>
      <c r="C247" s="341">
        <v>964</v>
      </c>
      <c r="D247" s="16"/>
      <c r="E247" s="16"/>
    </row>
    <row r="248" spans="1:5" ht="14.5" customHeight="1" x14ac:dyDescent="0.35">
      <c r="A248" s="22"/>
      <c r="B248" s="42"/>
      <c r="C248" s="23"/>
      <c r="D248" s="16"/>
      <c r="E248" s="16"/>
    </row>
    <row r="249" spans="1:5" ht="14.5" customHeight="1" x14ac:dyDescent="0.35">
      <c r="A249" s="22" t="s">
        <v>416</v>
      </c>
      <c r="B249" s="42" t="s">
        <v>299</v>
      </c>
      <c r="C249" s="339">
        <v>130423</v>
      </c>
      <c r="D249" s="16"/>
      <c r="E249" s="16"/>
    </row>
    <row r="250" spans="1:5" ht="14.5" customHeight="1" x14ac:dyDescent="0.35">
      <c r="A250" s="22" t="s">
        <v>417</v>
      </c>
      <c r="B250" s="42" t="s">
        <v>299</v>
      </c>
      <c r="C250" s="339">
        <v>717801</v>
      </c>
      <c r="D250" s="16"/>
      <c r="E250" s="16"/>
    </row>
    <row r="251" spans="1:5" ht="14.5" customHeight="1" x14ac:dyDescent="0.35">
      <c r="A251" s="16"/>
      <c r="B251" s="16"/>
      <c r="C251" s="23"/>
      <c r="D251" s="16"/>
      <c r="E251" s="16"/>
    </row>
    <row r="252" spans="1:5" ht="14.5" customHeight="1" x14ac:dyDescent="0.35">
      <c r="A252" s="22" t="s">
        <v>418</v>
      </c>
      <c r="B252" s="16"/>
      <c r="C252" s="23"/>
      <c r="D252" s="28">
        <f>SUM(C249:C251)</f>
        <v>848224</v>
      </c>
      <c r="E252" s="16"/>
    </row>
    <row r="253" spans="1:5" ht="14.5" customHeight="1" x14ac:dyDescent="0.35">
      <c r="A253" s="41" t="s">
        <v>419</v>
      </c>
      <c r="B253" s="41"/>
      <c r="C253" s="41"/>
      <c r="D253" s="41"/>
      <c r="E253" s="41"/>
    </row>
    <row r="254" spans="1:5" ht="14.5" customHeight="1" x14ac:dyDescent="0.35">
      <c r="A254" s="16" t="s">
        <v>420</v>
      </c>
      <c r="B254" s="42" t="s">
        <v>299</v>
      </c>
      <c r="C254" s="339">
        <v>0</v>
      </c>
      <c r="D254" s="16"/>
      <c r="E254" s="16"/>
    </row>
    <row r="255" spans="1:5" ht="14.5" customHeight="1" x14ac:dyDescent="0.35">
      <c r="A255" s="16" t="s">
        <v>419</v>
      </c>
      <c r="B255" s="42" t="s">
        <v>299</v>
      </c>
      <c r="C255" s="339">
        <v>0</v>
      </c>
      <c r="D255" s="16"/>
      <c r="E255" s="16"/>
    </row>
    <row r="256" spans="1:5" ht="14.5" customHeight="1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ht="14.5" customHeight="1" x14ac:dyDescent="0.35">
      <c r="A257" s="16"/>
      <c r="B257" s="16"/>
      <c r="C257" s="23"/>
      <c r="D257" s="16"/>
      <c r="E257" s="16"/>
    </row>
    <row r="258" spans="1:5" ht="14.5" customHeight="1" x14ac:dyDescent="0.35">
      <c r="A258" s="16" t="s">
        <v>422</v>
      </c>
      <c r="B258" s="16"/>
      <c r="C258" s="23"/>
      <c r="D258" s="28">
        <f>D237+D245+D252+D256</f>
        <v>21030151</v>
      </c>
      <c r="E258" s="16"/>
    </row>
    <row r="259" spans="1:5" ht="14.5" customHeight="1" x14ac:dyDescent="0.35">
      <c r="A259" s="16"/>
      <c r="B259" s="16"/>
      <c r="C259" s="23"/>
      <c r="D259" s="16"/>
      <c r="E259" s="16"/>
    </row>
    <row r="260" spans="1:5" ht="14.5" customHeight="1" x14ac:dyDescent="0.35">
      <c r="A260" s="16"/>
      <c r="B260" s="16"/>
      <c r="C260" s="23"/>
      <c r="D260" s="16"/>
      <c r="E260" s="16"/>
    </row>
    <row r="261" spans="1:5" ht="14.5" customHeight="1" x14ac:dyDescent="0.35">
      <c r="A261" s="16"/>
      <c r="B261" s="16"/>
      <c r="C261" s="23"/>
      <c r="D261" s="16"/>
      <c r="E261" s="16"/>
    </row>
    <row r="262" spans="1:5" ht="14.5" customHeight="1" x14ac:dyDescent="0.35">
      <c r="A262" s="16"/>
      <c r="B262" s="16"/>
      <c r="C262" s="23"/>
      <c r="D262" s="16"/>
      <c r="E262" s="16"/>
    </row>
    <row r="263" spans="1:5" ht="14.5" customHeight="1" x14ac:dyDescent="0.35">
      <c r="A263" s="16"/>
      <c r="B263" s="16"/>
      <c r="C263" s="23"/>
      <c r="D263" s="16"/>
      <c r="E263" s="16"/>
    </row>
    <row r="264" spans="1:5" ht="14.5" customHeight="1" x14ac:dyDescent="0.35">
      <c r="A264" s="34" t="s">
        <v>423</v>
      </c>
      <c r="B264" s="34"/>
      <c r="C264" s="34"/>
      <c r="D264" s="34"/>
      <c r="E264" s="34"/>
    </row>
    <row r="265" spans="1:5" ht="14.5" customHeight="1" x14ac:dyDescent="0.35">
      <c r="A265" s="41" t="s">
        <v>424</v>
      </c>
      <c r="B265" s="41"/>
      <c r="C265" s="41"/>
      <c r="D265" s="41"/>
      <c r="E265" s="41"/>
    </row>
    <row r="266" spans="1:5" ht="14.5" customHeight="1" x14ac:dyDescent="0.35">
      <c r="A266" s="16" t="s">
        <v>425</v>
      </c>
      <c r="B266" s="42" t="s">
        <v>299</v>
      </c>
      <c r="C266" s="339">
        <v>8707818</v>
      </c>
      <c r="D266" s="16"/>
      <c r="E266" s="16"/>
    </row>
    <row r="267" spans="1:5" ht="14.5" customHeight="1" x14ac:dyDescent="0.35">
      <c r="A267" s="16" t="s">
        <v>426</v>
      </c>
      <c r="B267" s="42" t="s">
        <v>299</v>
      </c>
      <c r="C267" s="339">
        <v>0</v>
      </c>
      <c r="D267" s="16"/>
      <c r="E267" s="16"/>
    </row>
    <row r="268" spans="1:5" ht="14.5" customHeight="1" x14ac:dyDescent="0.35">
      <c r="A268" s="16" t="s">
        <v>427</v>
      </c>
      <c r="B268" s="42" t="s">
        <v>299</v>
      </c>
      <c r="C268" s="339">
        <v>9042838</v>
      </c>
      <c r="D268" s="16"/>
      <c r="E268" s="16"/>
    </row>
    <row r="269" spans="1:5" ht="14.5" customHeight="1" x14ac:dyDescent="0.35">
      <c r="A269" s="16" t="s">
        <v>428</v>
      </c>
      <c r="B269" s="42" t="s">
        <v>299</v>
      </c>
      <c r="C269" s="339">
        <v>4848276</v>
      </c>
      <c r="D269" s="16"/>
      <c r="E269" s="16"/>
    </row>
    <row r="270" spans="1:5" ht="14.5" customHeight="1" x14ac:dyDescent="0.35">
      <c r="A270" s="16" t="s">
        <v>429</v>
      </c>
      <c r="B270" s="42" t="s">
        <v>299</v>
      </c>
      <c r="C270" s="339">
        <v>201383</v>
      </c>
      <c r="D270" s="16"/>
      <c r="E270" s="16"/>
    </row>
    <row r="271" spans="1:5" ht="14.5" customHeight="1" x14ac:dyDescent="0.35">
      <c r="A271" s="16" t="s">
        <v>430</v>
      </c>
      <c r="B271" s="42" t="s">
        <v>299</v>
      </c>
      <c r="C271" s="339">
        <v>621732</v>
      </c>
      <c r="D271" s="16"/>
      <c r="E271" s="16"/>
    </row>
    <row r="272" spans="1:5" ht="14.5" customHeight="1" x14ac:dyDescent="0.35">
      <c r="A272" s="16" t="s">
        <v>431</v>
      </c>
      <c r="B272" s="42" t="s">
        <v>299</v>
      </c>
      <c r="C272" s="339">
        <v>0</v>
      </c>
      <c r="D272" s="16"/>
      <c r="E272" s="16"/>
    </row>
    <row r="273" spans="1:5" ht="14.5" customHeight="1" x14ac:dyDescent="0.35">
      <c r="A273" s="16" t="s">
        <v>432</v>
      </c>
      <c r="B273" s="42" t="s">
        <v>299</v>
      </c>
      <c r="C273" s="339">
        <v>584543</v>
      </c>
      <c r="D273" s="16"/>
      <c r="E273" s="16"/>
    </row>
    <row r="274" spans="1:5" ht="14.5" customHeight="1" x14ac:dyDescent="0.35">
      <c r="A274" s="16" t="s">
        <v>433</v>
      </c>
      <c r="B274" s="42" t="s">
        <v>299</v>
      </c>
      <c r="C274" s="339">
        <v>487197</v>
      </c>
      <c r="D274" s="16"/>
      <c r="E274" s="16"/>
    </row>
    <row r="275" spans="1:5" ht="14.5" customHeight="1" x14ac:dyDescent="0.35">
      <c r="A275" s="16" t="s">
        <v>434</v>
      </c>
      <c r="B275" s="42" t="s">
        <v>299</v>
      </c>
      <c r="C275" s="339">
        <v>0</v>
      </c>
      <c r="D275" s="16"/>
      <c r="E275" s="16"/>
    </row>
    <row r="276" spans="1:5" ht="14.5" customHeight="1" x14ac:dyDescent="0.35">
      <c r="A276" s="16" t="s">
        <v>435</v>
      </c>
      <c r="B276" s="16"/>
      <c r="C276" s="23"/>
      <c r="D276" s="28">
        <f>SUM(C266:C268)-C269+SUM(C270:C275)</f>
        <v>14797235</v>
      </c>
      <c r="E276" s="16"/>
    </row>
    <row r="277" spans="1:5" ht="14.5" customHeight="1" x14ac:dyDescent="0.35">
      <c r="A277" s="41" t="s">
        <v>436</v>
      </c>
      <c r="B277" s="41"/>
      <c r="C277" s="41"/>
      <c r="D277" s="41"/>
      <c r="E277" s="41"/>
    </row>
    <row r="278" spans="1:5" ht="14.5" customHeight="1" x14ac:dyDescent="0.35">
      <c r="A278" s="16" t="s">
        <v>425</v>
      </c>
      <c r="B278" s="42" t="s">
        <v>299</v>
      </c>
      <c r="C278" s="339">
        <v>1808657</v>
      </c>
      <c r="D278" s="16"/>
      <c r="E278" s="16"/>
    </row>
    <row r="279" spans="1:5" ht="14.5" customHeight="1" x14ac:dyDescent="0.35">
      <c r="A279" s="16" t="s">
        <v>426</v>
      </c>
      <c r="B279" s="42" t="s">
        <v>299</v>
      </c>
      <c r="C279" s="339">
        <v>0</v>
      </c>
      <c r="D279" s="16"/>
      <c r="E279" s="16"/>
    </row>
    <row r="280" spans="1:5" ht="14.5" customHeight="1" x14ac:dyDescent="0.35">
      <c r="A280" s="16" t="s">
        <v>437</v>
      </c>
      <c r="B280" s="42" t="s">
        <v>299</v>
      </c>
      <c r="C280" s="339">
        <v>0</v>
      </c>
      <c r="D280" s="16"/>
      <c r="E280" s="16"/>
    </row>
    <row r="281" spans="1:5" ht="14.5" customHeight="1" x14ac:dyDescent="0.35">
      <c r="A281" s="16" t="s">
        <v>438</v>
      </c>
      <c r="B281" s="16"/>
      <c r="C281" s="23"/>
      <c r="D281" s="28">
        <f>SUM(C278:C280)</f>
        <v>1808657</v>
      </c>
      <c r="E281" s="16"/>
    </row>
    <row r="282" spans="1:5" ht="14.5" customHeight="1" x14ac:dyDescent="0.35">
      <c r="A282" s="41" t="s">
        <v>439</v>
      </c>
      <c r="B282" s="41"/>
      <c r="C282" s="41"/>
      <c r="D282" s="41"/>
      <c r="E282" s="41"/>
    </row>
    <row r="283" spans="1:5" ht="14.5" customHeight="1" x14ac:dyDescent="0.35">
      <c r="A283" s="16" t="s">
        <v>394</v>
      </c>
      <c r="B283" s="42" t="s">
        <v>299</v>
      </c>
      <c r="C283" s="339">
        <v>358540</v>
      </c>
      <c r="D283" s="16"/>
      <c r="E283" s="16"/>
    </row>
    <row r="284" spans="1:5" ht="14.5" customHeight="1" x14ac:dyDescent="0.35">
      <c r="A284" s="16" t="s">
        <v>395</v>
      </c>
      <c r="B284" s="42" t="s">
        <v>299</v>
      </c>
      <c r="C284" s="339">
        <v>719936</v>
      </c>
      <c r="D284" s="16"/>
      <c r="E284" s="16"/>
    </row>
    <row r="285" spans="1:5" ht="14.5" customHeight="1" x14ac:dyDescent="0.35">
      <c r="A285" s="16" t="s">
        <v>396</v>
      </c>
      <c r="B285" s="42" t="s">
        <v>299</v>
      </c>
      <c r="C285" s="339">
        <v>14473214</v>
      </c>
      <c r="D285" s="16"/>
      <c r="E285" s="16"/>
    </row>
    <row r="286" spans="1:5" ht="14.5" customHeight="1" x14ac:dyDescent="0.35">
      <c r="A286" s="16" t="s">
        <v>440</v>
      </c>
      <c r="B286" s="42" t="s">
        <v>299</v>
      </c>
      <c r="C286" s="339">
        <v>0</v>
      </c>
      <c r="D286" s="16"/>
      <c r="E286" s="16"/>
    </row>
    <row r="287" spans="1:5" ht="14.5" customHeight="1" x14ac:dyDescent="0.35">
      <c r="A287" s="16" t="s">
        <v>441</v>
      </c>
      <c r="B287" s="42" t="s">
        <v>299</v>
      </c>
      <c r="C287" s="339">
        <v>7373508</v>
      </c>
      <c r="D287" s="16"/>
      <c r="E287" s="16"/>
    </row>
    <row r="288" spans="1:5" ht="14.5" customHeight="1" x14ac:dyDescent="0.35">
      <c r="A288" s="16" t="s">
        <v>442</v>
      </c>
      <c r="B288" s="42" t="s">
        <v>299</v>
      </c>
      <c r="C288" s="339">
        <v>9389639</v>
      </c>
      <c r="D288" s="16"/>
      <c r="E288" s="16"/>
    </row>
    <row r="289" spans="1:5" ht="14.5" customHeight="1" x14ac:dyDescent="0.35">
      <c r="A289" s="16" t="s">
        <v>401</v>
      </c>
      <c r="B289" s="42" t="s">
        <v>299</v>
      </c>
      <c r="C289" s="339">
        <v>0</v>
      </c>
      <c r="D289" s="16"/>
      <c r="E289" s="16"/>
    </row>
    <row r="290" spans="1:5" ht="14.5" customHeight="1" x14ac:dyDescent="0.35">
      <c r="A290" s="16" t="s">
        <v>402</v>
      </c>
      <c r="B290" s="42" t="s">
        <v>299</v>
      </c>
      <c r="C290" s="339">
        <v>3560648</v>
      </c>
      <c r="D290" s="16"/>
      <c r="E290" s="16"/>
    </row>
    <row r="291" spans="1:5" ht="14.5" customHeight="1" x14ac:dyDescent="0.35">
      <c r="A291" s="16" t="s">
        <v>443</v>
      </c>
      <c r="B291" s="16"/>
      <c r="C291" s="23"/>
      <c r="D291" s="28">
        <f>SUM(C283:C290)</f>
        <v>35875485</v>
      </c>
      <c r="E291" s="16"/>
    </row>
    <row r="292" spans="1:5" ht="14.5" customHeight="1" x14ac:dyDescent="0.35">
      <c r="A292" s="16" t="s">
        <v>444</v>
      </c>
      <c r="B292" s="42" t="s">
        <v>299</v>
      </c>
      <c r="C292" s="339">
        <v>22047519</v>
      </c>
      <c r="D292" s="16"/>
      <c r="E292" s="16"/>
    </row>
    <row r="293" spans="1:5" ht="14.5" customHeight="1" x14ac:dyDescent="0.35">
      <c r="A293" s="16" t="s">
        <v>445</v>
      </c>
      <c r="B293" s="16"/>
      <c r="C293" s="23"/>
      <c r="D293" s="28">
        <f>D291-C292</f>
        <v>13827966</v>
      </c>
      <c r="E293" s="16"/>
    </row>
    <row r="294" spans="1:5" ht="14.5" customHeight="1" x14ac:dyDescent="0.35">
      <c r="A294" s="41" t="s">
        <v>446</v>
      </c>
      <c r="B294" s="41"/>
      <c r="C294" s="41"/>
      <c r="D294" s="41"/>
      <c r="E294" s="41"/>
    </row>
    <row r="295" spans="1:5" ht="14.5" customHeight="1" x14ac:dyDescent="0.35">
      <c r="A295" s="16" t="s">
        <v>447</v>
      </c>
      <c r="B295" s="42" t="s">
        <v>299</v>
      </c>
      <c r="C295" s="339">
        <v>0</v>
      </c>
      <c r="D295" s="16"/>
      <c r="E295" s="16"/>
    </row>
    <row r="296" spans="1:5" ht="14.5" customHeight="1" x14ac:dyDescent="0.35">
      <c r="A296" s="16" t="s">
        <v>448</v>
      </c>
      <c r="B296" s="42" t="s">
        <v>299</v>
      </c>
      <c r="C296" s="339">
        <v>0</v>
      </c>
      <c r="D296" s="16"/>
      <c r="E296" s="16"/>
    </row>
    <row r="297" spans="1:5" ht="14.5" customHeight="1" x14ac:dyDescent="0.35">
      <c r="A297" s="16" t="s">
        <v>449</v>
      </c>
      <c r="B297" s="42" t="s">
        <v>299</v>
      </c>
      <c r="C297" s="339">
        <v>0</v>
      </c>
      <c r="D297" s="16"/>
      <c r="E297" s="16"/>
    </row>
    <row r="298" spans="1:5" ht="14.5" customHeight="1" x14ac:dyDescent="0.35">
      <c r="A298" s="16" t="s">
        <v>437</v>
      </c>
      <c r="B298" s="42" t="s">
        <v>299</v>
      </c>
      <c r="C298" s="339">
        <f>3157+64897</f>
        <v>68054</v>
      </c>
      <c r="D298" s="16"/>
      <c r="E298" s="16"/>
    </row>
    <row r="299" spans="1:5" ht="14.5" customHeight="1" x14ac:dyDescent="0.35">
      <c r="A299" s="16" t="s">
        <v>450</v>
      </c>
      <c r="B299" s="16"/>
      <c r="C299" s="23"/>
      <c r="D299" s="28">
        <f>C295-C296+C297+C298</f>
        <v>68054</v>
      </c>
      <c r="E299" s="16"/>
    </row>
    <row r="300" spans="1:5" ht="14.5" customHeight="1" x14ac:dyDescent="0.35">
      <c r="A300" s="16"/>
      <c r="B300" s="16"/>
      <c r="C300" s="23"/>
      <c r="D300" s="16"/>
      <c r="E300" s="16"/>
    </row>
    <row r="301" spans="1:5" ht="14.5" customHeight="1" x14ac:dyDescent="0.35">
      <c r="A301" s="41" t="s">
        <v>451</v>
      </c>
      <c r="B301" s="41"/>
      <c r="C301" s="41"/>
      <c r="D301" s="41"/>
      <c r="E301" s="41"/>
    </row>
    <row r="302" spans="1:5" ht="14.5" customHeight="1" x14ac:dyDescent="0.35">
      <c r="A302" s="16" t="s">
        <v>452</v>
      </c>
      <c r="B302" s="42" t="s">
        <v>299</v>
      </c>
      <c r="C302" s="339">
        <v>0</v>
      </c>
      <c r="D302" s="16"/>
      <c r="E302" s="16"/>
    </row>
    <row r="303" spans="1:5" ht="14.5" customHeight="1" x14ac:dyDescent="0.35">
      <c r="A303" s="16" t="s">
        <v>453</v>
      </c>
      <c r="B303" s="42" t="s">
        <v>299</v>
      </c>
      <c r="C303" s="339">
        <v>0</v>
      </c>
      <c r="D303" s="16"/>
      <c r="E303" s="16"/>
    </row>
    <row r="304" spans="1:5" ht="14.5" customHeight="1" x14ac:dyDescent="0.35">
      <c r="A304" s="16" t="s">
        <v>454</v>
      </c>
      <c r="B304" s="42" t="s">
        <v>299</v>
      </c>
      <c r="C304" s="339">
        <v>0</v>
      </c>
      <c r="D304" s="16"/>
      <c r="E304" s="16"/>
    </row>
    <row r="305" spans="1:5" ht="14.5" customHeight="1" x14ac:dyDescent="0.35">
      <c r="A305" s="16" t="s">
        <v>455</v>
      </c>
      <c r="B305" s="42" t="s">
        <v>299</v>
      </c>
      <c r="C305" s="339">
        <v>0</v>
      </c>
      <c r="D305" s="16"/>
      <c r="E305" s="16"/>
    </row>
    <row r="306" spans="1:5" ht="14.5" customHeight="1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5" ht="14.5" customHeight="1" x14ac:dyDescent="0.35">
      <c r="A307" s="16"/>
      <c r="B307" s="16"/>
      <c r="C307" s="23"/>
      <c r="D307" s="16"/>
      <c r="E307" s="16"/>
    </row>
    <row r="308" spans="1:5" ht="14.5" customHeight="1" x14ac:dyDescent="0.35">
      <c r="A308" s="16" t="s">
        <v>457</v>
      </c>
      <c r="B308" s="16"/>
      <c r="C308" s="23"/>
      <c r="D308" s="28">
        <f>D276+D281+D293+D299+D306</f>
        <v>30501912</v>
      </c>
      <c r="E308" s="16"/>
    </row>
    <row r="309" spans="1:5" ht="14.5" customHeight="1" x14ac:dyDescent="0.35">
      <c r="A309" s="16"/>
      <c r="B309" s="16"/>
      <c r="C309" s="23"/>
      <c r="D309" s="16"/>
      <c r="E309" s="16"/>
    </row>
    <row r="310" spans="1:5" ht="14.5" customHeight="1" x14ac:dyDescent="0.35">
      <c r="A310" s="16"/>
      <c r="B310" s="16"/>
      <c r="C310" s="23"/>
      <c r="D310" s="16"/>
      <c r="E310" s="16"/>
    </row>
    <row r="311" spans="1:5" ht="14.5" customHeight="1" x14ac:dyDescent="0.35">
      <c r="A311" s="16"/>
      <c r="B311" s="16"/>
      <c r="C311" s="23"/>
      <c r="D311" s="16"/>
      <c r="E311" s="16"/>
    </row>
    <row r="312" spans="1:5" ht="14.5" customHeight="1" x14ac:dyDescent="0.35">
      <c r="A312" s="34" t="s">
        <v>458</v>
      </c>
      <c r="B312" s="34"/>
      <c r="C312" s="34"/>
      <c r="D312" s="34"/>
      <c r="E312" s="34"/>
    </row>
    <row r="313" spans="1:5" ht="14.5" customHeight="1" x14ac:dyDescent="0.35">
      <c r="A313" s="41" t="s">
        <v>459</v>
      </c>
      <c r="B313" s="41"/>
      <c r="C313" s="41"/>
      <c r="D313" s="41"/>
      <c r="E313" s="41"/>
    </row>
    <row r="314" spans="1:5" ht="14.5" customHeight="1" x14ac:dyDescent="0.35">
      <c r="A314" s="16" t="s">
        <v>460</v>
      </c>
      <c r="B314" s="42" t="s">
        <v>299</v>
      </c>
      <c r="C314" s="339">
        <v>0</v>
      </c>
      <c r="D314" s="16"/>
      <c r="E314" s="16"/>
    </row>
    <row r="315" spans="1:5" ht="14.5" customHeight="1" x14ac:dyDescent="0.35">
      <c r="A315" s="16" t="s">
        <v>461</v>
      </c>
      <c r="B315" s="42" t="s">
        <v>299</v>
      </c>
      <c r="C315" s="339">
        <v>4164837</v>
      </c>
      <c r="D315" s="16"/>
      <c r="E315" s="16"/>
    </row>
    <row r="316" spans="1:5" ht="14.5" customHeight="1" x14ac:dyDescent="0.35">
      <c r="A316" s="16" t="s">
        <v>462</v>
      </c>
      <c r="B316" s="42" t="s">
        <v>299</v>
      </c>
      <c r="C316" s="339">
        <v>3460424</v>
      </c>
      <c r="D316" s="16"/>
      <c r="E316" s="16"/>
    </row>
    <row r="317" spans="1:5" ht="14.5" customHeight="1" x14ac:dyDescent="0.35">
      <c r="A317" s="16" t="s">
        <v>463</v>
      </c>
      <c r="B317" s="42" t="s">
        <v>299</v>
      </c>
      <c r="C317" s="339">
        <v>127415</v>
      </c>
      <c r="D317" s="16"/>
      <c r="E317" s="16"/>
    </row>
    <row r="318" spans="1:5" ht="14.5" customHeight="1" x14ac:dyDescent="0.35">
      <c r="A318" s="16" t="s">
        <v>464</v>
      </c>
      <c r="B318" s="42" t="s">
        <v>299</v>
      </c>
      <c r="C318" s="339">
        <v>292336</v>
      </c>
      <c r="D318" s="16"/>
      <c r="E318" s="16"/>
    </row>
    <row r="319" spans="1:5" ht="14.5" customHeight="1" x14ac:dyDescent="0.35">
      <c r="A319" s="16" t="s">
        <v>465</v>
      </c>
      <c r="B319" s="42" t="s">
        <v>299</v>
      </c>
      <c r="C319" s="339">
        <v>599194</v>
      </c>
      <c r="D319" s="16"/>
      <c r="E319" s="16"/>
    </row>
    <row r="320" spans="1:5" ht="14.5" customHeight="1" x14ac:dyDescent="0.35">
      <c r="A320" s="16" t="s">
        <v>466</v>
      </c>
      <c r="B320" s="42" t="s">
        <v>299</v>
      </c>
      <c r="C320" s="339"/>
      <c r="D320" s="16"/>
      <c r="E320" s="16"/>
    </row>
    <row r="321" spans="1:5" ht="14.5" customHeight="1" x14ac:dyDescent="0.35">
      <c r="A321" s="16" t="s">
        <v>467</v>
      </c>
      <c r="B321" s="42" t="s">
        <v>299</v>
      </c>
      <c r="C321" s="339">
        <v>0</v>
      </c>
      <c r="D321" s="16"/>
      <c r="E321" s="16"/>
    </row>
    <row r="322" spans="1:5" ht="14.5" customHeight="1" x14ac:dyDescent="0.35">
      <c r="A322" s="16" t="s">
        <v>468</v>
      </c>
      <c r="B322" s="42" t="s">
        <v>299</v>
      </c>
      <c r="C322" s="339">
        <v>3157</v>
      </c>
      <c r="D322" s="16"/>
      <c r="E322" s="16"/>
    </row>
    <row r="323" spans="1:5" ht="14.5" customHeight="1" x14ac:dyDescent="0.35">
      <c r="A323" s="16" t="s">
        <v>469</v>
      </c>
      <c r="B323" s="42" t="s">
        <v>299</v>
      </c>
      <c r="C323" s="339">
        <v>1402225</v>
      </c>
      <c r="D323" s="16"/>
      <c r="E323" s="16"/>
    </row>
    <row r="324" spans="1:5" ht="14.5" customHeight="1" x14ac:dyDescent="0.35">
      <c r="A324" s="16" t="s">
        <v>470</v>
      </c>
      <c r="B324" s="16"/>
      <c r="C324" s="23"/>
      <c r="D324" s="28">
        <f>SUM(C314:C323)</f>
        <v>10049588</v>
      </c>
      <c r="E324" s="16"/>
    </row>
    <row r="325" spans="1:5" ht="14.5" customHeight="1" x14ac:dyDescent="0.35">
      <c r="A325" s="41" t="s">
        <v>471</v>
      </c>
      <c r="B325" s="41"/>
      <c r="C325" s="41"/>
      <c r="D325" s="41"/>
      <c r="E325" s="41"/>
    </row>
    <row r="326" spans="1:5" ht="14.5" customHeight="1" x14ac:dyDescent="0.35">
      <c r="A326" s="16" t="s">
        <v>472</v>
      </c>
      <c r="B326" s="42" t="s">
        <v>299</v>
      </c>
      <c r="C326" s="339">
        <v>0</v>
      </c>
      <c r="D326" s="16"/>
      <c r="E326" s="16"/>
    </row>
    <row r="327" spans="1:5" ht="14.5" customHeight="1" x14ac:dyDescent="0.35">
      <c r="A327" s="16" t="s">
        <v>473</v>
      </c>
      <c r="B327" s="42" t="s">
        <v>299</v>
      </c>
      <c r="C327" s="339">
        <v>0</v>
      </c>
      <c r="D327" s="16"/>
      <c r="E327" s="16"/>
    </row>
    <row r="328" spans="1:5" ht="14.5" customHeight="1" x14ac:dyDescent="0.35">
      <c r="A328" s="16" t="s">
        <v>474</v>
      </c>
      <c r="B328" s="42" t="s">
        <v>299</v>
      </c>
      <c r="C328" s="339">
        <v>670188</v>
      </c>
      <c r="D328" s="16"/>
      <c r="E328" s="16"/>
    </row>
    <row r="329" spans="1:5" ht="14.5" customHeight="1" x14ac:dyDescent="0.35">
      <c r="A329" s="16" t="s">
        <v>475</v>
      </c>
      <c r="B329" s="16"/>
      <c r="C329" s="23"/>
      <c r="D329" s="28">
        <f>SUM(C326:C328)</f>
        <v>670188</v>
      </c>
      <c r="E329" s="16"/>
    </row>
    <row r="330" spans="1:5" ht="14.5" customHeight="1" x14ac:dyDescent="0.35">
      <c r="A330" s="41" t="s">
        <v>476</v>
      </c>
      <c r="B330" s="41"/>
      <c r="C330" s="41"/>
      <c r="D330" s="41"/>
      <c r="E330" s="41"/>
    </row>
    <row r="331" spans="1:5" ht="14.5" customHeight="1" x14ac:dyDescent="0.35">
      <c r="A331" s="16" t="s">
        <v>477</v>
      </c>
      <c r="B331" s="42" t="s">
        <v>299</v>
      </c>
      <c r="C331" s="339">
        <v>0</v>
      </c>
      <c r="D331" s="16"/>
      <c r="E331" s="16"/>
    </row>
    <row r="332" spans="1:5" ht="14.5" customHeight="1" x14ac:dyDescent="0.35">
      <c r="A332" s="16" t="s">
        <v>478</v>
      </c>
      <c r="B332" s="42" t="s">
        <v>299</v>
      </c>
      <c r="C332" s="339">
        <v>0</v>
      </c>
      <c r="D332" s="16"/>
      <c r="E332" s="16"/>
    </row>
    <row r="333" spans="1:5" ht="14.5" customHeight="1" x14ac:dyDescent="0.35">
      <c r="A333" s="16" t="s">
        <v>479</v>
      </c>
      <c r="B333" s="42" t="s">
        <v>299</v>
      </c>
      <c r="C333" s="339">
        <f>5346069+C323</f>
        <v>6748294</v>
      </c>
      <c r="D333" s="16"/>
      <c r="E333" s="16"/>
    </row>
    <row r="334" spans="1:5" ht="14.5" customHeight="1" x14ac:dyDescent="0.35">
      <c r="A334" s="22" t="s">
        <v>480</v>
      </c>
      <c r="B334" s="42" t="s">
        <v>299</v>
      </c>
      <c r="C334" s="339">
        <v>305894</v>
      </c>
      <c r="D334" s="16"/>
      <c r="E334" s="16"/>
    </row>
    <row r="335" spans="1:5" ht="14.5" customHeight="1" x14ac:dyDescent="0.35">
      <c r="A335" s="16" t="s">
        <v>481</v>
      </c>
      <c r="B335" s="42" t="s">
        <v>299</v>
      </c>
      <c r="C335" s="339">
        <v>0</v>
      </c>
      <c r="D335" s="16"/>
      <c r="E335" s="16"/>
    </row>
    <row r="336" spans="1:5" ht="14.5" customHeight="1" x14ac:dyDescent="0.35">
      <c r="A336" s="22" t="s">
        <v>482</v>
      </c>
      <c r="B336" s="42" t="s">
        <v>299</v>
      </c>
      <c r="C336" s="339">
        <v>0</v>
      </c>
      <c r="D336" s="16"/>
      <c r="E336" s="16"/>
    </row>
    <row r="337" spans="1:5" ht="14.5" customHeight="1" x14ac:dyDescent="0.35">
      <c r="A337" s="22" t="s">
        <v>483</v>
      </c>
      <c r="B337" s="42" t="s">
        <v>299</v>
      </c>
      <c r="C337" s="344">
        <v>0</v>
      </c>
      <c r="D337" s="16"/>
      <c r="E337" s="16"/>
    </row>
    <row r="338" spans="1:5" ht="14.5" customHeight="1" x14ac:dyDescent="0.35">
      <c r="A338" s="16" t="s">
        <v>484</v>
      </c>
      <c r="B338" s="42" t="s">
        <v>299</v>
      </c>
      <c r="C338" s="339">
        <v>0</v>
      </c>
      <c r="D338" s="16"/>
      <c r="E338" s="16"/>
    </row>
    <row r="339" spans="1:5" ht="14.5" customHeight="1" x14ac:dyDescent="0.35">
      <c r="A339" s="16" t="s">
        <v>230</v>
      </c>
      <c r="B339" s="16"/>
      <c r="C339" s="23"/>
      <c r="D339" s="28">
        <f>SUM(C331:C338)</f>
        <v>7054188</v>
      </c>
      <c r="E339" s="16"/>
    </row>
    <row r="340" spans="1:5" ht="14.5" customHeight="1" x14ac:dyDescent="0.35">
      <c r="A340" s="16" t="s">
        <v>485</v>
      </c>
      <c r="B340" s="16"/>
      <c r="C340" s="23"/>
      <c r="D340" s="28">
        <f>C323</f>
        <v>1402225</v>
      </c>
      <c r="E340" s="16"/>
    </row>
    <row r="341" spans="1:5" ht="14.5" customHeight="1" x14ac:dyDescent="0.35">
      <c r="A341" s="16" t="s">
        <v>486</v>
      </c>
      <c r="B341" s="16"/>
      <c r="C341" s="23"/>
      <c r="D341" s="28">
        <f>D339-D340</f>
        <v>5651963</v>
      </c>
      <c r="E341" s="16"/>
    </row>
    <row r="342" spans="1:5" ht="14.5" customHeight="1" x14ac:dyDescent="0.35">
      <c r="A342" s="16"/>
      <c r="B342" s="16"/>
      <c r="C342" s="23"/>
      <c r="D342" s="16"/>
      <c r="E342" s="16"/>
    </row>
    <row r="343" spans="1:5" ht="14.5" customHeight="1" x14ac:dyDescent="0.35">
      <c r="A343" s="16" t="s">
        <v>487</v>
      </c>
      <c r="B343" s="42" t="s">
        <v>299</v>
      </c>
      <c r="C343" s="345">
        <v>14130173</v>
      </c>
      <c r="D343" s="16"/>
      <c r="E343" s="16"/>
    </row>
    <row r="344" spans="1:5" ht="14.5" customHeight="1" x14ac:dyDescent="0.35">
      <c r="A344" s="16"/>
      <c r="B344" s="42"/>
      <c r="C344" s="53"/>
      <c r="D344" s="16"/>
      <c r="E344" s="16"/>
    </row>
    <row r="345" spans="1:5" ht="14.5" customHeight="1" x14ac:dyDescent="0.35">
      <c r="A345" s="16" t="s">
        <v>488</v>
      </c>
      <c r="B345" s="42" t="s">
        <v>299</v>
      </c>
      <c r="C345" s="340">
        <v>0</v>
      </c>
      <c r="D345" s="16"/>
      <c r="E345" s="16"/>
    </row>
    <row r="346" spans="1:5" ht="14.5" customHeight="1" x14ac:dyDescent="0.35">
      <c r="A346" s="16" t="s">
        <v>489</v>
      </c>
      <c r="B346" s="42" t="s">
        <v>299</v>
      </c>
      <c r="C346" s="340">
        <v>0</v>
      </c>
      <c r="D346" s="16"/>
      <c r="E346" s="16"/>
    </row>
    <row r="347" spans="1:5" ht="14.5" customHeight="1" x14ac:dyDescent="0.35">
      <c r="A347" s="16" t="s">
        <v>490</v>
      </c>
      <c r="B347" s="42" t="s">
        <v>299</v>
      </c>
      <c r="C347" s="340">
        <v>0</v>
      </c>
      <c r="D347" s="16"/>
      <c r="E347" s="16"/>
    </row>
    <row r="348" spans="1:5" ht="14.5" customHeight="1" x14ac:dyDescent="0.35">
      <c r="A348" s="16" t="s">
        <v>491</v>
      </c>
      <c r="B348" s="42" t="s">
        <v>299</v>
      </c>
      <c r="C348" s="340">
        <v>0</v>
      </c>
      <c r="D348" s="16"/>
      <c r="E348" s="16"/>
    </row>
    <row r="349" spans="1:5" ht="14.5" customHeight="1" x14ac:dyDescent="0.35">
      <c r="A349" s="16" t="s">
        <v>492</v>
      </c>
      <c r="B349" s="42" t="s">
        <v>299</v>
      </c>
      <c r="C349" s="340">
        <v>0</v>
      </c>
      <c r="D349" s="16"/>
      <c r="E349" s="16"/>
    </row>
    <row r="350" spans="1:5" ht="14.5" customHeight="1" x14ac:dyDescent="0.35">
      <c r="A350" s="16" t="s">
        <v>493</v>
      </c>
      <c r="B350" s="16"/>
      <c r="C350" s="23"/>
      <c r="D350" s="28">
        <f>D324+D329+D341+C343+C347+C348</f>
        <v>30501912</v>
      </c>
      <c r="E350" s="16"/>
    </row>
    <row r="351" spans="1:5" ht="14.5" customHeight="1" x14ac:dyDescent="0.35">
      <c r="A351" s="16"/>
      <c r="B351" s="16"/>
      <c r="C351" s="23"/>
      <c r="D351" s="16"/>
      <c r="E351" s="16"/>
    </row>
    <row r="352" spans="1:5" ht="14.5" customHeight="1" x14ac:dyDescent="0.35">
      <c r="A352" s="16" t="s">
        <v>494</v>
      </c>
      <c r="B352" s="16"/>
      <c r="C352" s="23"/>
      <c r="D352" s="28">
        <f>D308</f>
        <v>30501912</v>
      </c>
      <c r="E352" s="16"/>
    </row>
    <row r="353" spans="1:5" ht="14.5" customHeight="1" x14ac:dyDescent="0.35">
      <c r="A353" s="16"/>
      <c r="B353" s="16"/>
      <c r="C353" s="23"/>
      <c r="D353" s="16"/>
      <c r="E353" s="16"/>
    </row>
    <row r="354" spans="1:5" ht="14.5" customHeight="1" x14ac:dyDescent="0.35">
      <c r="A354" s="16"/>
      <c r="B354" s="16"/>
      <c r="C354" s="23"/>
      <c r="D354" s="16"/>
      <c r="E354" s="16"/>
    </row>
    <row r="355" spans="1:5" ht="14.5" customHeight="1" x14ac:dyDescent="0.35">
      <c r="A355" s="16"/>
      <c r="B355" s="16"/>
      <c r="C355" s="23"/>
      <c r="D355" s="16"/>
      <c r="E355" s="16"/>
    </row>
    <row r="356" spans="1:5" ht="14.5" customHeight="1" x14ac:dyDescent="0.35">
      <c r="A356" s="34" t="s">
        <v>495</v>
      </c>
      <c r="B356" s="34"/>
      <c r="C356" s="34"/>
      <c r="D356" s="34"/>
      <c r="E356" s="34"/>
    </row>
    <row r="357" spans="1:5" ht="14.5" customHeight="1" x14ac:dyDescent="0.35">
      <c r="A357" s="41" t="s">
        <v>496</v>
      </c>
      <c r="B357" s="41"/>
      <c r="C357" s="41"/>
      <c r="D357" s="41"/>
      <c r="E357" s="41"/>
    </row>
    <row r="358" spans="1:5" ht="14.5" customHeight="1" x14ac:dyDescent="0.35">
      <c r="A358" s="16" t="s">
        <v>497</v>
      </c>
      <c r="B358" s="42" t="s">
        <v>299</v>
      </c>
      <c r="C358" s="339">
        <v>11789240</v>
      </c>
      <c r="D358" s="16"/>
      <c r="E358" s="16"/>
    </row>
    <row r="359" spans="1:5" ht="14.5" customHeight="1" x14ac:dyDescent="0.35">
      <c r="A359" s="16" t="s">
        <v>498</v>
      </c>
      <c r="B359" s="42" t="s">
        <v>299</v>
      </c>
      <c r="C359" s="339">
        <f>52032008-C358</f>
        <v>40242768</v>
      </c>
      <c r="D359" s="16"/>
      <c r="E359" s="16"/>
    </row>
    <row r="360" spans="1:5" ht="14.5" customHeight="1" x14ac:dyDescent="0.35">
      <c r="A360" s="16" t="s">
        <v>499</v>
      </c>
      <c r="B360" s="16"/>
      <c r="C360" s="23"/>
      <c r="D360" s="28">
        <f>SUM(C358:C359)</f>
        <v>52032008</v>
      </c>
      <c r="E360" s="16"/>
    </row>
    <row r="361" spans="1:5" ht="14.5" customHeight="1" x14ac:dyDescent="0.35">
      <c r="A361" s="41" t="s">
        <v>500</v>
      </c>
      <c r="B361" s="41"/>
      <c r="C361" s="41"/>
      <c r="D361" s="41"/>
      <c r="E361" s="41"/>
    </row>
    <row r="362" spans="1:5" ht="14.5" customHeight="1" x14ac:dyDescent="0.35">
      <c r="A362" s="16" t="s">
        <v>405</v>
      </c>
      <c r="B362" s="41"/>
      <c r="C362" s="339">
        <v>993584</v>
      </c>
      <c r="D362" s="16"/>
      <c r="E362" s="41"/>
    </row>
    <row r="363" spans="1:5" ht="14.5" customHeight="1" x14ac:dyDescent="0.35">
      <c r="A363" s="16" t="s">
        <v>501</v>
      </c>
      <c r="B363" s="42" t="s">
        <v>299</v>
      </c>
      <c r="C363" s="339">
        <v>19850738</v>
      </c>
      <c r="D363" s="16"/>
      <c r="E363" s="16"/>
    </row>
    <row r="364" spans="1:5" ht="14.5" customHeight="1" x14ac:dyDescent="0.35">
      <c r="A364" s="16" t="s">
        <v>502</v>
      </c>
      <c r="B364" s="42" t="s">
        <v>299</v>
      </c>
      <c r="C364" s="339">
        <v>848224</v>
      </c>
      <c r="D364" s="16"/>
      <c r="E364" s="16"/>
    </row>
    <row r="365" spans="1:5" ht="14.5" customHeight="1" x14ac:dyDescent="0.35">
      <c r="A365" s="16" t="s">
        <v>503</v>
      </c>
      <c r="B365" s="42" t="s">
        <v>299</v>
      </c>
      <c r="C365" s="339">
        <v>0</v>
      </c>
      <c r="D365" s="16"/>
      <c r="E365" s="16"/>
    </row>
    <row r="366" spans="1:5" ht="14.5" customHeight="1" x14ac:dyDescent="0.35">
      <c r="A366" s="16" t="s">
        <v>422</v>
      </c>
      <c r="B366" s="16"/>
      <c r="C366" s="23"/>
      <c r="D366" s="28">
        <f>SUM(C362:C365)</f>
        <v>21692546</v>
      </c>
      <c r="E366" s="16"/>
    </row>
    <row r="367" spans="1:5" ht="14.5" customHeight="1" x14ac:dyDescent="0.35">
      <c r="A367" s="16" t="s">
        <v>504</v>
      </c>
      <c r="B367" s="16"/>
      <c r="C367" s="23"/>
      <c r="D367" s="28">
        <f>D360-D366</f>
        <v>30339462</v>
      </c>
      <c r="E367" s="16"/>
    </row>
    <row r="368" spans="1:5" ht="14.5" customHeight="1" x14ac:dyDescent="0.35">
      <c r="A368" s="54" t="s">
        <v>505</v>
      </c>
      <c r="B368" s="41"/>
      <c r="C368" s="41"/>
      <c r="D368" s="41"/>
      <c r="E368" s="41"/>
    </row>
    <row r="369" spans="1:6" ht="14.5" customHeight="1" x14ac:dyDescent="0.35">
      <c r="A369" s="28" t="s">
        <v>506</v>
      </c>
      <c r="B369" s="16"/>
      <c r="C369" s="16"/>
      <c r="D369" s="16"/>
      <c r="E369" s="16"/>
    </row>
    <row r="370" spans="1:6" ht="14.5" customHeight="1" x14ac:dyDescent="0.35">
      <c r="A370" s="55" t="s">
        <v>507</v>
      </c>
      <c r="B370" s="36" t="s">
        <v>299</v>
      </c>
      <c r="C370" s="339">
        <v>50461</v>
      </c>
      <c r="D370" s="28">
        <v>0</v>
      </c>
      <c r="E370" s="28"/>
    </row>
    <row r="371" spans="1:6" ht="14.5" customHeight="1" x14ac:dyDescent="0.35">
      <c r="A371" s="55" t="s">
        <v>508</v>
      </c>
      <c r="B371" s="36" t="s">
        <v>299</v>
      </c>
      <c r="C371" s="339">
        <v>0</v>
      </c>
      <c r="D371" s="28">
        <v>0</v>
      </c>
      <c r="E371" s="28"/>
    </row>
    <row r="372" spans="1:6" ht="14.5" customHeight="1" x14ac:dyDescent="0.35">
      <c r="A372" s="55" t="s">
        <v>509</v>
      </c>
      <c r="B372" s="36" t="s">
        <v>299</v>
      </c>
      <c r="C372" s="339">
        <v>0</v>
      </c>
      <c r="D372" s="28">
        <v>0</v>
      </c>
      <c r="E372" s="28"/>
    </row>
    <row r="373" spans="1:6" ht="14.5" customHeight="1" x14ac:dyDescent="0.35">
      <c r="A373" s="55" t="s">
        <v>510</v>
      </c>
      <c r="B373" s="36" t="s">
        <v>299</v>
      </c>
      <c r="C373" s="339">
        <v>0</v>
      </c>
      <c r="D373" s="28">
        <v>0</v>
      </c>
      <c r="E373" s="28"/>
    </row>
    <row r="374" spans="1:6" ht="14.5" customHeight="1" x14ac:dyDescent="0.35">
      <c r="A374" s="55" t="s">
        <v>511</v>
      </c>
      <c r="B374" s="36" t="s">
        <v>299</v>
      </c>
      <c r="C374" s="339">
        <v>0</v>
      </c>
      <c r="D374" s="28">
        <v>0</v>
      </c>
      <c r="E374" s="28"/>
    </row>
    <row r="375" spans="1:6" ht="14.5" customHeight="1" x14ac:dyDescent="0.35">
      <c r="A375" s="55" t="s">
        <v>512</v>
      </c>
      <c r="B375" s="36" t="s">
        <v>299</v>
      </c>
      <c r="C375" s="339">
        <v>0</v>
      </c>
      <c r="D375" s="28">
        <v>0</v>
      </c>
      <c r="E375" s="28"/>
    </row>
    <row r="376" spans="1:6" ht="14.5" customHeight="1" x14ac:dyDescent="0.35">
      <c r="A376" s="55" t="s">
        <v>513</v>
      </c>
      <c r="B376" s="36" t="s">
        <v>299</v>
      </c>
      <c r="C376" s="339">
        <v>0</v>
      </c>
      <c r="D376" s="28">
        <v>0</v>
      </c>
      <c r="E376" s="28"/>
    </row>
    <row r="377" spans="1:6" ht="14.5" customHeight="1" x14ac:dyDescent="0.35">
      <c r="A377" s="55" t="s">
        <v>514</v>
      </c>
      <c r="B377" s="36" t="s">
        <v>299</v>
      </c>
      <c r="C377" s="339">
        <v>0</v>
      </c>
      <c r="D377" s="28">
        <v>0</v>
      </c>
      <c r="E377" s="28"/>
    </row>
    <row r="378" spans="1:6" ht="14.5" customHeight="1" x14ac:dyDescent="0.35">
      <c r="A378" s="55" t="s">
        <v>515</v>
      </c>
      <c r="B378" s="36" t="s">
        <v>299</v>
      </c>
      <c r="C378" s="339">
        <f>60354+6744</f>
        <v>67098</v>
      </c>
      <c r="D378" s="28">
        <v>0</v>
      </c>
      <c r="E378" s="28"/>
    </row>
    <row r="379" spans="1:6" ht="14.5" customHeight="1" x14ac:dyDescent="0.35">
      <c r="A379" s="55" t="s">
        <v>516</v>
      </c>
      <c r="B379" s="36" t="s">
        <v>299</v>
      </c>
      <c r="C379" s="339">
        <f>86833+41257</f>
        <v>128090</v>
      </c>
      <c r="D379" s="28">
        <v>0</v>
      </c>
      <c r="E379" s="28"/>
    </row>
    <row r="380" spans="1:6" ht="14.5" customHeight="1" x14ac:dyDescent="0.35">
      <c r="A380" s="55" t="s">
        <v>517</v>
      </c>
      <c r="B380" s="36" t="s">
        <v>299</v>
      </c>
      <c r="C380" s="341">
        <f>1098236-C379-C378-C370</f>
        <v>852587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ht="14.5" customHeight="1" x14ac:dyDescent="0.35">
      <c r="A381" s="57" t="s">
        <v>518</v>
      </c>
      <c r="B381" s="42"/>
      <c r="C381" s="42"/>
      <c r="D381" s="28">
        <f>SUM(C370:C380)</f>
        <v>1098236</v>
      </c>
      <c r="E381" s="28"/>
      <c r="F381" s="56"/>
    </row>
    <row r="382" spans="1:6" ht="14.5" customHeight="1" x14ac:dyDescent="0.35">
      <c r="A382" s="52" t="s">
        <v>519</v>
      </c>
      <c r="B382" s="42" t="s">
        <v>299</v>
      </c>
      <c r="C382" s="339">
        <v>1317121</v>
      </c>
      <c r="D382" s="28">
        <v>0</v>
      </c>
      <c r="E382" s="16"/>
    </row>
    <row r="383" spans="1:6" ht="14.5" customHeight="1" x14ac:dyDescent="0.35">
      <c r="A383" s="16" t="s">
        <v>520</v>
      </c>
      <c r="B383" s="16"/>
      <c r="C383" s="23"/>
      <c r="D383" s="28">
        <f>D381+C382</f>
        <v>2415357</v>
      </c>
      <c r="E383" s="16"/>
    </row>
    <row r="384" spans="1:6" ht="14.5" customHeight="1" x14ac:dyDescent="0.35">
      <c r="A384" s="16" t="s">
        <v>521</v>
      </c>
      <c r="B384" s="16"/>
      <c r="C384" s="23"/>
      <c r="D384" s="28">
        <f>D367+D383</f>
        <v>32754819</v>
      </c>
      <c r="E384" s="16"/>
    </row>
    <row r="385" spans="1:5" ht="14.5" customHeight="1" x14ac:dyDescent="0.35">
      <c r="A385" s="16"/>
      <c r="B385" s="16"/>
      <c r="C385" s="23"/>
      <c r="D385" s="16"/>
      <c r="E385" s="16"/>
    </row>
    <row r="386" spans="1:5" ht="14.5" customHeight="1" x14ac:dyDescent="0.35">
      <c r="A386" s="16"/>
      <c r="B386" s="16"/>
      <c r="C386" s="23"/>
      <c r="D386" s="16"/>
      <c r="E386" s="16"/>
    </row>
    <row r="387" spans="1:5" ht="14.5" customHeight="1" x14ac:dyDescent="0.35">
      <c r="A387" s="16"/>
      <c r="B387" s="16"/>
      <c r="C387" s="23"/>
      <c r="D387" s="16"/>
      <c r="E387" s="16"/>
    </row>
    <row r="388" spans="1:5" ht="14.5" customHeight="1" x14ac:dyDescent="0.35">
      <c r="A388" s="41" t="s">
        <v>522</v>
      </c>
      <c r="B388" s="41"/>
      <c r="C388" s="41"/>
      <c r="D388" s="41"/>
      <c r="E388" s="41"/>
    </row>
    <row r="389" spans="1:5" ht="14.5" customHeight="1" x14ac:dyDescent="0.35">
      <c r="A389" s="16" t="s">
        <v>523</v>
      </c>
      <c r="B389" s="42" t="s">
        <v>299</v>
      </c>
      <c r="C389" s="339">
        <v>15532916</v>
      </c>
      <c r="D389" s="16"/>
      <c r="E389" s="16"/>
    </row>
    <row r="390" spans="1:5" ht="14.5" customHeight="1" x14ac:dyDescent="0.35">
      <c r="A390" s="16" t="s">
        <v>11</v>
      </c>
      <c r="B390" s="42" t="s">
        <v>299</v>
      </c>
      <c r="C390" s="339">
        <v>3460290</v>
      </c>
      <c r="D390" s="16"/>
      <c r="E390" s="16"/>
    </row>
    <row r="391" spans="1:5" ht="14.5" customHeight="1" x14ac:dyDescent="0.35">
      <c r="A391" s="16" t="s">
        <v>264</v>
      </c>
      <c r="B391" s="42" t="s">
        <v>299</v>
      </c>
      <c r="C391" s="339">
        <v>563274</v>
      </c>
      <c r="D391" s="16"/>
      <c r="E391" s="16"/>
    </row>
    <row r="392" spans="1:5" ht="14.5" customHeight="1" x14ac:dyDescent="0.35">
      <c r="A392" s="16" t="s">
        <v>524</v>
      </c>
      <c r="B392" s="42" t="s">
        <v>299</v>
      </c>
      <c r="C392" s="339">
        <v>3749663</v>
      </c>
      <c r="D392" s="16"/>
      <c r="E392" s="16"/>
    </row>
    <row r="393" spans="1:5" ht="14.5" customHeight="1" x14ac:dyDescent="0.35">
      <c r="A393" s="16" t="s">
        <v>525</v>
      </c>
      <c r="B393" s="42" t="s">
        <v>299</v>
      </c>
      <c r="C393" s="339">
        <v>458624</v>
      </c>
      <c r="D393" s="16"/>
      <c r="E393" s="16"/>
    </row>
    <row r="394" spans="1:5" ht="14.5" customHeight="1" x14ac:dyDescent="0.35">
      <c r="A394" s="16" t="s">
        <v>526</v>
      </c>
      <c r="B394" s="42" t="s">
        <v>299</v>
      </c>
      <c r="C394" s="339">
        <v>7874508</v>
      </c>
      <c r="D394" s="16"/>
      <c r="E394" s="16"/>
    </row>
    <row r="395" spans="1:5" ht="14.5" customHeight="1" x14ac:dyDescent="0.35">
      <c r="A395" s="16" t="s">
        <v>16</v>
      </c>
      <c r="B395" s="42" t="s">
        <v>299</v>
      </c>
      <c r="C395" s="339">
        <v>1307512</v>
      </c>
      <c r="D395" s="16"/>
      <c r="E395" s="16"/>
    </row>
    <row r="396" spans="1:5" ht="14.5" customHeight="1" x14ac:dyDescent="0.35">
      <c r="A396" s="16" t="s">
        <v>527</v>
      </c>
      <c r="B396" s="42" t="s">
        <v>299</v>
      </c>
      <c r="C396" s="339">
        <v>464490</v>
      </c>
      <c r="D396" s="16"/>
      <c r="E396" s="16"/>
    </row>
    <row r="397" spans="1:5" ht="14.5" customHeight="1" x14ac:dyDescent="0.35">
      <c r="A397" s="16" t="s">
        <v>528</v>
      </c>
      <c r="B397" s="42" t="s">
        <v>299</v>
      </c>
      <c r="C397" s="341">
        <v>364767</v>
      </c>
      <c r="D397" s="16"/>
      <c r="E397" s="16"/>
    </row>
    <row r="398" spans="1:5" ht="14.5" customHeight="1" x14ac:dyDescent="0.35">
      <c r="A398" s="16" t="s">
        <v>529</v>
      </c>
      <c r="B398" s="42" t="s">
        <v>299</v>
      </c>
      <c r="C398" s="341">
        <v>160555</v>
      </c>
      <c r="D398" s="16"/>
      <c r="E398" s="16"/>
    </row>
    <row r="399" spans="1:5" ht="14.5" customHeight="1" x14ac:dyDescent="0.35">
      <c r="A399" s="16" t="s">
        <v>530</v>
      </c>
      <c r="B399" s="42" t="s">
        <v>299</v>
      </c>
      <c r="C399" s="341">
        <v>218914</v>
      </c>
      <c r="D399" s="16"/>
      <c r="E399" s="16"/>
    </row>
    <row r="400" spans="1:5" ht="14.5" customHeight="1" x14ac:dyDescent="0.35">
      <c r="A400" s="28" t="s">
        <v>531</v>
      </c>
      <c r="B400" s="16"/>
      <c r="C400" s="16"/>
      <c r="D400" s="16"/>
      <c r="E400" s="16"/>
    </row>
    <row r="401" spans="1:9" ht="14.5" customHeight="1" x14ac:dyDescent="0.35">
      <c r="A401" s="29" t="s">
        <v>270</v>
      </c>
      <c r="B401" s="36" t="s">
        <v>299</v>
      </c>
      <c r="C401" s="339">
        <v>0</v>
      </c>
      <c r="D401" s="28">
        <v>0</v>
      </c>
      <c r="E401" s="28"/>
    </row>
    <row r="402" spans="1:9" ht="14.5" customHeight="1" x14ac:dyDescent="0.35">
      <c r="A402" s="29" t="s">
        <v>271</v>
      </c>
      <c r="B402" s="36" t="s">
        <v>299</v>
      </c>
      <c r="C402" s="339">
        <v>0</v>
      </c>
      <c r="D402" s="28">
        <v>0</v>
      </c>
      <c r="E402" s="28"/>
    </row>
    <row r="403" spans="1:9" ht="14.5" customHeight="1" x14ac:dyDescent="0.35">
      <c r="A403" s="29" t="s">
        <v>532</v>
      </c>
      <c r="B403" s="36" t="s">
        <v>299</v>
      </c>
      <c r="C403" s="339">
        <v>0</v>
      </c>
      <c r="D403" s="28">
        <v>0</v>
      </c>
      <c r="E403" s="28"/>
    </row>
    <row r="404" spans="1:9" ht="14.5" customHeight="1" x14ac:dyDescent="0.35">
      <c r="A404" s="29" t="s">
        <v>273</v>
      </c>
      <c r="B404" s="36" t="s">
        <v>299</v>
      </c>
      <c r="C404" s="339">
        <v>0</v>
      </c>
      <c r="D404" s="28">
        <v>0</v>
      </c>
      <c r="E404" s="28"/>
    </row>
    <row r="405" spans="1:9" ht="14.5" customHeight="1" x14ac:dyDescent="0.35">
      <c r="A405" s="29" t="s">
        <v>274</v>
      </c>
      <c r="B405" s="36" t="s">
        <v>299</v>
      </c>
      <c r="C405" s="339">
        <v>0</v>
      </c>
      <c r="D405" s="28">
        <v>0</v>
      </c>
      <c r="E405" s="28"/>
    </row>
    <row r="406" spans="1:9" ht="14.5" customHeight="1" x14ac:dyDescent="0.35">
      <c r="A406" s="29" t="s">
        <v>275</v>
      </c>
      <c r="B406" s="36" t="s">
        <v>299</v>
      </c>
      <c r="C406" s="339">
        <v>0</v>
      </c>
      <c r="D406" s="28">
        <v>0</v>
      </c>
      <c r="E406" s="28"/>
    </row>
    <row r="407" spans="1:9" ht="14.5" customHeight="1" x14ac:dyDescent="0.35">
      <c r="A407" s="29" t="s">
        <v>276</v>
      </c>
      <c r="B407" s="36" t="s">
        <v>299</v>
      </c>
      <c r="C407" s="339">
        <v>0</v>
      </c>
      <c r="D407" s="28">
        <v>0</v>
      </c>
      <c r="E407" s="28"/>
    </row>
    <row r="408" spans="1:9" ht="14.5" customHeight="1" x14ac:dyDescent="0.35">
      <c r="A408" s="29" t="s">
        <v>277</v>
      </c>
      <c r="B408" s="36" t="s">
        <v>299</v>
      </c>
      <c r="C408" s="339">
        <v>482025</v>
      </c>
      <c r="D408" s="28">
        <v>0</v>
      </c>
      <c r="E408" s="28"/>
    </row>
    <row r="409" spans="1:9" ht="14.5" customHeight="1" x14ac:dyDescent="0.35">
      <c r="A409" s="29" t="s">
        <v>278</v>
      </c>
      <c r="B409" s="36" t="s">
        <v>299</v>
      </c>
      <c r="C409" s="339">
        <v>0</v>
      </c>
      <c r="D409" s="28">
        <v>0</v>
      </c>
      <c r="E409" s="28"/>
    </row>
    <row r="410" spans="1:9" ht="14.5" customHeight="1" x14ac:dyDescent="0.35">
      <c r="A410" s="29" t="s">
        <v>279</v>
      </c>
      <c r="B410" s="36" t="s">
        <v>299</v>
      </c>
      <c r="C410" s="339">
        <v>97336</v>
      </c>
      <c r="D410" s="28">
        <v>0</v>
      </c>
      <c r="E410" s="28"/>
    </row>
    <row r="411" spans="1:9" ht="14.5" customHeight="1" x14ac:dyDescent="0.35">
      <c r="A411" s="29" t="s">
        <v>280</v>
      </c>
      <c r="B411" s="36" t="s">
        <v>299</v>
      </c>
      <c r="C411" s="339">
        <v>78585</v>
      </c>
      <c r="D411" s="28">
        <v>0</v>
      </c>
      <c r="E411" s="28"/>
    </row>
    <row r="412" spans="1:9" ht="14.5" customHeight="1" x14ac:dyDescent="0.35">
      <c r="A412" s="29" t="s">
        <v>281</v>
      </c>
      <c r="B412" s="36" t="s">
        <v>299</v>
      </c>
      <c r="C412" s="339">
        <v>0</v>
      </c>
      <c r="D412" s="28">
        <v>0</v>
      </c>
      <c r="E412" s="28"/>
    </row>
    <row r="413" spans="1:9" ht="14.5" customHeight="1" x14ac:dyDescent="0.35">
      <c r="A413" s="29" t="s">
        <v>282</v>
      </c>
      <c r="B413" s="36" t="s">
        <v>299</v>
      </c>
      <c r="C413" s="339">
        <v>0</v>
      </c>
      <c r="D413" s="28">
        <v>0</v>
      </c>
      <c r="E413" s="28"/>
    </row>
    <row r="414" spans="1:9" ht="14.5" customHeight="1" x14ac:dyDescent="0.35">
      <c r="A414" s="29" t="s">
        <v>283</v>
      </c>
      <c r="B414" s="36" t="s">
        <v>299</v>
      </c>
      <c r="C414" s="341">
        <v>281884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ht="14.5" customHeight="1" x14ac:dyDescent="0.35">
      <c r="A415" s="58" t="s">
        <v>533</v>
      </c>
      <c r="B415" s="42"/>
      <c r="C415" s="42"/>
      <c r="D415" s="28">
        <f>SUM(C401:C414)</f>
        <v>939830</v>
      </c>
      <c r="E415" s="28"/>
      <c r="F415" s="56"/>
      <c r="G415" s="56"/>
      <c r="H415" s="56"/>
      <c r="I415" s="56"/>
    </row>
    <row r="416" spans="1:9" ht="14.5" customHeight="1" x14ac:dyDescent="0.35">
      <c r="A416" s="28" t="s">
        <v>534</v>
      </c>
      <c r="B416" s="16"/>
      <c r="C416" s="23"/>
      <c r="D416" s="28">
        <f>SUM(C389:C399,D415)</f>
        <v>35095343</v>
      </c>
      <c r="E416" s="28"/>
    </row>
    <row r="417" spans="1:13" ht="14.5" customHeight="1" x14ac:dyDescent="0.35">
      <c r="A417" s="28" t="s">
        <v>535</v>
      </c>
      <c r="B417" s="16"/>
      <c r="C417" s="23"/>
      <c r="D417" s="28">
        <f>D384-D416</f>
        <v>-2340524</v>
      </c>
      <c r="E417" s="28"/>
    </row>
    <row r="418" spans="1:13" ht="14.5" customHeight="1" x14ac:dyDescent="0.35">
      <c r="A418" s="28" t="s">
        <v>536</v>
      </c>
      <c r="B418" s="16"/>
      <c r="C418" s="341">
        <f>203008+179699</f>
        <v>382707</v>
      </c>
      <c r="D418" s="28">
        <v>0</v>
      </c>
      <c r="E418" s="28"/>
    </row>
    <row r="419" spans="1:13" ht="14.5" customHeight="1" x14ac:dyDescent="0.35">
      <c r="A419" s="55" t="s">
        <v>537</v>
      </c>
      <c r="B419" s="42" t="s">
        <v>299</v>
      </c>
      <c r="C419" s="339">
        <v>0</v>
      </c>
      <c r="D419" s="28">
        <v>0</v>
      </c>
      <c r="E419" s="28"/>
    </row>
    <row r="420" spans="1:13" ht="14.5" customHeight="1" x14ac:dyDescent="0.35">
      <c r="A420" s="57" t="s">
        <v>538</v>
      </c>
      <c r="B420" s="16"/>
      <c r="C420" s="16"/>
      <c r="D420" s="28">
        <f>SUM(C418:C419)</f>
        <v>382707</v>
      </c>
      <c r="E420" s="28"/>
    </row>
    <row r="421" spans="1:13" ht="14.5" customHeight="1" x14ac:dyDescent="0.35">
      <c r="A421" s="28" t="s">
        <v>539</v>
      </c>
      <c r="B421" s="16"/>
      <c r="C421" s="23"/>
      <c r="D421" s="28">
        <f>D417+D420</f>
        <v>-1957817</v>
      </c>
      <c r="E421" s="28"/>
      <c r="F421" s="59"/>
    </row>
    <row r="422" spans="1:13" ht="14.5" customHeight="1" x14ac:dyDescent="0.35">
      <c r="A422" s="28" t="s">
        <v>540</v>
      </c>
      <c r="B422" s="42" t="s">
        <v>299</v>
      </c>
      <c r="C422" s="339">
        <v>0</v>
      </c>
      <c r="D422" s="28">
        <v>0</v>
      </c>
      <c r="E422" s="16"/>
    </row>
    <row r="423" spans="1:13" ht="14.5" customHeight="1" x14ac:dyDescent="0.35">
      <c r="A423" s="16" t="s">
        <v>541</v>
      </c>
      <c r="B423" s="42" t="s">
        <v>299</v>
      </c>
      <c r="C423" s="339">
        <v>0</v>
      </c>
      <c r="D423" s="28">
        <v>0</v>
      </c>
      <c r="E423" s="16"/>
    </row>
    <row r="424" spans="1:13" ht="14.5" customHeight="1" x14ac:dyDescent="0.35">
      <c r="A424" s="16" t="s">
        <v>542</v>
      </c>
      <c r="B424" s="16"/>
      <c r="C424" s="23"/>
      <c r="D424" s="28">
        <f>D421+C422-C423</f>
        <v>-1957817</v>
      </c>
      <c r="E424" s="16"/>
    </row>
    <row r="425" spans="1:13" ht="14.5" customHeight="1" x14ac:dyDescent="0.35"/>
    <row r="426" spans="1:13" ht="30" customHeight="1" x14ac:dyDescent="0.35">
      <c r="A426" s="364" t="s">
        <v>1382</v>
      </c>
      <c r="B426" s="364"/>
      <c r="C426" s="364"/>
      <c r="D426" s="364"/>
      <c r="E426" s="364"/>
    </row>
    <row r="427" spans="1:13" ht="14.5" customHeight="1" x14ac:dyDescent="0.35">
      <c r="M427" s="60"/>
    </row>
    <row r="428" spans="1:13" ht="14.5" customHeight="1" x14ac:dyDescent="0.35">
      <c r="M428" s="60"/>
    </row>
    <row r="429" spans="1:13" ht="14.5" customHeight="1" x14ac:dyDescent="0.35">
      <c r="M429" s="60"/>
    </row>
    <row r="430" spans="1:13" ht="14.5" customHeight="1" x14ac:dyDescent="0.35"/>
    <row r="431" spans="1:13" ht="14.5" customHeight="1" x14ac:dyDescent="0.35"/>
    <row r="432" spans="1:13" ht="14.5" customHeight="1" x14ac:dyDescent="0.35"/>
    <row r="433" spans="2:7" ht="14.5" customHeight="1" x14ac:dyDescent="0.35">
      <c r="B433" s="61"/>
      <c r="C433" s="61"/>
      <c r="D433" s="61"/>
      <c r="E433" s="61"/>
      <c r="F433" s="61"/>
      <c r="G433" s="61"/>
    </row>
    <row r="434" spans="2:7" ht="14.5" customHeight="1" x14ac:dyDescent="0.35"/>
    <row r="435" spans="2:7" ht="14.5" customHeight="1" x14ac:dyDescent="0.35"/>
    <row r="436" spans="2:7" ht="14.5" customHeight="1" x14ac:dyDescent="0.35"/>
    <row r="437" spans="2:7" ht="14.5" customHeight="1" x14ac:dyDescent="0.35"/>
    <row r="438" spans="2:7" ht="14.5" customHeight="1" x14ac:dyDescent="0.35"/>
    <row r="439" spans="2:7" ht="14.5" customHeight="1" x14ac:dyDescent="0.35"/>
    <row r="440" spans="2:7" ht="14.5" customHeight="1" x14ac:dyDescent="0.35"/>
    <row r="441" spans="2:7" ht="14.5" customHeight="1" x14ac:dyDescent="0.35"/>
    <row r="442" spans="2:7" ht="14.5" customHeight="1" x14ac:dyDescent="0.35"/>
    <row r="443" spans="2:7" ht="14.5" customHeight="1" x14ac:dyDescent="0.35"/>
    <row r="444" spans="2:7" ht="14.5" customHeight="1" x14ac:dyDescent="0.35"/>
    <row r="445" spans="2:7" ht="14.5" customHeight="1" x14ac:dyDescent="0.35"/>
    <row r="446" spans="2:7" ht="14.5" customHeight="1" x14ac:dyDescent="0.35"/>
    <row r="447" spans="2:7" ht="14.5" customHeight="1" x14ac:dyDescent="0.35"/>
    <row r="448" spans="2:7" ht="14.5" customHeight="1" x14ac:dyDescent="0.35"/>
    <row r="449" ht="14.5" customHeight="1" x14ac:dyDescent="0.35"/>
    <row r="450" ht="14.5" customHeight="1" x14ac:dyDescent="0.35"/>
    <row r="451" ht="14.5" customHeight="1" x14ac:dyDescent="0.35"/>
    <row r="452" ht="14.5" customHeight="1" x14ac:dyDescent="0.35"/>
    <row r="453" ht="14.5" customHeight="1" x14ac:dyDescent="0.35"/>
    <row r="454" ht="14.5" customHeight="1" x14ac:dyDescent="0.35"/>
    <row r="455" ht="14.5" customHeight="1" x14ac:dyDescent="0.35"/>
    <row r="456" ht="14.5" customHeight="1" x14ac:dyDescent="0.35"/>
    <row r="457" ht="14.5" customHeight="1" x14ac:dyDescent="0.35"/>
    <row r="458" ht="14.5" customHeight="1" x14ac:dyDescent="0.35"/>
    <row r="459" ht="14.5" customHeight="1" x14ac:dyDescent="0.35"/>
    <row r="460" ht="14.5" customHeight="1" x14ac:dyDescent="0.35"/>
    <row r="461" ht="14.5" customHeight="1" x14ac:dyDescent="0.35"/>
    <row r="462" ht="14.5" customHeight="1" x14ac:dyDescent="0.35"/>
    <row r="463" ht="14.5" customHeight="1" x14ac:dyDescent="0.35"/>
    <row r="464" ht="14.5" customHeight="1" x14ac:dyDescent="0.35"/>
    <row r="465" ht="14.5" customHeight="1" x14ac:dyDescent="0.35"/>
    <row r="466" ht="14.5" customHeight="1" x14ac:dyDescent="0.35"/>
    <row r="467" ht="14.5" customHeight="1" x14ac:dyDescent="0.35"/>
    <row r="468" ht="14.5" customHeight="1" x14ac:dyDescent="0.35"/>
    <row r="469" ht="14.5" customHeight="1" x14ac:dyDescent="0.35"/>
    <row r="470" ht="14.5" customHeight="1" x14ac:dyDescent="0.35"/>
    <row r="471" ht="14.5" customHeight="1" x14ac:dyDescent="0.35"/>
    <row r="472" ht="14.5" customHeight="1" x14ac:dyDescent="0.35"/>
    <row r="473" ht="14.5" customHeight="1" x14ac:dyDescent="0.35"/>
    <row r="474" ht="14.5" customHeight="1" x14ac:dyDescent="0.35"/>
    <row r="475" ht="14.5" customHeight="1" x14ac:dyDescent="0.35"/>
    <row r="476" ht="14.5" customHeight="1" x14ac:dyDescent="0.35"/>
    <row r="477" ht="14.5" customHeight="1" x14ac:dyDescent="0.35"/>
    <row r="478" ht="14.5" customHeight="1" x14ac:dyDescent="0.35"/>
    <row r="479" ht="14.5" customHeight="1" x14ac:dyDescent="0.35"/>
    <row r="480" ht="14.5" customHeight="1" x14ac:dyDescent="0.35"/>
    <row r="481" ht="14.5" customHeight="1" x14ac:dyDescent="0.35"/>
    <row r="482" ht="14.5" customHeight="1" x14ac:dyDescent="0.35"/>
    <row r="483" ht="14.5" customHeight="1" x14ac:dyDescent="0.35"/>
    <row r="484" ht="14.5" customHeight="1" x14ac:dyDescent="0.35"/>
    <row r="485" ht="14.5" customHeight="1" x14ac:dyDescent="0.35"/>
    <row r="486" ht="14.5" customHeight="1" x14ac:dyDescent="0.35"/>
    <row r="487" ht="14.5" customHeight="1" x14ac:dyDescent="0.35"/>
    <row r="488" ht="14.5" customHeight="1" x14ac:dyDescent="0.35"/>
    <row r="489" ht="14.5" customHeight="1" x14ac:dyDescent="0.35"/>
    <row r="490" ht="14.5" customHeight="1" x14ac:dyDescent="0.35"/>
    <row r="491" ht="14.5" customHeight="1" x14ac:dyDescent="0.35"/>
    <row r="492" ht="14.5" customHeight="1" x14ac:dyDescent="0.35"/>
    <row r="493" ht="14.5" customHeight="1" x14ac:dyDescent="0.35"/>
    <row r="494" ht="14.5" customHeight="1" x14ac:dyDescent="0.35"/>
    <row r="495" ht="14.5" customHeight="1" x14ac:dyDescent="0.35"/>
    <row r="496" ht="14.5" customHeight="1" x14ac:dyDescent="0.35"/>
    <row r="497" ht="14.5" customHeight="1" x14ac:dyDescent="0.35"/>
    <row r="498" ht="14.5" customHeight="1" x14ac:dyDescent="0.35"/>
    <row r="499" ht="14.5" customHeight="1" x14ac:dyDescent="0.35"/>
    <row r="500" ht="14.5" customHeight="1" x14ac:dyDescent="0.35"/>
    <row r="501" ht="14.5" customHeight="1" x14ac:dyDescent="0.35"/>
    <row r="502" ht="14.5" customHeight="1" x14ac:dyDescent="0.35"/>
    <row r="503" ht="14.5" customHeight="1" x14ac:dyDescent="0.35"/>
    <row r="504" ht="14.5" customHeight="1" x14ac:dyDescent="0.35"/>
    <row r="505" ht="14.5" customHeight="1" x14ac:dyDescent="0.35"/>
    <row r="506" ht="14.5" customHeight="1" x14ac:dyDescent="0.35"/>
    <row r="507" ht="14.5" customHeight="1" x14ac:dyDescent="0.35"/>
    <row r="508" ht="14.5" customHeight="1" x14ac:dyDescent="0.35"/>
    <row r="509" ht="14.5" customHeight="1" x14ac:dyDescent="0.35"/>
    <row r="510" ht="14.5" customHeight="1" x14ac:dyDescent="0.35"/>
    <row r="511" ht="14.5" customHeight="1" x14ac:dyDescent="0.35"/>
    <row r="512" ht="14.5" customHeight="1" x14ac:dyDescent="0.35"/>
    <row r="513" ht="14.5" customHeight="1" x14ac:dyDescent="0.35"/>
    <row r="514" ht="14.5" customHeight="1" x14ac:dyDescent="0.35"/>
    <row r="515" ht="14.5" customHeight="1" x14ac:dyDescent="0.35"/>
    <row r="516" ht="14.5" customHeight="1" x14ac:dyDescent="0.35"/>
    <row r="517" ht="14.5" customHeight="1" x14ac:dyDescent="0.35"/>
    <row r="518" ht="14.5" customHeight="1" x14ac:dyDescent="0.35"/>
    <row r="519" ht="14.5" customHeight="1" x14ac:dyDescent="0.35"/>
    <row r="520" ht="14.5" customHeight="1" x14ac:dyDescent="0.35"/>
    <row r="521" ht="14.5" customHeight="1" x14ac:dyDescent="0.35"/>
    <row r="522" ht="14.5" customHeight="1" x14ac:dyDescent="0.35"/>
    <row r="523" ht="14.5" customHeight="1" x14ac:dyDescent="0.35"/>
    <row r="524" ht="14.5" customHeight="1" x14ac:dyDescent="0.35"/>
    <row r="525" ht="14.5" customHeight="1" x14ac:dyDescent="0.35"/>
    <row r="526" ht="14.5" customHeight="1" x14ac:dyDescent="0.35"/>
    <row r="527" ht="14.5" customHeight="1" x14ac:dyDescent="0.35"/>
    <row r="528" ht="14.5" customHeight="1" x14ac:dyDescent="0.35"/>
    <row r="529" ht="14.5" customHeight="1" x14ac:dyDescent="0.35"/>
    <row r="530" ht="14.5" customHeight="1" x14ac:dyDescent="0.35"/>
    <row r="531" ht="14.5" customHeight="1" x14ac:dyDescent="0.35"/>
    <row r="532" ht="14.5" customHeight="1" x14ac:dyDescent="0.35"/>
    <row r="533" ht="14.5" customHeight="1" x14ac:dyDescent="0.35"/>
    <row r="534" ht="14.5" customHeight="1" x14ac:dyDescent="0.35"/>
    <row r="535" ht="14.5" customHeight="1" x14ac:dyDescent="0.35"/>
    <row r="536" ht="14.5" customHeight="1" x14ac:dyDescent="0.35"/>
    <row r="537" ht="14.5" customHeight="1" x14ac:dyDescent="0.35"/>
    <row r="538" ht="14.5" customHeight="1" x14ac:dyDescent="0.35"/>
    <row r="539" ht="14.5" customHeight="1" x14ac:dyDescent="0.35"/>
    <row r="540" ht="14.5" customHeight="1" x14ac:dyDescent="0.35"/>
    <row r="541" ht="14.5" customHeight="1" x14ac:dyDescent="0.35"/>
    <row r="542" ht="14.5" customHeight="1" x14ac:dyDescent="0.35"/>
    <row r="543" ht="14.5" customHeight="1" x14ac:dyDescent="0.35"/>
    <row r="544" ht="14.5" customHeight="1" x14ac:dyDescent="0.35"/>
    <row r="545" ht="14.5" customHeight="1" x14ac:dyDescent="0.35"/>
    <row r="546" ht="14.5" customHeight="1" x14ac:dyDescent="0.35"/>
    <row r="547" ht="14.5" customHeight="1" x14ac:dyDescent="0.35"/>
    <row r="548" ht="14.5" customHeight="1" x14ac:dyDescent="0.35"/>
    <row r="549" ht="14.5" customHeight="1" x14ac:dyDescent="0.35"/>
    <row r="550" ht="14.5" customHeight="1" x14ac:dyDescent="0.35"/>
    <row r="551" ht="14.5" customHeight="1" x14ac:dyDescent="0.35"/>
    <row r="552" ht="14.5" customHeight="1" x14ac:dyDescent="0.35"/>
    <row r="553" ht="14.5" customHeight="1" x14ac:dyDescent="0.35"/>
    <row r="554" ht="14.5" customHeight="1" x14ac:dyDescent="0.35"/>
    <row r="555" ht="14.5" customHeight="1" x14ac:dyDescent="0.35"/>
    <row r="556" ht="14.5" customHeight="1" x14ac:dyDescent="0.35"/>
    <row r="557" ht="14.5" customHeight="1" x14ac:dyDescent="0.35"/>
    <row r="558" ht="14.5" customHeight="1" x14ac:dyDescent="0.35"/>
    <row r="559" ht="14.5" customHeight="1" x14ac:dyDescent="0.35"/>
    <row r="560" ht="14.5" customHeight="1" x14ac:dyDescent="0.35"/>
    <row r="561" spans="2:83" ht="14.5" customHeight="1" x14ac:dyDescent="0.35"/>
    <row r="562" spans="2:83" ht="14.5" customHeight="1" x14ac:dyDescent="0.35"/>
    <row r="563" spans="2:83" ht="14.5" customHeight="1" x14ac:dyDescent="0.35"/>
    <row r="564" spans="2:83" ht="14.5" customHeight="1" x14ac:dyDescent="0.35"/>
    <row r="565" spans="2:83" ht="14.5" customHeight="1" x14ac:dyDescent="0.35"/>
    <row r="566" spans="2:83" ht="14.5" customHeight="1" x14ac:dyDescent="0.35"/>
    <row r="567" spans="2:83" ht="14.5" customHeight="1" x14ac:dyDescent="0.35"/>
    <row r="568" spans="2:83" ht="14.5" customHeight="1" x14ac:dyDescent="0.35"/>
    <row r="569" spans="2:83" ht="14.5" customHeight="1" x14ac:dyDescent="0.35"/>
    <row r="570" spans="2:83" ht="14.5" customHeight="1" x14ac:dyDescent="0.35"/>
    <row r="571" spans="2:83" ht="14.5" customHeight="1" x14ac:dyDescent="0.35"/>
    <row r="572" spans="2:83" ht="14.5" customHeight="1" x14ac:dyDescent="0.35"/>
    <row r="573" spans="2:83" ht="14.5" customHeight="1" x14ac:dyDescent="0.35"/>
    <row r="574" spans="2:83" ht="14.5" customHeight="1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5" spans="2:83" ht="14.5" customHeight="1" x14ac:dyDescent="0.35"/>
    <row r="576" spans="2:83" ht="14.5" customHeight="1" x14ac:dyDescent="0.35"/>
    <row r="577" spans="2:83" ht="14.5" customHeight="1" x14ac:dyDescent="0.35"/>
    <row r="578" spans="2:83" ht="14.5" customHeight="1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79" spans="2:83" ht="14.5" customHeight="1" x14ac:dyDescent="0.35"/>
    <row r="580" spans="2:83" ht="14.5" customHeight="1" x14ac:dyDescent="0.35"/>
    <row r="581" spans="2:83" ht="14.5" customHeight="1" x14ac:dyDescent="0.35"/>
    <row r="582" spans="2:83" ht="14.5" customHeight="1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583" spans="2:83" ht="14.5" customHeight="1" x14ac:dyDescent="0.35"/>
    <row r="584" spans="2:83" ht="14.5" customHeight="1" x14ac:dyDescent="0.35"/>
    <row r="585" spans="2:83" ht="14.5" customHeight="1" x14ac:dyDescent="0.35"/>
    <row r="586" spans="2:83" ht="14.5" customHeight="1" x14ac:dyDescent="0.35"/>
    <row r="587" spans="2:83" ht="14.5" customHeight="1" x14ac:dyDescent="0.35"/>
    <row r="588" spans="2:83" ht="14.5" customHeight="1" x14ac:dyDescent="0.35"/>
    <row r="589" spans="2:83" ht="14.5" customHeight="1" x14ac:dyDescent="0.35"/>
    <row r="590" spans="2:83" ht="14.5" customHeight="1" x14ac:dyDescent="0.35"/>
    <row r="591" spans="2:83" ht="14.5" customHeight="1" x14ac:dyDescent="0.35"/>
    <row r="592" spans="2:83" ht="14.5" customHeight="1" x14ac:dyDescent="0.35"/>
    <row r="593" ht="14.5" customHeight="1" x14ac:dyDescent="0.35"/>
    <row r="594" ht="14.5" customHeight="1" x14ac:dyDescent="0.35"/>
    <row r="595" ht="14.5" customHeight="1" x14ac:dyDescent="0.35"/>
    <row r="596" ht="14.5" customHeight="1" x14ac:dyDescent="0.35"/>
    <row r="597" ht="14.5" customHeight="1" x14ac:dyDescent="0.35"/>
    <row r="598" ht="14.5" customHeight="1" x14ac:dyDescent="0.35"/>
    <row r="599" ht="14.5" customHeight="1" x14ac:dyDescent="0.35"/>
    <row r="600" ht="14.5" customHeight="1" x14ac:dyDescent="0.35"/>
    <row r="601" ht="14.5" customHeight="1" x14ac:dyDescent="0.35"/>
    <row r="602" ht="14.5" customHeight="1" x14ac:dyDescent="0.35"/>
    <row r="603" ht="14.5" customHeight="1" x14ac:dyDescent="0.35"/>
    <row r="604" ht="14.5" customHeight="1" x14ac:dyDescent="0.35"/>
    <row r="605" ht="14.5" customHeight="1" x14ac:dyDescent="0.35"/>
    <row r="606" ht="14.5" customHeight="1" x14ac:dyDescent="0.35"/>
    <row r="607" ht="14.5" customHeight="1" x14ac:dyDescent="0.35"/>
    <row r="608" ht="14.5" customHeight="1" x14ac:dyDescent="0.35"/>
    <row r="609" spans="1:14" ht="14.5" customHeight="1" x14ac:dyDescent="0.35"/>
    <row r="610" spans="1:14" ht="14.5" customHeight="1" x14ac:dyDescent="0.35"/>
    <row r="611" spans="1:14" ht="14.5" customHeight="1" x14ac:dyDescent="0.35"/>
    <row r="612" spans="1:14" s="212" customFormat="1" ht="14.5" customHeight="1" x14ac:dyDescent="0.35">
      <c r="A612" s="224"/>
      <c r="C612" s="222" t="s">
        <v>543</v>
      </c>
      <c r="D612" s="229">
        <f>CE90-(BE90+CD90)</f>
        <v>82773</v>
      </c>
      <c r="E612" s="231">
        <f>SUM(C624:D647)+SUM(C668:D713)</f>
        <v>30105965.519517235</v>
      </c>
      <c r="F612" s="231">
        <f>CE64-(AX64+BD64+BE64+BG64+BJ64+BN64+BP64+BQ64+CB64+CC64+CD64)</f>
        <v>3391205</v>
      </c>
      <c r="G612" s="229">
        <f>CE91-(AX91+AY91+BD91+BE91+BG91+BJ91+BN91+BP91+BQ91+CB91+CC91+CD91)</f>
        <v>46661</v>
      </c>
      <c r="H612" s="234">
        <f>CE60-(AX60+AY60+AZ60+BD60+BE60+BG60+BJ60+BN60+BO60+BP60+BQ60+BR60+CB60+CC60+CD60)</f>
        <v>153.84</v>
      </c>
      <c r="I612" s="229">
        <f>CE92-(AX92+AY92+AZ92+BD92+BE92+BF92+BG92+BJ92+BN92+BO92+BP92+BQ92+BR92+CB92+CC92+CD92)</f>
        <v>5506</v>
      </c>
      <c r="J612" s="229">
        <f>CE93-(AX93+AY93+AZ93+BA93+BD93+BE93+BF93+BG93+BJ93+BN93+BO93+BP93+BQ93+BR93+CB93+CC93+CD93)</f>
        <v>224907</v>
      </c>
      <c r="K612" s="229">
        <f>CE89-(AW89+AX89+AY89+AZ89+BA89+BB89+BC89+BD89+BE89+BF89+BG89+BH89+BI89+BJ89+BK89+BL89+BM89+BN89+BO89+BP89+BQ89+BR89+BS89+BT89+BU89+BV89+BW89+BX89+CB89+CC89+CD89)</f>
        <v>52027497</v>
      </c>
      <c r="L612" s="235">
        <f>CE94-(AW94+AX94+AY94+AZ94+BA94+BB94+BC94+BD94+BE94+BF94+BG94+BH94+BI94+BJ94+BK94+BL94+BM94+BN94+BO94+BP94+BQ94+BR94+BS94+BT94+BU94+BV94+BW94+BX94+BY94+BZ94+CA94+CB94+CC94+CD94)</f>
        <v>60.22</v>
      </c>
    </row>
    <row r="613" spans="1:14" s="212" customFormat="1" ht="14.5" customHeight="1" x14ac:dyDescent="0.35">
      <c r="A613" s="224"/>
      <c r="C613" s="222" t="s">
        <v>544</v>
      </c>
      <c r="D613" s="230" t="s">
        <v>545</v>
      </c>
      <c r="E613" s="232" t="s">
        <v>546</v>
      </c>
      <c r="F613" s="233" t="s">
        <v>547</v>
      </c>
      <c r="G613" s="230" t="s">
        <v>548</v>
      </c>
      <c r="H613" s="233" t="s">
        <v>549</v>
      </c>
      <c r="I613" s="230" t="s">
        <v>550</v>
      </c>
      <c r="J613" s="230" t="s">
        <v>551</v>
      </c>
      <c r="K613" s="222" t="s">
        <v>552</v>
      </c>
      <c r="L613" s="223" t="s">
        <v>553</v>
      </c>
    </row>
    <row r="614" spans="1:14" s="212" customFormat="1" ht="14.5" customHeight="1" x14ac:dyDescent="0.35">
      <c r="A614" s="224">
        <v>8430</v>
      </c>
      <c r="B614" s="223" t="s">
        <v>167</v>
      </c>
      <c r="C614" s="229">
        <f>BE85</f>
        <v>1078674</v>
      </c>
      <c r="D614" s="229"/>
      <c r="E614" s="231"/>
      <c r="F614" s="231"/>
      <c r="G614" s="229"/>
      <c r="H614" s="231"/>
      <c r="I614" s="229"/>
      <c r="J614" s="229"/>
      <c r="N614" s="225" t="s">
        <v>554</v>
      </c>
    </row>
    <row r="615" spans="1:14" s="212" customFormat="1" ht="14.5" customHeight="1" x14ac:dyDescent="0.35">
      <c r="A615" s="224"/>
      <c r="B615" s="223" t="s">
        <v>555</v>
      </c>
      <c r="C615" s="229">
        <f>CD69-CD84</f>
        <v>495811</v>
      </c>
      <c r="D615" s="229">
        <f>SUM(C614:C615)</f>
        <v>1574485</v>
      </c>
      <c r="E615" s="231"/>
      <c r="F615" s="231"/>
      <c r="G615" s="229"/>
      <c r="H615" s="231"/>
      <c r="I615" s="229"/>
      <c r="J615" s="229"/>
      <c r="N615" s="225" t="s">
        <v>556</v>
      </c>
    </row>
    <row r="616" spans="1:14" s="212" customFormat="1" ht="14.5" customHeight="1" x14ac:dyDescent="0.35">
      <c r="A616" s="224">
        <v>8310</v>
      </c>
      <c r="B616" s="228" t="s">
        <v>557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558</v>
      </c>
    </row>
    <row r="617" spans="1:14" s="212" customFormat="1" ht="14.5" customHeight="1" x14ac:dyDescent="0.35">
      <c r="A617" s="224">
        <v>8510</v>
      </c>
      <c r="B617" s="228" t="s">
        <v>172</v>
      </c>
      <c r="C617" s="229">
        <f>BJ85</f>
        <v>809312</v>
      </c>
      <c r="D617" s="229">
        <f>(D615/D612)*BJ90</f>
        <v>46336.914936029869</v>
      </c>
      <c r="E617" s="231"/>
      <c r="F617" s="231"/>
      <c r="G617" s="229"/>
      <c r="H617" s="231"/>
      <c r="I617" s="229"/>
      <c r="J617" s="229"/>
      <c r="N617" s="225" t="s">
        <v>559</v>
      </c>
    </row>
    <row r="618" spans="1:14" s="212" customFormat="1" ht="14.5" customHeight="1" x14ac:dyDescent="0.35">
      <c r="A618" s="224">
        <v>8470</v>
      </c>
      <c r="B618" s="228" t="s">
        <v>560</v>
      </c>
      <c r="C618" s="229">
        <f>BG85</f>
        <v>58116</v>
      </c>
      <c r="D618" s="229">
        <f>(D615/D612)*BG90</f>
        <v>14076.074323752915</v>
      </c>
      <c r="E618" s="231"/>
      <c r="F618" s="231"/>
      <c r="G618" s="229"/>
      <c r="H618" s="231"/>
      <c r="I618" s="229"/>
      <c r="J618" s="229"/>
      <c r="N618" s="225" t="s">
        <v>561</v>
      </c>
    </row>
    <row r="619" spans="1:14" s="212" customFormat="1" ht="14.5" customHeight="1" x14ac:dyDescent="0.35">
      <c r="A619" s="224">
        <v>8610</v>
      </c>
      <c r="B619" s="228" t="s">
        <v>562</v>
      </c>
      <c r="C619" s="229">
        <f>BN85</f>
        <v>2905154</v>
      </c>
      <c r="D619" s="229">
        <f>(D615/D612)*BN90</f>
        <v>58225.491222983343</v>
      </c>
      <c r="E619" s="231"/>
      <c r="F619" s="231"/>
      <c r="G619" s="229"/>
      <c r="H619" s="231"/>
      <c r="I619" s="229"/>
      <c r="J619" s="229"/>
      <c r="N619" s="225" t="s">
        <v>563</v>
      </c>
    </row>
    <row r="620" spans="1:14" s="212" customFormat="1" ht="14.5" customHeight="1" x14ac:dyDescent="0.35">
      <c r="A620" s="224">
        <v>8790</v>
      </c>
      <c r="B620" s="228" t="s">
        <v>564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565</v>
      </c>
    </row>
    <row r="621" spans="1:14" s="212" customFormat="1" ht="14.5" customHeight="1" x14ac:dyDescent="0.35">
      <c r="A621" s="224">
        <v>8630</v>
      </c>
      <c r="B621" s="228" t="s">
        <v>566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567</v>
      </c>
    </row>
    <row r="622" spans="1:14" s="212" customFormat="1" ht="14.5" customHeight="1" x14ac:dyDescent="0.35">
      <c r="A622" s="224">
        <v>8770</v>
      </c>
      <c r="B622" s="223" t="s">
        <v>568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569</v>
      </c>
    </row>
    <row r="623" spans="1:14" s="212" customFormat="1" ht="14.5" customHeight="1" x14ac:dyDescent="0.35">
      <c r="A623" s="224">
        <v>8640</v>
      </c>
      <c r="B623" s="228" t="s">
        <v>570</v>
      </c>
      <c r="C623" s="229">
        <f>BQ85</f>
        <v>0</v>
      </c>
      <c r="D623" s="229">
        <f>(D615/D612)*BQ90</f>
        <v>0</v>
      </c>
      <c r="E623" s="231">
        <f>SUM(C616:D623)</f>
        <v>3891220.4804827659</v>
      </c>
      <c r="F623" s="231"/>
      <c r="G623" s="229"/>
      <c r="H623" s="231"/>
      <c r="I623" s="229"/>
      <c r="J623" s="229"/>
      <c r="N623" s="225" t="s">
        <v>571</v>
      </c>
    </row>
    <row r="624" spans="1:14" s="212" customFormat="1" ht="14.5" customHeight="1" x14ac:dyDescent="0.35">
      <c r="A624" s="224">
        <v>8420</v>
      </c>
      <c r="B624" s="228" t="s">
        <v>166</v>
      </c>
      <c r="C624" s="229">
        <f>BD85</f>
        <v>332590</v>
      </c>
      <c r="D624" s="229">
        <f>(D615/D612)*BD90</f>
        <v>0</v>
      </c>
      <c r="E624" s="231">
        <f>(E623/E612)*SUM(C624:D624)</f>
        <v>42987.527464108913</v>
      </c>
      <c r="F624" s="231">
        <f>SUM(C624:E624)</f>
        <v>375577.52746410889</v>
      </c>
      <c r="G624" s="229"/>
      <c r="H624" s="231"/>
      <c r="I624" s="229"/>
      <c r="J624" s="229"/>
      <c r="N624" s="225" t="s">
        <v>572</v>
      </c>
    </row>
    <row r="625" spans="1:14" s="212" customFormat="1" ht="14.5" customHeight="1" x14ac:dyDescent="0.35">
      <c r="A625" s="224">
        <v>8320</v>
      </c>
      <c r="B625" s="228" t="s">
        <v>162</v>
      </c>
      <c r="C625" s="229">
        <f>AY85</f>
        <v>828301</v>
      </c>
      <c r="D625" s="229">
        <f>(D615/D612)*AY90</f>
        <v>71122.218779070477</v>
      </c>
      <c r="E625" s="231">
        <f>(E623/E612)*SUM(C625:D625)</f>
        <v>116251.18109120098</v>
      </c>
      <c r="F625" s="231">
        <f>(F624/F612)*AY64</f>
        <v>36897.513854932113</v>
      </c>
      <c r="G625" s="229">
        <f>SUM(C625:F625)</f>
        <v>1052571.9137252036</v>
      </c>
      <c r="H625" s="231"/>
      <c r="I625" s="229"/>
      <c r="J625" s="229"/>
      <c r="N625" s="225" t="s">
        <v>573</v>
      </c>
    </row>
    <row r="626" spans="1:14" s="212" customFormat="1" ht="14.5" customHeight="1" x14ac:dyDescent="0.35">
      <c r="A626" s="224">
        <v>8650</v>
      </c>
      <c r="B626" s="228" t="s">
        <v>179</v>
      </c>
      <c r="C626" s="229">
        <f>BR85</f>
        <v>503518</v>
      </c>
      <c r="D626" s="229">
        <f>(D615/D612)*BR90</f>
        <v>50369.520012564484</v>
      </c>
      <c r="E626" s="231">
        <f>(E623/E612)*SUM(C626:D626)</f>
        <v>71590.411553466096</v>
      </c>
      <c r="F626" s="231">
        <f>(F624/F612)*BR64</f>
        <v>658.63300974994297</v>
      </c>
      <c r="G626" s="229">
        <f>(G625/G612)*BR91</f>
        <v>0</v>
      </c>
      <c r="H626" s="231"/>
      <c r="I626" s="229"/>
      <c r="J626" s="229"/>
      <c r="N626" s="225" t="s">
        <v>574</v>
      </c>
    </row>
    <row r="627" spans="1:14" s="212" customFormat="1" ht="14.5" customHeight="1" x14ac:dyDescent="0.35">
      <c r="A627" s="224">
        <v>8620</v>
      </c>
      <c r="B627" s="223" t="s">
        <v>575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576</v>
      </c>
    </row>
    <row r="628" spans="1:14" s="212" customFormat="1" ht="14.5" customHeight="1" x14ac:dyDescent="0.35">
      <c r="A628" s="224">
        <v>8330</v>
      </c>
      <c r="B628" s="228" t="s">
        <v>163</v>
      </c>
      <c r="C628" s="229">
        <f>AZ85</f>
        <v>77131</v>
      </c>
      <c r="D628" s="229">
        <f>(D615/D612)*AZ90</f>
        <v>0</v>
      </c>
      <c r="E628" s="231">
        <f>(E623/E612)*SUM(C628:D628)</f>
        <v>9969.2443574195986</v>
      </c>
      <c r="F628" s="231">
        <f>(F624/F612)*AZ64</f>
        <v>8013.2390764162392</v>
      </c>
      <c r="G628" s="229">
        <f>(G625/G612)*AZ91</f>
        <v>38190.442766695305</v>
      </c>
      <c r="H628" s="231">
        <f>SUM(C626:G628)</f>
        <v>759440.49077631161</v>
      </c>
      <c r="I628" s="229"/>
      <c r="J628" s="229"/>
      <c r="N628" s="225" t="s">
        <v>577</v>
      </c>
    </row>
    <row r="629" spans="1:14" s="212" customFormat="1" ht="14.5" customHeight="1" x14ac:dyDescent="0.35">
      <c r="A629" s="224">
        <v>8460</v>
      </c>
      <c r="B629" s="228" t="s">
        <v>168</v>
      </c>
      <c r="C629" s="229">
        <f>BF85</f>
        <v>561710</v>
      </c>
      <c r="D629" s="229">
        <f>(D615/D612)*BF90</f>
        <v>28456.496200451842</v>
      </c>
      <c r="E629" s="231">
        <f>(E623/E612)*SUM(C629:D629)</f>
        <v>76279.498673483424</v>
      </c>
      <c r="F629" s="231">
        <f>(F624/F612)*BF64</f>
        <v>8183.7947910647872</v>
      </c>
      <c r="G629" s="229">
        <f>(G625/G612)*BF91</f>
        <v>0</v>
      </c>
      <c r="H629" s="231">
        <f>(H628/H612)*BF60</f>
        <v>34605.290173829591</v>
      </c>
      <c r="I629" s="229">
        <f>SUM(C629:H629)</f>
        <v>709235.07983882958</v>
      </c>
      <c r="J629" s="229"/>
      <c r="N629" s="225" t="s">
        <v>578</v>
      </c>
    </row>
    <row r="630" spans="1:14" s="212" customFormat="1" ht="14.5" customHeight="1" x14ac:dyDescent="0.35">
      <c r="A630" s="224">
        <v>8350</v>
      </c>
      <c r="B630" s="228" t="s">
        <v>579</v>
      </c>
      <c r="C630" s="229">
        <f>BA85</f>
        <v>90179</v>
      </c>
      <c r="D630" s="229">
        <f>(D615/D612)*BA90</f>
        <v>39432.029828567291</v>
      </c>
      <c r="E630" s="231">
        <f>(E623/E612)*SUM(C630:D630)</f>
        <v>16752.330810929299</v>
      </c>
      <c r="F630" s="231">
        <f>(F624/F612)*BA64</f>
        <v>2478.1523837505842</v>
      </c>
      <c r="G630" s="229">
        <f>(G625/G612)*BA91</f>
        <v>0</v>
      </c>
      <c r="H630" s="231">
        <f>(H628/H612)*BA60</f>
        <v>30310.482406178842</v>
      </c>
      <c r="I630" s="229">
        <f>(I629/I612)*BA92</f>
        <v>0</v>
      </c>
      <c r="J630" s="229">
        <f>SUM(C630:I630)</f>
        <v>179151.99542942602</v>
      </c>
      <c r="N630" s="225" t="s">
        <v>580</v>
      </c>
    </row>
    <row r="631" spans="1:14" s="212" customFormat="1" ht="14.5" customHeight="1" x14ac:dyDescent="0.35">
      <c r="A631" s="224">
        <v>8200</v>
      </c>
      <c r="B631" s="228" t="s">
        <v>581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582</v>
      </c>
    </row>
    <row r="632" spans="1:14" s="212" customFormat="1" ht="14.5" customHeight="1" x14ac:dyDescent="0.35">
      <c r="A632" s="224">
        <v>8360</v>
      </c>
      <c r="B632" s="228" t="s">
        <v>583</v>
      </c>
      <c r="C632" s="229">
        <f>BB85</f>
        <v>89711</v>
      </c>
      <c r="D632" s="229">
        <f>(D615/D612)*BB90</f>
        <v>0</v>
      </c>
      <c r="E632" s="231">
        <f>(E623/E612)*SUM(C632:D632)</f>
        <v>11595.219568636083</v>
      </c>
      <c r="F632" s="231">
        <f>(F624/F612)*BB64</f>
        <v>0</v>
      </c>
      <c r="G632" s="229">
        <f>(G625/G612)*BB91</f>
        <v>0</v>
      </c>
      <c r="H632" s="231">
        <f>(H628/H612)*BB60</f>
        <v>4245.4421611260268</v>
      </c>
      <c r="I632" s="229">
        <f>(I629/I612)*BB92</f>
        <v>0</v>
      </c>
      <c r="J632" s="229">
        <f>(J630/J612)*BB93</f>
        <v>0</v>
      </c>
      <c r="N632" s="225" t="s">
        <v>584</v>
      </c>
    </row>
    <row r="633" spans="1:14" s="212" customFormat="1" ht="14.5" customHeight="1" x14ac:dyDescent="0.35">
      <c r="A633" s="224">
        <v>8370</v>
      </c>
      <c r="B633" s="228" t="s">
        <v>585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586</v>
      </c>
    </row>
    <row r="634" spans="1:14" s="212" customFormat="1" ht="14.5" customHeight="1" x14ac:dyDescent="0.35">
      <c r="A634" s="224">
        <v>8490</v>
      </c>
      <c r="B634" s="228" t="s">
        <v>587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588</v>
      </c>
    </row>
    <row r="635" spans="1:14" s="212" customFormat="1" ht="14.5" customHeight="1" x14ac:dyDescent="0.35">
      <c r="A635" s="224">
        <v>8530</v>
      </c>
      <c r="B635" s="228" t="s">
        <v>589</v>
      </c>
      <c r="C635" s="229">
        <f>BK85</f>
        <v>629763</v>
      </c>
      <c r="D635" s="229">
        <f>(D615/D612)*BK90</f>
        <v>0</v>
      </c>
      <c r="E635" s="231">
        <f>(E623/E612)*SUM(C635:D635)</f>
        <v>81397.378930153107</v>
      </c>
      <c r="F635" s="231">
        <f>(F624/F612)*BK64</f>
        <v>419.07975599357394</v>
      </c>
      <c r="G635" s="229">
        <f>(G625/G612)*BK91</f>
        <v>0</v>
      </c>
      <c r="H635" s="231">
        <f>(H628/H612)*BK60</f>
        <v>37024.204893540933</v>
      </c>
      <c r="I635" s="229">
        <f>(I629/I612)*BK92</f>
        <v>0</v>
      </c>
      <c r="J635" s="229">
        <f>(J630/J612)*BK93</f>
        <v>0</v>
      </c>
      <c r="N635" s="225" t="s">
        <v>590</v>
      </c>
    </row>
    <row r="636" spans="1:14" s="212" customFormat="1" ht="14.5" customHeight="1" x14ac:dyDescent="0.35">
      <c r="A636" s="224">
        <v>8480</v>
      </c>
      <c r="B636" s="228" t="s">
        <v>591</v>
      </c>
      <c r="C636" s="229">
        <f>BH85</f>
        <v>919140</v>
      </c>
      <c r="D636" s="229">
        <f>(D615/D612)*BH90</f>
        <v>27676.605596027694</v>
      </c>
      <c r="E636" s="231">
        <f>(E623/E612)*SUM(C636:D636)</f>
        <v>122376.81480661962</v>
      </c>
      <c r="F636" s="231">
        <f>(F624/F612)*BH64</f>
        <v>1490.147493893641</v>
      </c>
      <c r="G636" s="229">
        <f>(G625/G612)*BH91</f>
        <v>0</v>
      </c>
      <c r="H636" s="231">
        <f>(H628/H612)*BH60</f>
        <v>9823.7556984195271</v>
      </c>
      <c r="I636" s="229">
        <f>(I629/I612)*BH92</f>
        <v>9016.7917887246767</v>
      </c>
      <c r="J636" s="229">
        <f>(J630/J612)*BH93</f>
        <v>0</v>
      </c>
      <c r="N636" s="225" t="s">
        <v>592</v>
      </c>
    </row>
    <row r="637" spans="1:14" s="212" customFormat="1" ht="14.5" customHeight="1" x14ac:dyDescent="0.35">
      <c r="A637" s="224">
        <v>8560</v>
      </c>
      <c r="B637" s="228" t="s">
        <v>174</v>
      </c>
      <c r="C637" s="229">
        <f>BL85</f>
        <v>549182</v>
      </c>
      <c r="D637" s="229">
        <f>(D615/D612)*BL90</f>
        <v>43331.482850688029</v>
      </c>
      <c r="E637" s="231">
        <f>(E623/E612)*SUM(C637:D637)</f>
        <v>76582.848603081206</v>
      </c>
      <c r="F637" s="231">
        <f>(F624/F612)*BL64</f>
        <v>1039.8361070358526</v>
      </c>
      <c r="G637" s="229">
        <f>(G625/G612)*BL91</f>
        <v>0</v>
      </c>
      <c r="H637" s="231">
        <f>(H628/H612)*BL60</f>
        <v>43540.464954804134</v>
      </c>
      <c r="I637" s="229">
        <f>(I629/I612)*BL92</f>
        <v>34263.808797153768</v>
      </c>
      <c r="J637" s="229">
        <f>(J630/J612)*BL93</f>
        <v>0</v>
      </c>
      <c r="N637" s="225" t="s">
        <v>593</v>
      </c>
    </row>
    <row r="638" spans="1:14" s="212" customFormat="1" ht="14.5" customHeight="1" x14ac:dyDescent="0.35">
      <c r="A638" s="224">
        <v>8590</v>
      </c>
      <c r="B638" s="228" t="s">
        <v>594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595</v>
      </c>
    </row>
    <row r="639" spans="1:14" s="212" customFormat="1" ht="14.5" customHeight="1" x14ac:dyDescent="0.35">
      <c r="A639" s="224">
        <v>8660</v>
      </c>
      <c r="B639" s="228" t="s">
        <v>596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597</v>
      </c>
    </row>
    <row r="640" spans="1:14" s="212" customFormat="1" ht="14.5" customHeight="1" x14ac:dyDescent="0.35">
      <c r="A640" s="224">
        <v>8670</v>
      </c>
      <c r="B640" s="228" t="s">
        <v>598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599</v>
      </c>
    </row>
    <row r="641" spans="1:14" s="212" customFormat="1" ht="14.5" customHeight="1" x14ac:dyDescent="0.35">
      <c r="A641" s="224">
        <v>8680</v>
      </c>
      <c r="B641" s="228" t="s">
        <v>600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601</v>
      </c>
    </row>
    <row r="642" spans="1:14" s="212" customFormat="1" ht="14.5" customHeight="1" x14ac:dyDescent="0.35">
      <c r="A642" s="224">
        <v>8690</v>
      </c>
      <c r="B642" s="228" t="s">
        <v>602</v>
      </c>
      <c r="C642" s="229">
        <f>BV85</f>
        <v>790204</v>
      </c>
      <c r="D642" s="229">
        <f>(D615/D612)*BV90</f>
        <v>24690.19523274498</v>
      </c>
      <c r="E642" s="231">
        <f>(E623/E612)*SUM(C642:D642)</f>
        <v>105325.73618542516</v>
      </c>
      <c r="F642" s="231">
        <f>(F624/F612)*BV64</f>
        <v>381.86760007025447</v>
      </c>
      <c r="G642" s="229">
        <f>(G625/G612)*BV91</f>
        <v>0</v>
      </c>
      <c r="H642" s="231">
        <f>(H628/H612)*BV60</f>
        <v>51192.133966135923</v>
      </c>
      <c r="I642" s="229">
        <f>(I629/I612)*BV92</f>
        <v>5796.5090070372917</v>
      </c>
      <c r="J642" s="229">
        <f>(J630/J612)*BV93</f>
        <v>0</v>
      </c>
      <c r="N642" s="225" t="s">
        <v>603</v>
      </c>
    </row>
    <row r="643" spans="1:14" s="212" customFormat="1" ht="14.5" customHeight="1" x14ac:dyDescent="0.35">
      <c r="A643" s="224">
        <v>8700</v>
      </c>
      <c r="B643" s="228" t="s">
        <v>604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605</v>
      </c>
    </row>
    <row r="644" spans="1:14" s="212" customFormat="1" ht="14.5" customHeight="1" x14ac:dyDescent="0.35">
      <c r="A644" s="224">
        <v>8710</v>
      </c>
      <c r="B644" s="228" t="s">
        <v>606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3669210.3239973113</v>
      </c>
      <c r="L644" s="231"/>
      <c r="N644" s="225" t="s">
        <v>607</v>
      </c>
    </row>
    <row r="645" spans="1:14" s="212" customFormat="1" ht="14.5" customHeight="1" x14ac:dyDescent="0.35">
      <c r="A645" s="224">
        <v>8720</v>
      </c>
      <c r="B645" s="228" t="s">
        <v>608</v>
      </c>
      <c r="C645" s="229">
        <f>BY85</f>
        <v>455264</v>
      </c>
      <c r="D645" s="229">
        <f>(D615/D612)*BY90</f>
        <v>10728.251241346818</v>
      </c>
      <c r="E645" s="231">
        <f>(E623/E612)*SUM(C645:D645)</f>
        <v>60229.876719983571</v>
      </c>
      <c r="F645" s="231">
        <f>(F624/F612)*BY64</f>
        <v>524.29269684819747</v>
      </c>
      <c r="G645" s="229">
        <f>(G625/G612)*BY91</f>
        <v>0</v>
      </c>
      <c r="H645" s="231">
        <f>(H628/H612)*BY60</f>
        <v>13131.251335575851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609</v>
      </c>
    </row>
    <row r="646" spans="1:14" s="212" customFormat="1" ht="14.5" customHeight="1" x14ac:dyDescent="0.35">
      <c r="A646" s="224">
        <v>8730</v>
      </c>
      <c r="B646" s="228" t="s">
        <v>610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611</v>
      </c>
    </row>
    <row r="647" spans="1:14" s="212" customFormat="1" ht="14.5" customHeight="1" x14ac:dyDescent="0.35">
      <c r="A647" s="224">
        <v>8740</v>
      </c>
      <c r="B647" s="228" t="s">
        <v>612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539877.67199375434</v>
      </c>
      <c r="N647" s="225" t="s">
        <v>613</v>
      </c>
    </row>
    <row r="648" spans="1:14" s="212" customFormat="1" ht="14.5" customHeight="1" x14ac:dyDescent="0.35">
      <c r="A648" s="224"/>
      <c r="B648" s="224"/>
      <c r="C648" s="212">
        <f>SUM(C614:C647)</f>
        <v>11173760</v>
      </c>
      <c r="L648" s="227"/>
    </row>
    <row r="649" spans="1:14" ht="14.5" customHeight="1" x14ac:dyDescent="0.35"/>
    <row r="650" spans="1:14" ht="14.5" customHeight="1" x14ac:dyDescent="0.35"/>
    <row r="651" spans="1:14" ht="14.5" customHeight="1" x14ac:dyDescent="0.35"/>
    <row r="652" spans="1:14" ht="14.5" customHeight="1" x14ac:dyDescent="0.35"/>
    <row r="653" spans="1:14" ht="14.5" customHeight="1" x14ac:dyDescent="0.35"/>
    <row r="654" spans="1:14" ht="14.5" customHeight="1" x14ac:dyDescent="0.35"/>
    <row r="655" spans="1:14" ht="14.5" customHeight="1" x14ac:dyDescent="0.35"/>
    <row r="656" spans="1:14" ht="14.5" customHeight="1" x14ac:dyDescent="0.35"/>
    <row r="657" spans="1:14" ht="14.5" customHeight="1" x14ac:dyDescent="0.35"/>
    <row r="658" spans="1:14" ht="14.5" customHeight="1" x14ac:dyDescent="0.35"/>
    <row r="659" spans="1:14" ht="14.5" customHeight="1" x14ac:dyDescent="0.35"/>
    <row r="660" spans="1:14" ht="14.5" customHeight="1" x14ac:dyDescent="0.35"/>
    <row r="661" spans="1:14" ht="14.5" customHeight="1" x14ac:dyDescent="0.35"/>
    <row r="662" spans="1:14" ht="14.5" customHeight="1" x14ac:dyDescent="0.35"/>
    <row r="663" spans="1:14" ht="14.5" customHeight="1" x14ac:dyDescent="0.35"/>
    <row r="664" spans="1:14" ht="14.5" customHeight="1" x14ac:dyDescent="0.35"/>
    <row r="666" spans="1:14" s="212" customFormat="1" ht="12.65" customHeight="1" x14ac:dyDescent="0.35">
      <c r="C666" s="222" t="s">
        <v>614</v>
      </c>
      <c r="M666" s="222" t="s">
        <v>615</v>
      </c>
    </row>
    <row r="667" spans="1:14" s="212" customFormat="1" ht="12.65" customHeight="1" x14ac:dyDescent="0.35">
      <c r="C667" s="222" t="s">
        <v>544</v>
      </c>
      <c r="D667" s="222" t="s">
        <v>545</v>
      </c>
      <c r="E667" s="223" t="s">
        <v>546</v>
      </c>
      <c r="F667" s="222" t="s">
        <v>547</v>
      </c>
      <c r="G667" s="222" t="s">
        <v>548</v>
      </c>
      <c r="H667" s="222" t="s">
        <v>549</v>
      </c>
      <c r="I667" s="222" t="s">
        <v>550</v>
      </c>
      <c r="J667" s="222" t="s">
        <v>551</v>
      </c>
      <c r="K667" s="222" t="s">
        <v>552</v>
      </c>
      <c r="L667" s="223" t="s">
        <v>553</v>
      </c>
      <c r="M667" s="222" t="s">
        <v>616</v>
      </c>
    </row>
    <row r="668" spans="1:14" s="212" customFormat="1" ht="12.65" customHeight="1" x14ac:dyDescent="0.35">
      <c r="A668" s="224">
        <v>6010</v>
      </c>
      <c r="B668" s="223" t="s">
        <v>343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18">ROUND(SUM(D668:L668),0)</f>
        <v>0</v>
      </c>
      <c r="N668" s="223" t="s">
        <v>617</v>
      </c>
    </row>
    <row r="669" spans="1:14" s="212" customFormat="1" ht="12.65" customHeight="1" x14ac:dyDescent="0.35">
      <c r="A669" s="224">
        <v>6030</v>
      </c>
      <c r="B669" s="223" t="s">
        <v>344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18"/>
        <v>0</v>
      </c>
      <c r="N669" s="223" t="s">
        <v>618</v>
      </c>
    </row>
    <row r="670" spans="1:14" s="212" customFormat="1" ht="12.65" customHeight="1" x14ac:dyDescent="0.35">
      <c r="A670" s="224">
        <v>6070</v>
      </c>
      <c r="B670" s="223" t="s">
        <v>619</v>
      </c>
      <c r="C670" s="229">
        <f>E85</f>
        <v>1287525</v>
      </c>
      <c r="D670" s="229">
        <f>(D615/D612)*E90</f>
        <v>46603.219044857629</v>
      </c>
      <c r="E670" s="231">
        <f>(E623/E612)*SUM(C670:D670)</f>
        <v>172437.15522665603</v>
      </c>
      <c r="F670" s="231">
        <f>(F624/F612)*E64</f>
        <v>2262.6319806946922</v>
      </c>
      <c r="G670" s="229">
        <f>(G625/G612)*E91</f>
        <v>76290.65412697196</v>
      </c>
      <c r="H670" s="231">
        <f>(H628/H612)*E60</f>
        <v>39887.410071974766</v>
      </c>
      <c r="I670" s="229">
        <f>(I629/I612)*E92</f>
        <v>116445.42538581582</v>
      </c>
      <c r="J670" s="229">
        <f>(J630/J612)*E93</f>
        <v>12588.839545975221</v>
      </c>
      <c r="K670" s="229">
        <f>(K644/K612)*E89</f>
        <v>139438.11066280055</v>
      </c>
      <c r="L670" s="229">
        <f>(L647/L612)*E94</f>
        <v>68851.885103155655</v>
      </c>
      <c r="M670" s="212">
        <f t="shared" si="18"/>
        <v>674805</v>
      </c>
      <c r="N670" s="223" t="s">
        <v>620</v>
      </c>
    </row>
    <row r="671" spans="1:14" s="212" customFormat="1" ht="12.65" customHeight="1" x14ac:dyDescent="0.35">
      <c r="A671" s="224">
        <v>6100</v>
      </c>
      <c r="B671" s="223" t="s">
        <v>621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18"/>
        <v>0</v>
      </c>
      <c r="N671" s="223" t="s">
        <v>622</v>
      </c>
    </row>
    <row r="672" spans="1:14" s="212" customFormat="1" ht="12.65" customHeight="1" x14ac:dyDescent="0.35">
      <c r="A672" s="224">
        <v>6120</v>
      </c>
      <c r="B672" s="223" t="s">
        <v>623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18"/>
        <v>0</v>
      </c>
      <c r="N672" s="223" t="s">
        <v>624</v>
      </c>
    </row>
    <row r="673" spans="1:14" s="212" customFormat="1" ht="12.65" customHeight="1" x14ac:dyDescent="0.35">
      <c r="A673" s="224">
        <v>6140</v>
      </c>
      <c r="B673" s="223" t="s">
        <v>625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18"/>
        <v>0</v>
      </c>
      <c r="N673" s="223" t="s">
        <v>626</v>
      </c>
    </row>
    <row r="674" spans="1:14" s="212" customFormat="1" ht="12.65" customHeight="1" x14ac:dyDescent="0.35">
      <c r="A674" s="224">
        <v>6150</v>
      </c>
      <c r="B674" s="223" t="s">
        <v>627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18"/>
        <v>0</v>
      </c>
      <c r="N674" s="223" t="s">
        <v>628</v>
      </c>
    </row>
    <row r="675" spans="1:14" s="212" customFormat="1" ht="12.65" customHeight="1" x14ac:dyDescent="0.35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18"/>
        <v>0</v>
      </c>
      <c r="N675" s="223" t="s">
        <v>629</v>
      </c>
    </row>
    <row r="676" spans="1:14" s="212" customFormat="1" ht="12.65" customHeight="1" x14ac:dyDescent="0.35">
      <c r="A676" s="224">
        <v>6200</v>
      </c>
      <c r="B676" s="223" t="s">
        <v>349</v>
      </c>
      <c r="C676" s="229">
        <f>K85</f>
        <v>3587530</v>
      </c>
      <c r="D676" s="229">
        <f>(D615/D612)*K90</f>
        <v>321752.42863010889</v>
      </c>
      <c r="E676" s="231">
        <f>(E623/E612)*SUM(C676:D676)</f>
        <v>505277.92707446165</v>
      </c>
      <c r="F676" s="231">
        <f>(F624/F612)*K64</f>
        <v>14250.815962598606</v>
      </c>
      <c r="G676" s="229">
        <f>(G625/G612)*K91</f>
        <v>825459.46376945148</v>
      </c>
      <c r="H676" s="231">
        <f>(H628/H612)*K60</f>
        <v>135656.68672993398</v>
      </c>
      <c r="I676" s="229">
        <f>(I629/I612)*K92</f>
        <v>0</v>
      </c>
      <c r="J676" s="229">
        <f>(J630/J612)*K93</f>
        <v>115605.59808573335</v>
      </c>
      <c r="K676" s="229">
        <f>(K644/K612)*K89</f>
        <v>315748.93978363991</v>
      </c>
      <c r="L676" s="229">
        <f>(L647/L612)*K94</f>
        <v>211127.85080459839</v>
      </c>
      <c r="M676" s="212">
        <f t="shared" si="18"/>
        <v>2444880</v>
      </c>
      <c r="N676" s="223" t="s">
        <v>630</v>
      </c>
    </row>
    <row r="677" spans="1:14" s="212" customFormat="1" ht="12.65" customHeight="1" x14ac:dyDescent="0.35">
      <c r="A677" s="224">
        <v>6210</v>
      </c>
      <c r="B677" s="223" t="s">
        <v>350</v>
      </c>
      <c r="C677" s="229">
        <f>L85</f>
        <v>2076472</v>
      </c>
      <c r="D677" s="229">
        <f>(D615/D612)*L90</f>
        <v>75154.823855605093</v>
      </c>
      <c r="E677" s="231">
        <f>(E623/E612)*SUM(C677:D677)</f>
        <v>278099.51346404356</v>
      </c>
      <c r="F677" s="231">
        <f>(F624/F612)*L64</f>
        <v>3649.1170402305147</v>
      </c>
      <c r="G677" s="229">
        <f>(G625/G612)*L91</f>
        <v>91359.298998887185</v>
      </c>
      <c r="H677" s="231">
        <f>(H628/H612)*L60</f>
        <v>64274.019695187053</v>
      </c>
      <c r="I677" s="229">
        <f>(I629/I612)*L92</f>
        <v>187806.89182800826</v>
      </c>
      <c r="J677" s="229">
        <f>(J630/J612)*L93</f>
        <v>20302.729837244777</v>
      </c>
      <c r="K677" s="229">
        <f>(K644/K612)*L89</f>
        <v>164129.70602007853</v>
      </c>
      <c r="L677" s="229">
        <f>(L647/L612)*L94</f>
        <v>111077.45526407534</v>
      </c>
      <c r="M677" s="212">
        <f t="shared" si="18"/>
        <v>995854</v>
      </c>
      <c r="N677" s="223" t="s">
        <v>631</v>
      </c>
    </row>
    <row r="678" spans="1:14" s="212" customFormat="1" ht="12.65" customHeight="1" x14ac:dyDescent="0.35">
      <c r="A678" s="224">
        <v>6330</v>
      </c>
      <c r="B678" s="223" t="s">
        <v>632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18"/>
        <v>0</v>
      </c>
      <c r="N678" s="223" t="s">
        <v>633</v>
      </c>
    </row>
    <row r="679" spans="1:14" s="212" customFormat="1" ht="12.65" customHeight="1" x14ac:dyDescent="0.35">
      <c r="A679" s="224">
        <v>6400</v>
      </c>
      <c r="B679" s="223" t="s">
        <v>634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18"/>
        <v>0</v>
      </c>
      <c r="N679" s="223" t="s">
        <v>635</v>
      </c>
    </row>
    <row r="680" spans="1:14" s="212" customFormat="1" ht="12.65" customHeight="1" x14ac:dyDescent="0.35">
      <c r="A680" s="224">
        <v>7010</v>
      </c>
      <c r="B680" s="223" t="s">
        <v>636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18"/>
        <v>0</v>
      </c>
      <c r="N680" s="223" t="s">
        <v>637</v>
      </c>
    </row>
    <row r="681" spans="1:14" s="212" customFormat="1" ht="12.65" customHeight="1" x14ac:dyDescent="0.35">
      <c r="A681" s="224">
        <v>7020</v>
      </c>
      <c r="B681" s="223" t="s">
        <v>638</v>
      </c>
      <c r="C681" s="229">
        <f>P85</f>
        <v>812781</v>
      </c>
      <c r="D681" s="229">
        <f>(D615/D612)*P90</f>
        <v>51682.01883464415</v>
      </c>
      <c r="E681" s="231">
        <f>(E623/E612)*SUM(C681:D681)</f>
        <v>111732.54687110486</v>
      </c>
      <c r="F681" s="231">
        <f>(F624/F612)*P64</f>
        <v>1810.6593368760414</v>
      </c>
      <c r="G681" s="229">
        <f>(G625/G612)*P91</f>
        <v>0</v>
      </c>
      <c r="H681" s="231">
        <f>(H628/H612)*P60</f>
        <v>16389.381366207454</v>
      </c>
      <c r="I681" s="229">
        <f>(I629/I612)*P92</f>
        <v>38514.582068981115</v>
      </c>
      <c r="J681" s="229">
        <f>(J630/J612)*P93</f>
        <v>2971.9666126318366</v>
      </c>
      <c r="K681" s="229">
        <f>(K644/K612)*P89</f>
        <v>78416.200350036714</v>
      </c>
      <c r="L681" s="229">
        <f>(L647/L612)*P94</f>
        <v>21336.912310613341</v>
      </c>
      <c r="M681" s="212">
        <f t="shared" si="18"/>
        <v>322854</v>
      </c>
      <c r="N681" s="223" t="s">
        <v>639</v>
      </c>
    </row>
    <row r="682" spans="1:14" s="212" customFormat="1" ht="12.65" customHeight="1" x14ac:dyDescent="0.35">
      <c r="A682" s="224">
        <v>7030</v>
      </c>
      <c r="B682" s="223" t="s">
        <v>640</v>
      </c>
      <c r="C682" s="229">
        <f>Q85</f>
        <v>21691</v>
      </c>
      <c r="D682" s="229">
        <f>(D615/D612)*Q90</f>
        <v>13619.552994333902</v>
      </c>
      <c r="E682" s="231">
        <f>(E623/E612)*SUM(C682:D682)</f>
        <v>4563.9176361790851</v>
      </c>
      <c r="F682" s="231">
        <f>(F624/F612)*Q64</f>
        <v>0</v>
      </c>
      <c r="G682" s="229">
        <f>(G625/G612)*Q91</f>
        <v>0</v>
      </c>
      <c r="H682" s="231">
        <f>(H628/H612)*Q60</f>
        <v>394.92485219776995</v>
      </c>
      <c r="I682" s="229">
        <f>(I629/I612)*Q92</f>
        <v>7213.4334309797405</v>
      </c>
      <c r="J682" s="229">
        <f>(J630/J612)*Q93</f>
        <v>0</v>
      </c>
      <c r="K682" s="229">
        <f>(K644/K612)*Q89</f>
        <v>2317.5742947464805</v>
      </c>
      <c r="L682" s="229">
        <f>(L647/L612)*Q94</f>
        <v>717.20713649120478</v>
      </c>
      <c r="M682" s="212">
        <f t="shared" si="18"/>
        <v>28827</v>
      </c>
      <c r="N682" s="223" t="s">
        <v>641</v>
      </c>
    </row>
    <row r="683" spans="1:14" s="212" customFormat="1" ht="12.65" customHeight="1" x14ac:dyDescent="0.35">
      <c r="A683" s="224">
        <v>7040</v>
      </c>
      <c r="B683" s="223" t="s">
        <v>133</v>
      </c>
      <c r="C683" s="229">
        <f>R85</f>
        <v>107990</v>
      </c>
      <c r="D683" s="229">
        <f>(D615/D612)*R90</f>
        <v>11850.532842835226</v>
      </c>
      <c r="E683" s="231">
        <f>(E623/E612)*SUM(C683:D683)</f>
        <v>15489.486144787352</v>
      </c>
      <c r="F683" s="231">
        <f>(F624/F612)*R64</f>
        <v>50.391461146161774</v>
      </c>
      <c r="G683" s="229">
        <f>(G625/G612)*R91</f>
        <v>0</v>
      </c>
      <c r="H683" s="231">
        <f>(H628/H612)*R60</f>
        <v>937.94652396970366</v>
      </c>
      <c r="I683" s="229">
        <f>(I629/I612)*R92</f>
        <v>0</v>
      </c>
      <c r="J683" s="229">
        <f>(J630/J612)*R93</f>
        <v>0</v>
      </c>
      <c r="K683" s="229">
        <f>(K644/K612)*R89</f>
        <v>7327.5603066902222</v>
      </c>
      <c r="L683" s="229">
        <f>(L647/L612)*R94</f>
        <v>0</v>
      </c>
      <c r="M683" s="212">
        <f t="shared" si="18"/>
        <v>35656</v>
      </c>
      <c r="N683" s="223" t="s">
        <v>642</v>
      </c>
    </row>
    <row r="684" spans="1:14" s="212" customFormat="1" ht="12.65" customHeight="1" x14ac:dyDescent="0.35">
      <c r="A684" s="224">
        <v>7050</v>
      </c>
      <c r="B684" s="223" t="s">
        <v>643</v>
      </c>
      <c r="C684" s="229">
        <f>S85</f>
        <v>63706</v>
      </c>
      <c r="D684" s="229">
        <f>(D615/D612)*S90</f>
        <v>14913.030094354441</v>
      </c>
      <c r="E684" s="231">
        <f>(E623/E612)*SUM(C684:D684)</f>
        <v>10161.573454952544</v>
      </c>
      <c r="F684" s="231">
        <f>(F624/F612)*S64</f>
        <v>0</v>
      </c>
      <c r="G684" s="229">
        <f>(G625/G612)*S91</f>
        <v>0</v>
      </c>
      <c r="H684" s="231">
        <f>(H628/H612)*S60</f>
        <v>5578.3135372935003</v>
      </c>
      <c r="I684" s="229">
        <f>(I629/I612)*S92</f>
        <v>8887.9804774571803</v>
      </c>
      <c r="J684" s="229">
        <f>(J630/J612)*S93</f>
        <v>0</v>
      </c>
      <c r="K684" s="229">
        <f>(K644/K612)*S89</f>
        <v>65713.972128958165</v>
      </c>
      <c r="L684" s="229">
        <f>(L647/L612)*S94</f>
        <v>0</v>
      </c>
      <c r="M684" s="212">
        <f t="shared" si="18"/>
        <v>105255</v>
      </c>
      <c r="N684" s="223" t="s">
        <v>644</v>
      </c>
    </row>
    <row r="685" spans="1:14" s="212" customFormat="1" ht="12.65" customHeight="1" x14ac:dyDescent="0.35">
      <c r="A685" s="224">
        <v>7060</v>
      </c>
      <c r="B685" s="223" t="s">
        <v>645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18"/>
        <v>0</v>
      </c>
      <c r="N685" s="223" t="s">
        <v>646</v>
      </c>
    </row>
    <row r="686" spans="1:14" s="212" customFormat="1" ht="12.65" customHeight="1" x14ac:dyDescent="0.35">
      <c r="A686" s="224">
        <v>7070</v>
      </c>
      <c r="B686" s="223" t="s">
        <v>136</v>
      </c>
      <c r="C686" s="229">
        <f>U85</f>
        <v>1485545</v>
      </c>
      <c r="D686" s="229">
        <f>(D615/D612)*U90</f>
        <v>40801.59381682433</v>
      </c>
      <c r="E686" s="231">
        <f>(E623/E612)*SUM(C686:D686)</f>
        <v>197281.5361900533</v>
      </c>
      <c r="F686" s="231">
        <f>(F624/F612)*U64</f>
        <v>64504.835782865026</v>
      </c>
      <c r="G686" s="229">
        <f>(G625/G612)*U91</f>
        <v>0</v>
      </c>
      <c r="H686" s="231">
        <f>(H628/H612)*U60</f>
        <v>33617.978043335163</v>
      </c>
      <c r="I686" s="229">
        <f>(I629/I612)*U92</f>
        <v>18935.262756321819</v>
      </c>
      <c r="J686" s="229">
        <f>(J630/J612)*U93</f>
        <v>0</v>
      </c>
      <c r="K686" s="229">
        <f>(K644/K612)*U89</f>
        <v>270603.35136500117</v>
      </c>
      <c r="L686" s="229">
        <f>(L647/L612)*U94</f>
        <v>0</v>
      </c>
      <c r="M686" s="212">
        <f t="shared" si="18"/>
        <v>625745</v>
      </c>
      <c r="N686" s="223" t="s">
        <v>647</v>
      </c>
    </row>
    <row r="687" spans="1:14" s="212" customFormat="1" ht="12.65" customHeight="1" x14ac:dyDescent="0.35">
      <c r="A687" s="224">
        <v>7110</v>
      </c>
      <c r="B687" s="223" t="s">
        <v>648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19017.903798262887</v>
      </c>
      <c r="L687" s="229">
        <f>(L647/L612)*V94</f>
        <v>0</v>
      </c>
      <c r="M687" s="212">
        <f t="shared" si="18"/>
        <v>19018</v>
      </c>
      <c r="N687" s="223" t="s">
        <v>649</v>
      </c>
    </row>
    <row r="688" spans="1:14" s="212" customFormat="1" ht="12.65" customHeight="1" x14ac:dyDescent="0.35">
      <c r="A688" s="224">
        <v>7120</v>
      </c>
      <c r="B688" s="223" t="s">
        <v>650</v>
      </c>
      <c r="C688" s="229">
        <f>W85</f>
        <v>130521</v>
      </c>
      <c r="D688" s="229">
        <f>(D615/D612)*W90</f>
        <v>3671.1923574112334</v>
      </c>
      <c r="E688" s="231">
        <f>(E623/E612)*SUM(C688:D688)</f>
        <v>17344.449786323104</v>
      </c>
      <c r="F688" s="231">
        <f>(F624/F612)*W64</f>
        <v>41.752924949676895</v>
      </c>
      <c r="G688" s="229">
        <f>(G625/G612)*W91</f>
        <v>0</v>
      </c>
      <c r="H688" s="231">
        <f>(H628/H612)*W60</f>
        <v>1480.9681957416371</v>
      </c>
      <c r="I688" s="229">
        <f>(I629/I612)*W92</f>
        <v>1932.1696690124306</v>
      </c>
      <c r="J688" s="229">
        <f>(J630/J612)*W93</f>
        <v>474.74996009878708</v>
      </c>
      <c r="K688" s="229">
        <f>(K644/K612)*W89</f>
        <v>37020.044022573078</v>
      </c>
      <c r="L688" s="229">
        <f>(L647/L612)*W94</f>
        <v>0</v>
      </c>
      <c r="M688" s="212">
        <f t="shared" si="18"/>
        <v>61965</v>
      </c>
      <c r="N688" s="223" t="s">
        <v>651</v>
      </c>
    </row>
    <row r="689" spans="1:14" s="212" customFormat="1" ht="12.65" customHeight="1" x14ac:dyDescent="0.35">
      <c r="A689" s="224">
        <v>7130</v>
      </c>
      <c r="B689" s="223" t="s">
        <v>652</v>
      </c>
      <c r="C689" s="229">
        <f>X85</f>
        <v>676595</v>
      </c>
      <c r="D689" s="229">
        <f>(D615/D612)*X90</f>
        <v>19040.743781184687</v>
      </c>
      <c r="E689" s="231">
        <f>(E623/E612)*SUM(C689:D689)</f>
        <v>89911.484532936971</v>
      </c>
      <c r="F689" s="231">
        <f>(F624/F612)*X64</f>
        <v>216.62790769646688</v>
      </c>
      <c r="G689" s="229">
        <f>(G625/G612)*X91</f>
        <v>0</v>
      </c>
      <c r="H689" s="231">
        <f>(H628/H612)*X60</f>
        <v>7701.0346178565142</v>
      </c>
      <c r="I689" s="229">
        <f>(I629/I612)*X92</f>
        <v>9660.8483450621534</v>
      </c>
      <c r="J689" s="229">
        <f>(J630/J612)*X93</f>
        <v>2462.1679977606559</v>
      </c>
      <c r="K689" s="229">
        <f>(K644/K612)*X89</f>
        <v>191903.99537034734</v>
      </c>
      <c r="L689" s="229">
        <f>(L647/L612)*X94</f>
        <v>0</v>
      </c>
      <c r="M689" s="212">
        <f t="shared" si="18"/>
        <v>320897</v>
      </c>
      <c r="N689" s="223" t="s">
        <v>653</v>
      </c>
    </row>
    <row r="690" spans="1:14" s="212" customFormat="1" ht="12.65" customHeight="1" x14ac:dyDescent="0.35">
      <c r="A690" s="224">
        <v>7140</v>
      </c>
      <c r="B690" s="223" t="s">
        <v>654</v>
      </c>
      <c r="C690" s="229">
        <f>Y85</f>
        <v>1638494</v>
      </c>
      <c r="D690" s="229">
        <f>(D615/D612)*Y90</f>
        <v>46127.675993379489</v>
      </c>
      <c r="E690" s="231">
        <f>(E623/E612)*SUM(C690:D690)</f>
        <v>217738.71903364078</v>
      </c>
      <c r="F690" s="231">
        <f>(F624/F612)*Y64</f>
        <v>524.51419777631247</v>
      </c>
      <c r="G690" s="229">
        <f>(G625/G612)*Y91</f>
        <v>0</v>
      </c>
      <c r="H690" s="231">
        <f>(H628/H612)*Y60</f>
        <v>18610.833659819909</v>
      </c>
      <c r="I690" s="229">
        <f>(I629/I612)*Y92</f>
        <v>23958.903895754138</v>
      </c>
      <c r="J690" s="229">
        <f>(J630/J612)*Y93</f>
        <v>5961.4575526498702</v>
      </c>
      <c r="K690" s="229">
        <f>(K644/K612)*Y89</f>
        <v>464725.41103892319</v>
      </c>
      <c r="L690" s="229">
        <f>(L647/L612)*Y94</f>
        <v>0</v>
      </c>
      <c r="M690" s="212">
        <f t="shared" si="18"/>
        <v>777648</v>
      </c>
      <c r="N690" s="223" t="s">
        <v>655</v>
      </c>
    </row>
    <row r="691" spans="1:14" s="212" customFormat="1" ht="12.65" customHeight="1" x14ac:dyDescent="0.35">
      <c r="A691" s="224">
        <v>7150</v>
      </c>
      <c r="B691" s="223" t="s">
        <v>656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18"/>
        <v>0</v>
      </c>
      <c r="N691" s="223" t="s">
        <v>657</v>
      </c>
    </row>
    <row r="692" spans="1:14" s="212" customFormat="1" ht="12.65" customHeight="1" x14ac:dyDescent="0.35">
      <c r="A692" s="224">
        <v>7160</v>
      </c>
      <c r="B692" s="223" t="s">
        <v>658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18"/>
        <v>0</v>
      </c>
      <c r="N692" s="223" t="s">
        <v>659</v>
      </c>
    </row>
    <row r="693" spans="1:14" s="212" customFormat="1" ht="12.65" customHeight="1" x14ac:dyDescent="0.35">
      <c r="A693" s="224">
        <v>7170</v>
      </c>
      <c r="B693" s="223" t="s">
        <v>142</v>
      </c>
      <c r="C693" s="229">
        <f>AB85</f>
        <v>2302025</v>
      </c>
      <c r="D693" s="229">
        <f>(D615/D612)*AB90</f>
        <v>17918.462179696278</v>
      </c>
      <c r="E693" s="231">
        <f>(E623/E612)*SUM(C693:D693)</f>
        <v>299854.57559045556</v>
      </c>
      <c r="F693" s="231">
        <f>(F624/F612)*AB64</f>
        <v>209711.65196654014</v>
      </c>
      <c r="G693" s="229">
        <f>(G625/G612)*AB91</f>
        <v>0</v>
      </c>
      <c r="H693" s="231">
        <f>(H628/H612)*AB60</f>
        <v>3603.6892763046508</v>
      </c>
      <c r="I693" s="229">
        <f>(I629/I612)*AB92</f>
        <v>0</v>
      </c>
      <c r="J693" s="229">
        <f>(J630/J612)*AB93</f>
        <v>0</v>
      </c>
      <c r="K693" s="229">
        <f>(K644/K612)*AB89</f>
        <v>447519.56231732073</v>
      </c>
      <c r="L693" s="229">
        <f>(L647/L612)*AB94</f>
        <v>0</v>
      </c>
      <c r="M693" s="212">
        <f t="shared" si="18"/>
        <v>978608</v>
      </c>
      <c r="N693" s="223" t="s">
        <v>660</v>
      </c>
    </row>
    <row r="694" spans="1:14" s="212" customFormat="1" ht="12.65" customHeight="1" x14ac:dyDescent="0.35">
      <c r="A694" s="224">
        <v>7180</v>
      </c>
      <c r="B694" s="223" t="s">
        <v>661</v>
      </c>
      <c r="C694" s="229">
        <f>AC85</f>
        <v>193681</v>
      </c>
      <c r="D694" s="229">
        <f>(D615/D612)*AC90</f>
        <v>3290.757916228722</v>
      </c>
      <c r="E694" s="231">
        <f>(E623/E612)*SUM(C694:D694)</f>
        <v>25458.759593125753</v>
      </c>
      <c r="F694" s="231">
        <f>(F624/F612)*AC64</f>
        <v>520.52718107024248</v>
      </c>
      <c r="G694" s="229">
        <f>(G625/G612)*AC91</f>
        <v>0</v>
      </c>
      <c r="H694" s="231">
        <f>(H628/H612)*AC60</f>
        <v>4294.8077676507482</v>
      </c>
      <c r="I694" s="229">
        <f>(I629/I612)*AC92</f>
        <v>0</v>
      </c>
      <c r="J694" s="229">
        <f>(J630/J612)*AC93</f>
        <v>0</v>
      </c>
      <c r="K694" s="229">
        <f>(K644/K612)*AC89</f>
        <v>52541.063765370396</v>
      </c>
      <c r="L694" s="229">
        <f>(L647/L612)*AC94</f>
        <v>0</v>
      </c>
      <c r="M694" s="212">
        <f t="shared" si="18"/>
        <v>86106</v>
      </c>
      <c r="N694" s="223" t="s">
        <v>662</v>
      </c>
    </row>
    <row r="695" spans="1:14" s="212" customFormat="1" ht="12.65" customHeight="1" x14ac:dyDescent="0.35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18"/>
        <v>0</v>
      </c>
      <c r="N695" s="223" t="s">
        <v>663</v>
      </c>
    </row>
    <row r="696" spans="1:14" s="212" customFormat="1" ht="12.65" customHeight="1" x14ac:dyDescent="0.35">
      <c r="A696" s="224">
        <v>7200</v>
      </c>
      <c r="B696" s="223" t="s">
        <v>664</v>
      </c>
      <c r="C696" s="229">
        <f>AE85</f>
        <v>1396170</v>
      </c>
      <c r="D696" s="229">
        <f>(D615/D612)*AE90</f>
        <v>161094.96411873438</v>
      </c>
      <c r="E696" s="231">
        <f>(E623/E612)*SUM(C696:D696)</f>
        <v>201277.76064809127</v>
      </c>
      <c r="F696" s="231">
        <f>(F624/F612)*AE64</f>
        <v>5601.0939692439242</v>
      </c>
      <c r="G696" s="229">
        <f>(G625/G612)*AE91</f>
        <v>0</v>
      </c>
      <c r="H696" s="231">
        <f>(H628/H612)*AE60</f>
        <v>62101.933008099324</v>
      </c>
      <c r="I696" s="229">
        <f>(I629/I612)*AE92</f>
        <v>9274.4144112596659</v>
      </c>
      <c r="J696" s="229">
        <f>(J630/J612)*AE93</f>
        <v>1109.6085476805545</v>
      </c>
      <c r="K696" s="229">
        <f>(K644/K612)*AE89</f>
        <v>229101.40837080634</v>
      </c>
      <c r="L696" s="229">
        <f>(L647/L612)*AE94</f>
        <v>0</v>
      </c>
      <c r="M696" s="212">
        <f t="shared" si="18"/>
        <v>669561</v>
      </c>
      <c r="N696" s="223" t="s">
        <v>665</v>
      </c>
    </row>
    <row r="697" spans="1:14" s="212" customFormat="1" ht="12.65" customHeight="1" x14ac:dyDescent="0.35">
      <c r="A697" s="224">
        <v>7220</v>
      </c>
      <c r="B697" s="223" t="s">
        <v>666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18"/>
        <v>0</v>
      </c>
      <c r="N697" s="223" t="s">
        <v>667</v>
      </c>
    </row>
    <row r="698" spans="1:14" s="212" customFormat="1" ht="12.65" customHeight="1" x14ac:dyDescent="0.35">
      <c r="A698" s="224">
        <v>7230</v>
      </c>
      <c r="B698" s="223" t="s">
        <v>668</v>
      </c>
      <c r="C698" s="229">
        <f>AG85</f>
        <v>4590856</v>
      </c>
      <c r="D698" s="229">
        <f>(D615/D612)*AG90</f>
        <v>184206.35642057194</v>
      </c>
      <c r="E698" s="231">
        <f>(E623/E612)*SUM(C698:D698)</f>
        <v>617180.68549704424</v>
      </c>
      <c r="F698" s="231">
        <f>(F624/F612)*AG64</f>
        <v>7654.6290737980598</v>
      </c>
      <c r="G698" s="229">
        <f>(G625/G612)*AG91</f>
        <v>0</v>
      </c>
      <c r="H698" s="231">
        <f>(H628/H612)*AG60</f>
        <v>63039.879532069026</v>
      </c>
      <c r="I698" s="229">
        <f>(I629/I612)*AG92</f>
        <v>161271.76170690422</v>
      </c>
      <c r="J698" s="229">
        <f>(J630/J612)*AG93</f>
        <v>12424.74811681356</v>
      </c>
      <c r="K698" s="229">
        <f>(K644/K612)*AG89</f>
        <v>877061.80901479092</v>
      </c>
      <c r="L698" s="229">
        <f>(L647/L612)*AG94</f>
        <v>111615.36061644372</v>
      </c>
      <c r="M698" s="212">
        <f t="shared" si="18"/>
        <v>2034455</v>
      </c>
      <c r="N698" s="223" t="s">
        <v>669</v>
      </c>
    </row>
    <row r="699" spans="1:14" s="212" customFormat="1" ht="12.65" customHeight="1" x14ac:dyDescent="0.35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18"/>
        <v>0</v>
      </c>
      <c r="N699" s="223" t="s">
        <v>670</v>
      </c>
    </row>
    <row r="700" spans="1:14" s="212" customFormat="1" ht="12.65" customHeight="1" x14ac:dyDescent="0.35">
      <c r="A700" s="224">
        <v>7250</v>
      </c>
      <c r="B700" s="223" t="s">
        <v>671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18"/>
        <v>0</v>
      </c>
      <c r="N700" s="223" t="s">
        <v>672</v>
      </c>
    </row>
    <row r="701" spans="1:14" s="212" customFormat="1" ht="12.65" customHeight="1" x14ac:dyDescent="0.35">
      <c r="A701" s="224">
        <v>7260</v>
      </c>
      <c r="B701" s="223" t="s">
        <v>148</v>
      </c>
      <c r="C701" s="229">
        <f>AJ85</f>
        <v>1518762</v>
      </c>
      <c r="D701" s="229">
        <f>(D615/D612)*AJ90</f>
        <v>121035.21746221595</v>
      </c>
      <c r="E701" s="231">
        <f>(E623/E612)*SUM(C701:D701)</f>
        <v>211945.1213843663</v>
      </c>
      <c r="F701" s="231">
        <f>(F624/F612)*AJ64</f>
        <v>3266.252685983743</v>
      </c>
      <c r="G701" s="229">
        <f>(G625/G612)*AJ91</f>
        <v>0</v>
      </c>
      <c r="H701" s="231">
        <f>(H628/H612)*AJ60</f>
        <v>56375.522651231659</v>
      </c>
      <c r="I701" s="229">
        <f>(I629/I612)*AJ92</f>
        <v>31687.582571803861</v>
      </c>
      <c r="J701" s="229">
        <f>(J630/J612)*AJ93</f>
        <v>258.08554877853527</v>
      </c>
      <c r="K701" s="229">
        <f>(K644/K612)*AJ89</f>
        <v>62142.402686780391</v>
      </c>
      <c r="L701" s="229">
        <f>(L647/L612)*AJ94</f>
        <v>0</v>
      </c>
      <c r="M701" s="212">
        <f t="shared" si="18"/>
        <v>486710</v>
      </c>
      <c r="N701" s="223" t="s">
        <v>673</v>
      </c>
    </row>
    <row r="702" spans="1:14" s="212" customFormat="1" ht="12.65" customHeight="1" x14ac:dyDescent="0.35">
      <c r="A702" s="224">
        <v>7310</v>
      </c>
      <c r="B702" s="223" t="s">
        <v>674</v>
      </c>
      <c r="C702" s="229">
        <f>AK85</f>
        <v>299385</v>
      </c>
      <c r="D702" s="229">
        <f>(D615/D612)*AK90</f>
        <v>0</v>
      </c>
      <c r="E702" s="231">
        <f>(E623/E612)*SUM(C702:D702)</f>
        <v>38695.754261529954</v>
      </c>
      <c r="F702" s="231">
        <f>(F624/F612)*AK64</f>
        <v>327.93212407425278</v>
      </c>
      <c r="G702" s="229">
        <f>(G625/G612)*AK91</f>
        <v>0</v>
      </c>
      <c r="H702" s="231">
        <f>(H628/H612)*AK60</f>
        <v>7009.9161265104158</v>
      </c>
      <c r="I702" s="229">
        <f>(I629/I612)*AK92</f>
        <v>9403.2257225271624</v>
      </c>
      <c r="J702" s="229">
        <f>(J630/J612)*AK93</f>
        <v>1108.8119873448181</v>
      </c>
      <c r="K702" s="229">
        <f>(K644/K612)*AK89</f>
        <v>79054.799194870546</v>
      </c>
      <c r="L702" s="229">
        <f>(L647/L612)*AK94</f>
        <v>0</v>
      </c>
      <c r="M702" s="212">
        <f t="shared" si="18"/>
        <v>135600</v>
      </c>
      <c r="N702" s="223" t="s">
        <v>675</v>
      </c>
    </row>
    <row r="703" spans="1:14" s="212" customFormat="1" ht="12.65" customHeight="1" x14ac:dyDescent="0.35">
      <c r="A703" s="224">
        <v>7320</v>
      </c>
      <c r="B703" s="223" t="s">
        <v>676</v>
      </c>
      <c r="C703" s="229">
        <f>AL85</f>
        <v>225550</v>
      </c>
      <c r="D703" s="229">
        <f>(D615/D612)*AL90</f>
        <v>0</v>
      </c>
      <c r="E703" s="231">
        <f>(E623/E612)*SUM(C703:D703)</f>
        <v>29152.520579481541</v>
      </c>
      <c r="F703" s="231">
        <f>(F624/F612)*AL64</f>
        <v>589.19246878589149</v>
      </c>
      <c r="G703" s="229">
        <f>(G625/G612)*AL91</f>
        <v>0</v>
      </c>
      <c r="H703" s="231">
        <f>(H628/H612)*AL60</f>
        <v>4887.1950459474028</v>
      </c>
      <c r="I703" s="229">
        <f>(I629/I612)*AL92</f>
        <v>9403.2257225271624</v>
      </c>
      <c r="J703" s="229">
        <f>(J630/J612)*AL93</f>
        <v>1108.8119873448181</v>
      </c>
      <c r="K703" s="229">
        <f>(K644/K612)*AL89</f>
        <v>30694.071876493574</v>
      </c>
      <c r="L703" s="229">
        <f>(L647/L612)*AL94</f>
        <v>0</v>
      </c>
      <c r="M703" s="212">
        <f t="shared" si="18"/>
        <v>75835</v>
      </c>
      <c r="N703" s="223" t="s">
        <v>677</v>
      </c>
    </row>
    <row r="704" spans="1:14" s="212" customFormat="1" ht="12.65" customHeight="1" x14ac:dyDescent="0.35">
      <c r="A704" s="224">
        <v>7330</v>
      </c>
      <c r="B704" s="223" t="s">
        <v>678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18"/>
        <v>0</v>
      </c>
      <c r="N704" s="223" t="s">
        <v>679</v>
      </c>
    </row>
    <row r="705" spans="1:14" s="212" customFormat="1" ht="12.65" customHeight="1" x14ac:dyDescent="0.35">
      <c r="A705" s="224">
        <v>7340</v>
      </c>
      <c r="B705" s="223" t="s">
        <v>680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18"/>
        <v>0</v>
      </c>
      <c r="N705" s="223" t="s">
        <v>681</v>
      </c>
    </row>
    <row r="706" spans="1:14" s="212" customFormat="1" ht="12.65" customHeight="1" x14ac:dyDescent="0.35">
      <c r="A706" s="224">
        <v>7350</v>
      </c>
      <c r="B706" s="223" t="s">
        <v>682</v>
      </c>
      <c r="C706" s="229">
        <f>AO85</f>
        <v>283760</v>
      </c>
      <c r="D706" s="229">
        <f>(D615/D612)*AO90</f>
        <v>10271.729911927803</v>
      </c>
      <c r="E706" s="231">
        <f>(E623/E612)*SUM(C706:D706)</f>
        <v>38003.839757384325</v>
      </c>
      <c r="F706" s="231">
        <f>(F624/F612)*AO64</f>
        <v>498.59858918685779</v>
      </c>
      <c r="G706" s="229">
        <f>(G625/G612)*AO91</f>
        <v>21272.05406319768</v>
      </c>
      <c r="H706" s="231">
        <f>(H628/H612)*AO60</f>
        <v>8787.0779614003804</v>
      </c>
      <c r="I706" s="229">
        <f>(I629/I612)*AO92</f>
        <v>25762.262253499073</v>
      </c>
      <c r="J706" s="229">
        <f>(J630/J612)*AO93</f>
        <v>2774.4196493692543</v>
      </c>
      <c r="K706" s="229">
        <f>(K644/K612)*AO89</f>
        <v>37843.34638751953</v>
      </c>
      <c r="L706" s="229">
        <f>(L647/L612)*AO94</f>
        <v>15151.0007583767</v>
      </c>
      <c r="M706" s="212">
        <f t="shared" si="18"/>
        <v>160364</v>
      </c>
      <c r="N706" s="223" t="s">
        <v>683</v>
      </c>
    </row>
    <row r="707" spans="1:14" s="212" customFormat="1" ht="12.65" customHeight="1" x14ac:dyDescent="0.35">
      <c r="A707" s="224">
        <v>7380</v>
      </c>
      <c r="B707" s="223" t="s">
        <v>684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18"/>
        <v>0</v>
      </c>
      <c r="N707" s="223" t="s">
        <v>685</v>
      </c>
    </row>
    <row r="708" spans="1:14" s="212" customFormat="1" ht="12.65" customHeight="1" x14ac:dyDescent="0.35">
      <c r="A708" s="224">
        <v>7390</v>
      </c>
      <c r="B708" s="223" t="s">
        <v>686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18"/>
        <v>0</v>
      </c>
      <c r="N708" s="223" t="s">
        <v>687</v>
      </c>
    </row>
    <row r="709" spans="1:14" s="212" customFormat="1" ht="12.65" customHeight="1" x14ac:dyDescent="0.35">
      <c r="A709" s="224">
        <v>7400</v>
      </c>
      <c r="B709" s="223" t="s">
        <v>688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18"/>
        <v>0</v>
      </c>
      <c r="N709" s="223" t="s">
        <v>689</v>
      </c>
    </row>
    <row r="710" spans="1:14" s="212" customFormat="1" ht="12.65" customHeight="1" x14ac:dyDescent="0.35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18"/>
        <v>0</v>
      </c>
      <c r="N710" s="223" t="s">
        <v>690</v>
      </c>
    </row>
    <row r="711" spans="1:14" s="212" customFormat="1" ht="12.65" customHeight="1" x14ac:dyDescent="0.35">
      <c r="A711" s="224">
        <v>7420</v>
      </c>
      <c r="B711" s="223" t="s">
        <v>691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18"/>
        <v>0</v>
      </c>
      <c r="N711" s="223" t="s">
        <v>692</v>
      </c>
    </row>
    <row r="712" spans="1:14" s="212" customFormat="1" ht="12.65" customHeight="1" x14ac:dyDescent="0.35">
      <c r="A712" s="224">
        <v>7430</v>
      </c>
      <c r="B712" s="223" t="s">
        <v>693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18"/>
        <v>0</v>
      </c>
      <c r="N712" s="223" t="s">
        <v>694</v>
      </c>
    </row>
    <row r="713" spans="1:14" s="212" customFormat="1" ht="12.65" customHeight="1" x14ac:dyDescent="0.35">
      <c r="A713" s="224">
        <v>7490</v>
      </c>
      <c r="B713" s="223" t="s">
        <v>695</v>
      </c>
      <c r="C713" s="229">
        <f>AV85</f>
        <v>124387</v>
      </c>
      <c r="D713" s="229">
        <f>(D615/D612)*AV90</f>
        <v>17005.419520858253</v>
      </c>
      <c r="E713" s="231">
        <f>(E623/E612)*SUM(C713:D713)</f>
        <v>18275.08499164047</v>
      </c>
      <c r="F713" s="231">
        <f>(F624/F612)*AV64</f>
        <v>9.7460408370598586</v>
      </c>
      <c r="G713" s="229">
        <f>(G625/G612)*AV91</f>
        <v>0</v>
      </c>
      <c r="H713" s="231">
        <f>(H628/H612)*AV60</f>
        <v>937.94652396970366</v>
      </c>
      <c r="I713" s="229">
        <f>(I629/I612)*AV92</f>
        <v>0</v>
      </c>
      <c r="J713" s="229">
        <f>(J630/J612)*AV93</f>
        <v>0</v>
      </c>
      <c r="K713" s="229">
        <f>(K644/K612)*AV89</f>
        <v>96889.091241300615</v>
      </c>
      <c r="L713" s="229">
        <f>(L647/L612)*AV94</f>
        <v>0</v>
      </c>
      <c r="M713" s="212">
        <f t="shared" si="18"/>
        <v>133117</v>
      </c>
      <c r="N713" s="225" t="s">
        <v>696</v>
      </c>
    </row>
    <row r="714" spans="1:14" s="212" customFormat="1" ht="12.65" customHeight="1" x14ac:dyDescent="0.35"/>
    <row r="715" spans="1:14" s="212" customFormat="1" ht="12.65" customHeight="1" x14ac:dyDescent="0.35">
      <c r="C715" s="226">
        <f>SUM(C614:C647)+SUM(C668:C713)</f>
        <v>33997186</v>
      </c>
      <c r="D715" s="212">
        <f>SUM(D616:D647)+SUM(D668:D713)</f>
        <v>1574485.0000000002</v>
      </c>
      <c r="E715" s="212">
        <f>SUM(E624:E647)+SUM(E668:E713)</f>
        <v>3891220.4804827655</v>
      </c>
      <c r="F715" s="212">
        <f>SUM(F625:F648)+SUM(F668:F713)</f>
        <v>375577.52746410895</v>
      </c>
      <c r="G715" s="212">
        <f>SUM(G626:G647)+SUM(G668:G713)</f>
        <v>1052571.9137252036</v>
      </c>
      <c r="H715" s="212">
        <f>SUM(H629:H647)+SUM(H668:H713)</f>
        <v>759440.49077631161</v>
      </c>
      <c r="I715" s="212">
        <f>SUM(I630:I647)+SUM(I668:I713)</f>
        <v>709235.07983882946</v>
      </c>
      <c r="J715" s="212">
        <f>SUM(J631:J647)+SUM(J668:J713)</f>
        <v>179151.99542942605</v>
      </c>
      <c r="K715" s="212">
        <f>SUM(K668:K713)</f>
        <v>3669210.3239973113</v>
      </c>
      <c r="L715" s="212">
        <f>SUM(L668:L713)</f>
        <v>539877.67199375422</v>
      </c>
      <c r="M715" s="212">
        <f>SUM(M668:M713)</f>
        <v>11173760</v>
      </c>
      <c r="N715" s="223" t="s">
        <v>697</v>
      </c>
    </row>
    <row r="716" spans="1:14" s="212" customFormat="1" ht="12.65" customHeight="1" x14ac:dyDescent="0.35">
      <c r="C716" s="226">
        <f>CE85</f>
        <v>33997186</v>
      </c>
      <c r="D716" s="212">
        <f>D615</f>
        <v>1574485</v>
      </c>
      <c r="E716" s="212">
        <f>E623</f>
        <v>3891220.4804827659</v>
      </c>
      <c r="F716" s="212">
        <f>F624</f>
        <v>375577.52746410889</v>
      </c>
      <c r="G716" s="212">
        <f>G625</f>
        <v>1052571.9137252036</v>
      </c>
      <c r="H716" s="212">
        <f>H628</f>
        <v>759440.49077631161</v>
      </c>
      <c r="I716" s="212">
        <f>I629</f>
        <v>709235.07983882958</v>
      </c>
      <c r="J716" s="212">
        <f>J630</f>
        <v>179151.99542942602</v>
      </c>
      <c r="K716" s="212">
        <f>K644</f>
        <v>3669210.3239973113</v>
      </c>
      <c r="L716" s="212">
        <f>L647</f>
        <v>539877.67199375434</v>
      </c>
      <c r="M716" s="212">
        <f>C648</f>
        <v>11173760</v>
      </c>
      <c r="N716" s="223" t="s">
        <v>698</v>
      </c>
    </row>
  </sheetData>
  <sheetProtection algorithmName="SHA-512" hashValue="TkW0Rtgm+xCccH7VhKBDSht90jFO/K/bCxSp3AEPukxtmwYeWg6kxJvtRpF3hDoMRNJRlUI9vzNYmRw5XcAepA==" saltValue="e383aqCIEvVMYiWo1jaob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DED4-A679-4958-8D30-D7D89FEE9CE0}">
  <sheetPr codeName="Sheet8"/>
  <dimension ref="A1:C179"/>
  <sheetViews>
    <sheetView topLeftCell="A49" zoomScaleNormal="100" workbookViewId="0">
      <selection activeCell="C49" sqref="C49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902</v>
      </c>
      <c r="B1" s="178"/>
      <c r="C1" s="178"/>
    </row>
    <row r="2" spans="1:3" ht="20.149999999999999" customHeight="1" x14ac:dyDescent="0.35">
      <c r="A2" s="177"/>
      <c r="B2" s="178"/>
      <c r="C2" s="103" t="s">
        <v>903</v>
      </c>
    </row>
    <row r="3" spans="1:3" ht="20.149999999999999" customHeight="1" x14ac:dyDescent="0.35">
      <c r="A3" s="129" t="str">
        <f>"Hospital: "&amp;data!C98</f>
        <v>Hospital: NORTH VALLEY HOSPITAL OCPHD#4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904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8707818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9042838</v>
      </c>
    </row>
    <row r="9" spans="1:3" ht="20.149999999999999" customHeight="1" x14ac:dyDescent="0.35">
      <c r="A9" s="183">
        <v>5</v>
      </c>
      <c r="B9" s="185" t="s">
        <v>905</v>
      </c>
      <c r="C9" s="185">
        <f>data!C269</f>
        <v>4848276</v>
      </c>
    </row>
    <row r="10" spans="1:3" ht="20.149999999999999" customHeight="1" x14ac:dyDescent="0.35">
      <c r="A10" s="183">
        <v>6</v>
      </c>
      <c r="B10" s="185" t="s">
        <v>906</v>
      </c>
      <c r="C10" s="185">
        <f>data!C270</f>
        <v>201383</v>
      </c>
    </row>
    <row r="11" spans="1:3" ht="20.149999999999999" customHeight="1" x14ac:dyDescent="0.35">
      <c r="A11" s="183">
        <v>7</v>
      </c>
      <c r="B11" s="185" t="s">
        <v>907</v>
      </c>
      <c r="C11" s="185">
        <f>data!C271</f>
        <v>621732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584543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487197</v>
      </c>
    </row>
    <row r="15" spans="1:3" ht="20.149999999999999" customHeight="1" x14ac:dyDescent="0.35">
      <c r="A15" s="183">
        <v>11</v>
      </c>
      <c r="B15" s="185" t="s">
        <v>908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909</v>
      </c>
      <c r="C16" s="185">
        <f>data!D276</f>
        <v>14797235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910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1808657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911</v>
      </c>
      <c r="C22" s="185">
        <f>data!D281</f>
        <v>1808657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912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358540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719936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14473214</v>
      </c>
    </row>
    <row r="28" spans="1:3" ht="20.149999999999999" customHeight="1" x14ac:dyDescent="0.35">
      <c r="A28" s="183">
        <v>24</v>
      </c>
      <c r="B28" s="185" t="s">
        <v>913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7373508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9389639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3560648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914</v>
      </c>
      <c r="C34" s="185">
        <f>data!C292</f>
        <v>22047519</v>
      </c>
    </row>
    <row r="35" spans="1:3" ht="20.149999999999999" customHeight="1" x14ac:dyDescent="0.35">
      <c r="A35" s="183">
        <v>31</v>
      </c>
      <c r="B35" s="185" t="s">
        <v>915</v>
      </c>
      <c r="C35" s="185">
        <f>data!D293</f>
        <v>13827966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916</v>
      </c>
      <c r="C37" s="184"/>
    </row>
    <row r="38" spans="1:3" ht="20.149999999999999" customHeight="1" x14ac:dyDescent="0.35">
      <c r="A38" s="183">
        <v>34</v>
      </c>
      <c r="B38" s="185" t="s">
        <v>917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918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68054</v>
      </c>
    </row>
    <row r="42" spans="1:3" ht="20.149999999999999" customHeight="1" x14ac:dyDescent="0.35">
      <c r="A42" s="183">
        <v>38</v>
      </c>
      <c r="B42" s="185" t="s">
        <v>919</v>
      </c>
      <c r="C42" s="185">
        <f>data!D299</f>
        <v>68054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920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921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922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923</v>
      </c>
      <c r="C50" s="185">
        <f>data!D308</f>
        <v>30501912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924</v>
      </c>
      <c r="B53" s="178"/>
      <c r="C53" s="178"/>
    </row>
    <row r="54" spans="1:3" ht="20.149999999999999" customHeight="1" x14ac:dyDescent="0.35">
      <c r="A54" s="177"/>
      <c r="B54" s="178"/>
      <c r="C54" s="103" t="s">
        <v>925</v>
      </c>
    </row>
    <row r="55" spans="1:3" ht="20.149999999999999" customHeight="1" x14ac:dyDescent="0.35">
      <c r="A55" s="129" t="str">
        <f>"Hospital: "&amp;data!C98</f>
        <v>Hospital: NORTH VALLEY HOSPITAL OCPHD#4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926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927</v>
      </c>
      <c r="C59" s="185">
        <f>data!C315</f>
        <v>4164837</v>
      </c>
    </row>
    <row r="60" spans="1:3" ht="20.149999999999999" customHeight="1" x14ac:dyDescent="0.35">
      <c r="A60" s="183">
        <v>4</v>
      </c>
      <c r="B60" s="185" t="s">
        <v>928</v>
      </c>
      <c r="C60" s="185">
        <f>data!C316</f>
        <v>3460424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127415</v>
      </c>
    </row>
    <row r="62" spans="1:3" ht="20.149999999999999" customHeight="1" x14ac:dyDescent="0.35">
      <c r="A62" s="183">
        <v>6</v>
      </c>
      <c r="B62" s="185" t="s">
        <v>929</v>
      </c>
      <c r="C62" s="185">
        <f>data!C318</f>
        <v>292336</v>
      </c>
    </row>
    <row r="63" spans="1:3" ht="20.149999999999999" customHeight="1" x14ac:dyDescent="0.35">
      <c r="A63" s="183">
        <v>7</v>
      </c>
      <c r="B63" s="185" t="s">
        <v>930</v>
      </c>
      <c r="C63" s="185">
        <f>data!C319</f>
        <v>599194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3157</v>
      </c>
    </row>
    <row r="67" spans="1:3" ht="20.149999999999999" customHeight="1" x14ac:dyDescent="0.35">
      <c r="A67" s="183">
        <v>11</v>
      </c>
      <c r="B67" s="185" t="s">
        <v>931</v>
      </c>
      <c r="C67" s="185">
        <f>data!C323</f>
        <v>1402225</v>
      </c>
    </row>
    <row r="68" spans="1:3" ht="20.149999999999999" customHeight="1" x14ac:dyDescent="0.35">
      <c r="A68" s="183">
        <v>12</v>
      </c>
      <c r="B68" s="185" t="s">
        <v>932</v>
      </c>
      <c r="C68" s="185">
        <f>data!D324</f>
        <v>10049588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933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934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670188</v>
      </c>
    </row>
    <row r="74" spans="1:3" ht="20.149999999999999" customHeight="1" x14ac:dyDescent="0.35">
      <c r="A74" s="183">
        <v>18</v>
      </c>
      <c r="B74" s="185" t="s">
        <v>935</v>
      </c>
      <c r="C74" s="185">
        <f>data!D329</f>
        <v>670188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936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6748294</v>
      </c>
    </row>
    <row r="80" spans="1:3" ht="20.149999999999999" customHeight="1" x14ac:dyDescent="0.35">
      <c r="A80" s="183">
        <v>24</v>
      </c>
      <c r="B80" s="185" t="s">
        <v>937</v>
      </c>
      <c r="C80" s="185">
        <f>data!C334</f>
        <v>305894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938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7054188</v>
      </c>
    </row>
    <row r="86" spans="1:3" ht="20.149999999999999" customHeight="1" x14ac:dyDescent="0.35">
      <c r="A86" s="183">
        <v>30</v>
      </c>
      <c r="B86" s="185" t="s">
        <v>939</v>
      </c>
      <c r="C86" s="185">
        <f>data!D340</f>
        <v>1402225</v>
      </c>
    </row>
    <row r="87" spans="1:3" ht="20.149999999999999" customHeight="1" x14ac:dyDescent="0.35">
      <c r="A87" s="183">
        <v>31</v>
      </c>
      <c r="B87" s="185" t="s">
        <v>940</v>
      </c>
      <c r="C87" s="185">
        <f>data!D341</f>
        <v>5651963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941</v>
      </c>
      <c r="C89" s="185">
        <f>data!C343</f>
        <v>14130173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942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943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944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945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946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947</v>
      </c>
      <c r="C102" s="185">
        <f>data!C343+data!C345+data!C346+data!C347+data!C348-data!C349</f>
        <v>14130173</v>
      </c>
    </row>
    <row r="103" spans="1:3" ht="20.149999999999999" customHeight="1" x14ac:dyDescent="0.35">
      <c r="A103" s="183">
        <v>47</v>
      </c>
      <c r="B103" s="185" t="s">
        <v>948</v>
      </c>
      <c r="C103" s="185">
        <f>data!D352</f>
        <v>30501912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949</v>
      </c>
      <c r="B106" s="178"/>
      <c r="C106" s="178"/>
    </row>
    <row r="107" spans="1:3" ht="20.149999999999999" customHeight="1" x14ac:dyDescent="0.35">
      <c r="A107" s="179"/>
      <c r="C107" s="103" t="s">
        <v>950</v>
      </c>
    </row>
    <row r="108" spans="1:3" ht="20.149999999999999" customHeight="1" x14ac:dyDescent="0.35">
      <c r="A108" s="129" t="str">
        <f>"Hospital: "&amp;data!C98</f>
        <v>Hospital: NORTH VALLEY HOSPITAL OCPHD#4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951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11789240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40242768</v>
      </c>
    </row>
    <row r="113" spans="1:3" ht="20.149999999999999" customHeight="1" x14ac:dyDescent="0.35">
      <c r="A113" s="183">
        <v>4</v>
      </c>
      <c r="B113" s="185" t="s">
        <v>952</v>
      </c>
      <c r="C113" s="185">
        <f>data!D360</f>
        <v>52032008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953</v>
      </c>
      <c r="C115" s="184"/>
    </row>
    <row r="116" spans="1:3" ht="20.149999999999999" customHeight="1" x14ac:dyDescent="0.35">
      <c r="A116" s="183">
        <v>7</v>
      </c>
      <c r="B116" s="197" t="s">
        <v>954</v>
      </c>
      <c r="C116" s="198">
        <f>data!C362</f>
        <v>993584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19850738</v>
      </c>
    </row>
    <row r="118" spans="1:3" ht="20.149999999999999" customHeight="1" x14ac:dyDescent="0.35">
      <c r="A118" s="183">
        <v>9</v>
      </c>
      <c r="B118" s="185" t="s">
        <v>955</v>
      </c>
      <c r="C118" s="198">
        <f>data!C364</f>
        <v>848224</v>
      </c>
    </row>
    <row r="119" spans="1:3" ht="20.149999999999999" customHeight="1" x14ac:dyDescent="0.35">
      <c r="A119" s="183">
        <v>10</v>
      </c>
      <c r="B119" s="185" t="s">
        <v>956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900</v>
      </c>
      <c r="C120" s="198">
        <f>data!D366</f>
        <v>21692546</v>
      </c>
    </row>
    <row r="121" spans="1:3" ht="20.149999999999999" customHeight="1" x14ac:dyDescent="0.35">
      <c r="A121" s="183">
        <v>12</v>
      </c>
      <c r="B121" s="185" t="s">
        <v>957</v>
      </c>
      <c r="C121" s="198">
        <f>data!D367</f>
        <v>30339462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958</v>
      </c>
      <c r="B125" s="201" t="s">
        <v>507</v>
      </c>
      <c r="C125" s="200">
        <f>data!C370</f>
        <v>50461</v>
      </c>
    </row>
    <row r="126" spans="1:3" ht="20.149999999999999" customHeight="1" x14ac:dyDescent="0.35">
      <c r="A126" s="204" t="s">
        <v>959</v>
      </c>
      <c r="B126" s="201" t="s">
        <v>508</v>
      </c>
      <c r="C126" s="200">
        <f>data!C371</f>
        <v>0</v>
      </c>
    </row>
    <row r="127" spans="1:3" ht="20.149999999999999" customHeight="1" x14ac:dyDescent="0.35">
      <c r="A127" s="204" t="s">
        <v>960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961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962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963</v>
      </c>
      <c r="B130" s="201" t="s">
        <v>512</v>
      </c>
      <c r="C130" s="200">
        <f>data!C375</f>
        <v>0</v>
      </c>
    </row>
    <row r="131" spans="1:3" ht="20.149999999999999" customHeight="1" x14ac:dyDescent="0.35">
      <c r="A131" s="204" t="s">
        <v>964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965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966</v>
      </c>
      <c r="B133" s="201" t="s">
        <v>515</v>
      </c>
      <c r="C133" s="200">
        <f>data!C378</f>
        <v>67098</v>
      </c>
    </row>
    <row r="134" spans="1:3" ht="20.149999999999999" customHeight="1" x14ac:dyDescent="0.35">
      <c r="A134" s="204" t="s">
        <v>967</v>
      </c>
      <c r="B134" s="201" t="s">
        <v>516</v>
      </c>
      <c r="C134" s="200">
        <f>data!C379</f>
        <v>128090</v>
      </c>
    </row>
    <row r="135" spans="1:3" ht="20.149999999999999" customHeight="1" x14ac:dyDescent="0.35">
      <c r="A135" s="204" t="s">
        <v>968</v>
      </c>
      <c r="B135" s="201" t="s">
        <v>517</v>
      </c>
      <c r="C135" s="200">
        <f>data!C380</f>
        <v>852587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969</v>
      </c>
      <c r="C137" s="198">
        <f>data!D383</f>
        <v>2415357</v>
      </c>
    </row>
    <row r="138" spans="1:3" ht="20.149999999999999" customHeight="1" x14ac:dyDescent="0.35">
      <c r="A138" s="183">
        <v>18</v>
      </c>
      <c r="B138" s="185" t="s">
        <v>970</v>
      </c>
      <c r="C138" s="198">
        <f>data!D384</f>
        <v>32754819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971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15532916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3460290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563274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3749663</v>
      </c>
    </row>
    <row r="145" spans="1:3" ht="20.149999999999999" customHeight="1" x14ac:dyDescent="0.35">
      <c r="A145" s="183">
        <v>25</v>
      </c>
      <c r="B145" s="185" t="s">
        <v>972</v>
      </c>
      <c r="C145" s="198">
        <f>data!C393</f>
        <v>458624</v>
      </c>
    </row>
    <row r="146" spans="1:3" ht="20.149999999999999" customHeight="1" x14ac:dyDescent="0.35">
      <c r="A146" s="183">
        <v>26</v>
      </c>
      <c r="B146" s="185" t="s">
        <v>973</v>
      </c>
      <c r="C146" s="198">
        <f>data!C394</f>
        <v>7874508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1307512</v>
      </c>
    </row>
    <row r="148" spans="1:3" ht="20.149999999999999" customHeight="1" x14ac:dyDescent="0.35">
      <c r="A148" s="183">
        <v>28</v>
      </c>
      <c r="B148" s="185" t="s">
        <v>974</v>
      </c>
      <c r="C148" s="198">
        <f>data!C396</f>
        <v>464490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364767</v>
      </c>
    </row>
    <row r="150" spans="1:3" ht="20.149999999999999" customHeight="1" x14ac:dyDescent="0.35">
      <c r="A150" s="183">
        <v>30</v>
      </c>
      <c r="B150" s="185" t="s">
        <v>975</v>
      </c>
      <c r="C150" s="198">
        <f>data!C398</f>
        <v>160555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218914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976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977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978</v>
      </c>
      <c r="B155" s="202" t="s">
        <v>979</v>
      </c>
      <c r="C155" s="198">
        <f>data!C403</f>
        <v>0</v>
      </c>
    </row>
    <row r="156" spans="1:3" ht="20.149999999999999" customHeight="1" x14ac:dyDescent="0.35">
      <c r="A156" s="204" t="s">
        <v>980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981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982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983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984</v>
      </c>
      <c r="B160" s="202" t="s">
        <v>277</v>
      </c>
      <c r="C160" s="198">
        <f>data!C408</f>
        <v>482025</v>
      </c>
    </row>
    <row r="161" spans="1:3" ht="20.149999999999999" customHeight="1" x14ac:dyDescent="0.35">
      <c r="A161" s="204" t="s">
        <v>985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986</v>
      </c>
      <c r="B162" s="202" t="s">
        <v>279</v>
      </c>
      <c r="C162" s="198">
        <f>data!C410</f>
        <v>97336</v>
      </c>
    </row>
    <row r="163" spans="1:3" ht="20.149999999999999" customHeight="1" x14ac:dyDescent="0.35">
      <c r="A163" s="204" t="s">
        <v>987</v>
      </c>
      <c r="B163" s="202" t="s">
        <v>280</v>
      </c>
      <c r="C163" s="198">
        <f>data!C411</f>
        <v>78585</v>
      </c>
    </row>
    <row r="164" spans="1:3" ht="20.149999999999999" customHeight="1" x14ac:dyDescent="0.35">
      <c r="A164" s="204" t="s">
        <v>988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989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990</v>
      </c>
      <c r="B166" s="202" t="s">
        <v>991</v>
      </c>
      <c r="C166" s="198">
        <f>data!C414</f>
        <v>281884</v>
      </c>
    </row>
    <row r="167" spans="1:3" ht="20.149999999999999" customHeight="1" x14ac:dyDescent="0.35">
      <c r="A167" s="183">
        <v>34</v>
      </c>
      <c r="B167" s="185" t="s">
        <v>992</v>
      </c>
      <c r="C167" s="198">
        <f>data!D416</f>
        <v>35095343</v>
      </c>
    </row>
    <row r="168" spans="1:3" ht="20.149999999999999" customHeight="1" x14ac:dyDescent="0.35">
      <c r="A168" s="183">
        <v>35</v>
      </c>
      <c r="B168" s="185" t="s">
        <v>993</v>
      </c>
      <c r="C168" s="198">
        <f>data!D417</f>
        <v>-2340524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994</v>
      </c>
      <c r="C170" s="198">
        <f>data!D420</f>
        <v>382707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995</v>
      </c>
      <c r="C172" s="185">
        <f>data!D421</f>
        <v>-1957817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996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997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998</v>
      </c>
      <c r="C177" s="198">
        <f>data!D424</f>
        <v>-1957817</v>
      </c>
    </row>
    <row r="178" spans="1:3" ht="20.149999999999999" customHeight="1" x14ac:dyDescent="0.35">
      <c r="A178" s="188">
        <v>45</v>
      </c>
      <c r="B178" s="187" t="s">
        <v>999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C374-FCC0-48C0-89EE-ED87110F3EAC}">
  <sheetPr codeName="Sheet11"/>
  <dimension ref="A1:N410"/>
  <sheetViews>
    <sheetView showGridLines="0" topLeftCell="B38" zoomScale="65" workbookViewId="0">
      <selection activeCell="I70" sqref="I70"/>
    </sheetView>
  </sheetViews>
  <sheetFormatPr defaultColWidth="8.9140625" defaultRowHeight="20.149999999999999" customHeight="1" x14ac:dyDescent="0.35"/>
  <cols>
    <col min="1" max="1" width="5.75" style="283" customWidth="1"/>
    <col min="2" max="2" width="22.4140625" style="283" customWidth="1"/>
    <col min="3" max="8" width="13.75" style="283" customWidth="1"/>
    <col min="9" max="9" width="15.75" style="283" customWidth="1"/>
    <col min="10" max="13" width="8.9140625" style="283" customWidth="1"/>
    <col min="14" max="16384" width="8.9140625" style="283"/>
  </cols>
  <sheetData>
    <row r="1" spans="1:9" customFormat="1" ht="20.149999999999999" customHeight="1" x14ac:dyDescent="0.35">
      <c r="A1" s="284" t="s">
        <v>1000</v>
      </c>
      <c r="B1" s="285"/>
      <c r="C1" s="285"/>
      <c r="D1" s="285"/>
      <c r="E1" s="285"/>
      <c r="F1" s="285"/>
      <c r="G1" s="285"/>
      <c r="H1" s="285"/>
    </row>
    <row r="2" spans="1:9" customFormat="1" ht="20.149999999999999" customHeight="1" x14ac:dyDescent="0.35">
      <c r="A2" s="286"/>
      <c r="I2" s="287" t="s">
        <v>1001</v>
      </c>
    </row>
    <row r="3" spans="1:9" customFormat="1" ht="20.149999999999999" customHeight="1" x14ac:dyDescent="0.35">
      <c r="A3" s="286"/>
      <c r="I3" s="286"/>
    </row>
    <row r="4" spans="1:9" customFormat="1" ht="20.149999999999999" customHeight="1" x14ac:dyDescent="0.35">
      <c r="A4" s="288" t="str">
        <f>"Hospital: "&amp;data!C98</f>
        <v>Hospital: NORTH VALLEY HOSPITAL OCPHD#4</v>
      </c>
      <c r="G4" s="289"/>
      <c r="H4" s="288" t="str">
        <f>"FYE: "&amp;data!C96</f>
        <v>FYE: 12/31/2023</v>
      </c>
    </row>
    <row r="5" spans="1:9" customFormat="1" ht="20.149999999999999" customHeight="1" x14ac:dyDescent="0.35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49999999999999" customHeight="1" x14ac:dyDescent="0.35">
      <c r="A6" s="294">
        <v>2</v>
      </c>
      <c r="B6" s="295" t="s">
        <v>1002</v>
      </c>
      <c r="C6" s="296" t="s">
        <v>118</v>
      </c>
      <c r="D6" s="297" t="s">
        <v>1003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49999999999999" customHeight="1" x14ac:dyDescent="0.35">
      <c r="A7" s="294"/>
      <c r="B7" s="295"/>
      <c r="C7" s="297" t="s">
        <v>190</v>
      </c>
      <c r="D7" s="297" t="s">
        <v>1004</v>
      </c>
      <c r="E7" s="297" t="s">
        <v>190</v>
      </c>
      <c r="F7" s="297" t="s">
        <v>1005</v>
      </c>
      <c r="G7" s="297" t="s">
        <v>192</v>
      </c>
      <c r="H7" s="297" t="s">
        <v>190</v>
      </c>
      <c r="I7" s="297" t="s">
        <v>193</v>
      </c>
    </row>
    <row r="8" spans="1:9" customFormat="1" ht="20.149999999999999" customHeight="1" x14ac:dyDescent="0.35">
      <c r="A8" s="290">
        <v>3</v>
      </c>
      <c r="B8" s="291" t="s">
        <v>1006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49999999999999" customHeight="1" x14ac:dyDescent="0.35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971</v>
      </c>
      <c r="F9" s="291">
        <f>data!F59</f>
        <v>0</v>
      </c>
      <c r="G9" s="291">
        <f>data!G59</f>
        <v>0</v>
      </c>
      <c r="H9" s="291">
        <f>data!H59</f>
        <v>0</v>
      </c>
      <c r="I9" s="291">
        <f>data!I59</f>
        <v>0</v>
      </c>
    </row>
    <row r="10" spans="1:9" customFormat="1" ht="20.149999999999999" customHeight="1" x14ac:dyDescent="0.35">
      <c r="A10" s="290">
        <v>5</v>
      </c>
      <c r="B10" s="291" t="s">
        <v>262</v>
      </c>
      <c r="C10" s="298">
        <f>data!C60</f>
        <v>0</v>
      </c>
      <c r="D10" s="298">
        <f>data!D60</f>
        <v>0</v>
      </c>
      <c r="E10" s="298">
        <f>data!E60</f>
        <v>8.08</v>
      </c>
      <c r="F10" s="298">
        <f>data!F60</f>
        <v>0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49999999999999" customHeight="1" x14ac:dyDescent="0.35">
      <c r="A11" s="290">
        <v>6</v>
      </c>
      <c r="B11" s="291" t="s">
        <v>263</v>
      </c>
      <c r="C11" s="291">
        <f>data!C61</f>
        <v>0</v>
      </c>
      <c r="D11" s="291">
        <f>data!D61</f>
        <v>0</v>
      </c>
      <c r="E11" s="291">
        <f>data!E61</f>
        <v>651417</v>
      </c>
      <c r="F11" s="291">
        <f>data!F61</f>
        <v>0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49999999999999" customHeight="1" x14ac:dyDescent="0.35">
      <c r="A12" s="290">
        <v>7</v>
      </c>
      <c r="B12" s="291" t="s">
        <v>11</v>
      </c>
      <c r="C12" s="291">
        <f>data!C62</f>
        <v>0</v>
      </c>
      <c r="D12" s="291">
        <f>data!D62</f>
        <v>0</v>
      </c>
      <c r="E12" s="291">
        <f>data!E62</f>
        <v>145117</v>
      </c>
      <c r="F12" s="291">
        <f>data!F62</f>
        <v>0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49999999999999" customHeight="1" x14ac:dyDescent="0.35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0</v>
      </c>
      <c r="F13" s="291">
        <f>data!F63</f>
        <v>0</v>
      </c>
      <c r="G13" s="291">
        <f>data!G63</f>
        <v>0</v>
      </c>
      <c r="H13" s="291">
        <f>data!H63</f>
        <v>0</v>
      </c>
      <c r="I13" s="291">
        <f>data!I63</f>
        <v>0</v>
      </c>
    </row>
    <row r="14" spans="1:9" customFormat="1" ht="20.149999999999999" customHeight="1" x14ac:dyDescent="0.35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20430</v>
      </c>
      <c r="F14" s="291">
        <f>data!F64</f>
        <v>0</v>
      </c>
      <c r="G14" s="291">
        <f>data!G64</f>
        <v>0</v>
      </c>
      <c r="H14" s="291">
        <f>data!H64</f>
        <v>0</v>
      </c>
      <c r="I14" s="291">
        <f>data!I64</f>
        <v>0</v>
      </c>
    </row>
    <row r="15" spans="1:9" customFormat="1" ht="20.149999999999999" customHeight="1" x14ac:dyDescent="0.35">
      <c r="A15" s="290">
        <v>10</v>
      </c>
      <c r="B15" s="291" t="s">
        <v>525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49999999999999" customHeight="1" x14ac:dyDescent="0.35">
      <c r="A16" s="290">
        <v>11</v>
      </c>
      <c r="B16" s="291" t="s">
        <v>526</v>
      </c>
      <c r="C16" s="291">
        <f>data!C66</f>
        <v>0</v>
      </c>
      <c r="D16" s="291">
        <f>data!D66</f>
        <v>0</v>
      </c>
      <c r="E16" s="291">
        <f>data!E66</f>
        <v>410426</v>
      </c>
      <c r="F16" s="291">
        <f>data!F66</f>
        <v>0</v>
      </c>
      <c r="G16" s="291">
        <f>data!G66</f>
        <v>0</v>
      </c>
      <c r="H16" s="291">
        <f>data!H66</f>
        <v>0</v>
      </c>
      <c r="I16" s="291">
        <f>data!I66</f>
        <v>0</v>
      </c>
    </row>
    <row r="17" spans="1:9" customFormat="1" ht="20.149999999999999" customHeight="1" x14ac:dyDescent="0.35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34754</v>
      </c>
      <c r="F17" s="291">
        <f>data!F67</f>
        <v>0</v>
      </c>
      <c r="G17" s="291">
        <f>data!G67</f>
        <v>0</v>
      </c>
      <c r="H17" s="291">
        <f>data!H67</f>
        <v>0</v>
      </c>
      <c r="I17" s="291">
        <f>data!I67</f>
        <v>0</v>
      </c>
    </row>
    <row r="18" spans="1:9" customFormat="1" ht="20.149999999999999" customHeight="1" x14ac:dyDescent="0.35">
      <c r="A18" s="290">
        <v>13</v>
      </c>
      <c r="B18" s="291" t="s">
        <v>1007</v>
      </c>
      <c r="C18" s="291">
        <f>data!C68</f>
        <v>0</v>
      </c>
      <c r="D18" s="291">
        <f>data!D68</f>
        <v>0</v>
      </c>
      <c r="E18" s="291">
        <f>data!E68</f>
        <v>7247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49999999999999" customHeight="1" x14ac:dyDescent="0.35">
      <c r="A19" s="290">
        <v>14</v>
      </c>
      <c r="B19" s="291" t="s">
        <v>1008</v>
      </c>
      <c r="C19" s="291">
        <f>data!C69</f>
        <v>0</v>
      </c>
      <c r="D19" s="291">
        <f>data!D69</f>
        <v>0</v>
      </c>
      <c r="E19" s="291">
        <f>data!E69</f>
        <v>18134</v>
      </c>
      <c r="F19" s="291">
        <f>data!F69</f>
        <v>0</v>
      </c>
      <c r="G19" s="291">
        <f>data!G69</f>
        <v>0</v>
      </c>
      <c r="H19" s="291">
        <f>data!H69</f>
        <v>0</v>
      </c>
      <c r="I19" s="291">
        <f>data!I69</f>
        <v>0</v>
      </c>
    </row>
    <row r="20" spans="1:9" customFormat="1" ht="20.149999999999999" customHeight="1" x14ac:dyDescent="0.35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0</v>
      </c>
      <c r="F20" s="291">
        <f>-data!F84</f>
        <v>0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49999999999999" customHeight="1" x14ac:dyDescent="0.35">
      <c r="A21" s="290">
        <v>16</v>
      </c>
      <c r="B21" s="299" t="s">
        <v>1009</v>
      </c>
      <c r="C21" s="291">
        <f>data!C85</f>
        <v>0</v>
      </c>
      <c r="D21" s="291">
        <f>data!D85</f>
        <v>0</v>
      </c>
      <c r="E21" s="291">
        <f>data!E85</f>
        <v>1287525</v>
      </c>
      <c r="F21" s="291">
        <f>data!F85</f>
        <v>0</v>
      </c>
      <c r="G21" s="291">
        <f>data!G85</f>
        <v>0</v>
      </c>
      <c r="H21" s="291">
        <f>data!H85</f>
        <v>0</v>
      </c>
      <c r="I21" s="291">
        <f>data!I85</f>
        <v>0</v>
      </c>
    </row>
    <row r="22" spans="1:9" customFormat="1" ht="20.149999999999999" customHeight="1" x14ac:dyDescent="0.35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49999999999999" customHeight="1" x14ac:dyDescent="0.35">
      <c r="A23" s="290">
        <v>18</v>
      </c>
      <c r="B23" s="291" t="s">
        <v>1010</v>
      </c>
      <c r="C23" s="299">
        <f>+data!M668</f>
        <v>0</v>
      </c>
      <c r="D23" s="299">
        <f>+data!M669</f>
        <v>0</v>
      </c>
      <c r="E23" s="299">
        <f>+data!M670</f>
        <v>674805</v>
      </c>
      <c r="F23" s="299">
        <f>+data!M671</f>
        <v>0</v>
      </c>
      <c r="G23" s="299">
        <f>+data!M672</f>
        <v>0</v>
      </c>
      <c r="H23" s="299">
        <f>+data!M673</f>
        <v>0</v>
      </c>
      <c r="I23" s="299">
        <f>+data!M674</f>
        <v>0</v>
      </c>
    </row>
    <row r="24" spans="1:9" customFormat="1" ht="20.149999999999999" customHeight="1" x14ac:dyDescent="0.35">
      <c r="A24" s="290">
        <v>19</v>
      </c>
      <c r="B24" s="299" t="s">
        <v>1011</v>
      </c>
      <c r="C24" s="291">
        <f>data!C87</f>
        <v>0</v>
      </c>
      <c r="D24" s="291">
        <f>data!D87</f>
        <v>0</v>
      </c>
      <c r="E24" s="291">
        <f>data!E87</f>
        <v>1977160</v>
      </c>
      <c r="F24" s="291">
        <f>data!F87</f>
        <v>0</v>
      </c>
      <c r="G24" s="291">
        <f>data!G87</f>
        <v>0</v>
      </c>
      <c r="H24" s="291">
        <f>data!H87</f>
        <v>0</v>
      </c>
      <c r="I24" s="291">
        <f>data!I87</f>
        <v>0</v>
      </c>
    </row>
    <row r="25" spans="1:9" customFormat="1" ht="20.149999999999999" customHeight="1" x14ac:dyDescent="0.35">
      <c r="A25" s="290">
        <v>20</v>
      </c>
      <c r="B25" s="299" t="s">
        <v>1012</v>
      </c>
      <c r="C25" s="291">
        <f>data!C88</f>
        <v>0</v>
      </c>
      <c r="D25" s="291">
        <f>data!D88</f>
        <v>0</v>
      </c>
      <c r="E25" s="291">
        <f>data!E88</f>
        <v>0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 x14ac:dyDescent="0.35">
      <c r="A26" s="290">
        <v>21</v>
      </c>
      <c r="B26" s="299" t="s">
        <v>1013</v>
      </c>
      <c r="C26" s="291">
        <f>data!C89</f>
        <v>0</v>
      </c>
      <c r="D26" s="291">
        <f>data!D89</f>
        <v>0</v>
      </c>
      <c r="E26" s="291">
        <f>data!E89</f>
        <v>1977160</v>
      </c>
      <c r="F26" s="291">
        <f>data!F89</f>
        <v>0</v>
      </c>
      <c r="G26" s="291">
        <f>data!G89</f>
        <v>0</v>
      </c>
      <c r="H26" s="291">
        <f>data!H89</f>
        <v>0</v>
      </c>
      <c r="I26" s="291">
        <f>data!I89</f>
        <v>0</v>
      </c>
    </row>
    <row r="27" spans="1:9" customFormat="1" ht="20.149999999999999" customHeight="1" x14ac:dyDescent="0.35">
      <c r="A27" s="290" t="s">
        <v>1014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49999999999999" customHeight="1" x14ac:dyDescent="0.35">
      <c r="A28" s="290">
        <v>22</v>
      </c>
      <c r="B28" s="291" t="s">
        <v>1015</v>
      </c>
      <c r="C28" s="291">
        <f>data!C90</f>
        <v>0</v>
      </c>
      <c r="D28" s="291">
        <f>data!D90</f>
        <v>0</v>
      </c>
      <c r="E28" s="291">
        <f>data!E90</f>
        <v>2450</v>
      </c>
      <c r="F28" s="291">
        <f>data!F90</f>
        <v>0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49999999999999" customHeight="1" x14ac:dyDescent="0.35">
      <c r="A29" s="290">
        <v>23</v>
      </c>
      <c r="B29" s="291" t="s">
        <v>1016</v>
      </c>
      <c r="C29" s="291">
        <f>data!C91</f>
        <v>0</v>
      </c>
      <c r="D29" s="291">
        <f>data!D91</f>
        <v>0</v>
      </c>
      <c r="E29" s="291">
        <f>data!E91</f>
        <v>3382</v>
      </c>
      <c r="F29" s="291">
        <f>data!F91</f>
        <v>0</v>
      </c>
      <c r="G29" s="291">
        <f>data!G91</f>
        <v>0</v>
      </c>
      <c r="H29" s="291">
        <f>data!H91</f>
        <v>0</v>
      </c>
      <c r="I29" s="291">
        <f>data!I91</f>
        <v>0</v>
      </c>
    </row>
    <row r="30" spans="1:9" customFormat="1" ht="20.149999999999999" customHeight="1" x14ac:dyDescent="0.35">
      <c r="A30" s="290">
        <v>24</v>
      </c>
      <c r="B30" s="291" t="s">
        <v>1017</v>
      </c>
      <c r="C30" s="291">
        <f>data!C92</f>
        <v>0</v>
      </c>
      <c r="D30" s="291">
        <f>data!D92</f>
        <v>0</v>
      </c>
      <c r="E30" s="291">
        <f>data!E92</f>
        <v>904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49999999999999" customHeight="1" x14ac:dyDescent="0.35">
      <c r="A31" s="290">
        <v>25</v>
      </c>
      <c r="B31" s="291" t="s">
        <v>1018</v>
      </c>
      <c r="C31" s="291">
        <f>data!C93</f>
        <v>0</v>
      </c>
      <c r="D31" s="291">
        <f>data!D93</f>
        <v>0</v>
      </c>
      <c r="E31" s="291">
        <f>data!E93</f>
        <v>15804</v>
      </c>
      <c r="F31" s="291">
        <f>data!F93</f>
        <v>0</v>
      </c>
      <c r="G31" s="291">
        <f>data!G93</f>
        <v>0</v>
      </c>
      <c r="H31" s="291">
        <f>data!H93</f>
        <v>0</v>
      </c>
      <c r="I31" s="291">
        <f>data!I93</f>
        <v>0</v>
      </c>
    </row>
    <row r="32" spans="1:9" customFormat="1" ht="20.149999999999999" customHeight="1" x14ac:dyDescent="0.35">
      <c r="A32" s="290">
        <v>26</v>
      </c>
      <c r="B32" s="291" t="s">
        <v>294</v>
      </c>
      <c r="C32" s="298">
        <f>data!C94</f>
        <v>0</v>
      </c>
      <c r="D32" s="298">
        <f>data!D94</f>
        <v>0</v>
      </c>
      <c r="E32" s="298">
        <f>data!E94</f>
        <v>7.68</v>
      </c>
      <c r="F32" s="298">
        <f>data!F94</f>
        <v>0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49999999999999" customHeight="1" x14ac:dyDescent="0.35">
      <c r="A33" s="284" t="s">
        <v>1000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49999999999999" customHeight="1" x14ac:dyDescent="0.35">
      <c r="A34" s="286"/>
      <c r="I34" s="287" t="s">
        <v>1019</v>
      </c>
    </row>
    <row r="35" spans="1:9" customFormat="1" ht="20.149999999999999" customHeight="1" x14ac:dyDescent="0.35">
      <c r="A35" s="286"/>
      <c r="I35" s="286"/>
    </row>
    <row r="36" spans="1:9" customFormat="1" ht="20.149999999999999" customHeight="1" x14ac:dyDescent="0.35">
      <c r="A36" s="288" t="str">
        <f>"Hospital: "&amp;data!C98</f>
        <v>Hospital: NORTH VALLEY HOSPITAL OCPHD#4</v>
      </c>
      <c r="G36" s="289"/>
      <c r="H36" s="288" t="str">
        <f>"FYE: "&amp;data!C96</f>
        <v>FYE: 12/31/2023</v>
      </c>
    </row>
    <row r="37" spans="1:9" customFormat="1" ht="20.149999999999999" customHeight="1" x14ac:dyDescent="0.35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49999999999999" customHeight="1" x14ac:dyDescent="0.35">
      <c r="A38" s="294">
        <v>2</v>
      </c>
      <c r="B38" s="295" t="s">
        <v>1002</v>
      </c>
      <c r="C38" s="297"/>
      <c r="D38" s="297" t="s">
        <v>126</v>
      </c>
      <c r="E38" s="297" t="s">
        <v>127</v>
      </c>
      <c r="F38" s="297" t="s">
        <v>1020</v>
      </c>
      <c r="G38" s="297" t="s">
        <v>129</v>
      </c>
      <c r="H38" s="297" t="s">
        <v>1021</v>
      </c>
      <c r="I38" s="297" t="s">
        <v>131</v>
      </c>
    </row>
    <row r="39" spans="1:9" customFormat="1" ht="20.149999999999999" customHeight="1" x14ac:dyDescent="0.35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49999999999999" customHeight="1" x14ac:dyDescent="0.35">
      <c r="A40" s="290">
        <v>3</v>
      </c>
      <c r="B40" s="291" t="s">
        <v>1006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49999999999999" customHeight="1" x14ac:dyDescent="0.35">
      <c r="A41" s="290">
        <v>4</v>
      </c>
      <c r="B41" s="291" t="s">
        <v>261</v>
      </c>
      <c r="C41" s="291">
        <f>data!J59</f>
        <v>0</v>
      </c>
      <c r="D41" s="291">
        <f>data!K59</f>
        <v>12951</v>
      </c>
      <c r="E41" s="291">
        <f>data!L59</f>
        <v>1566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6031</v>
      </c>
    </row>
    <row r="42" spans="1:9" customFormat="1" ht="20.149999999999999" customHeight="1" x14ac:dyDescent="0.35">
      <c r="A42" s="290">
        <v>5</v>
      </c>
      <c r="B42" s="291" t="s">
        <v>262</v>
      </c>
      <c r="C42" s="298">
        <f>data!J60</f>
        <v>0</v>
      </c>
      <c r="D42" s="298">
        <f>data!K60</f>
        <v>27.48</v>
      </c>
      <c r="E42" s="298">
        <f>data!L60</f>
        <v>13.02</v>
      </c>
      <c r="F42" s="298">
        <f>data!M60</f>
        <v>0</v>
      </c>
      <c r="G42" s="298">
        <f>data!N60</f>
        <v>0</v>
      </c>
      <c r="H42" s="298">
        <f>data!O60</f>
        <v>0</v>
      </c>
      <c r="I42" s="298">
        <f>data!P60</f>
        <v>3.32</v>
      </c>
    </row>
    <row r="43" spans="1:9" customFormat="1" ht="20.149999999999999" customHeight="1" x14ac:dyDescent="0.35">
      <c r="A43" s="290">
        <v>6</v>
      </c>
      <c r="B43" s="291" t="s">
        <v>263</v>
      </c>
      <c r="C43" s="291">
        <f>data!J61</f>
        <v>0</v>
      </c>
      <c r="D43" s="291">
        <f>data!K61</f>
        <v>2067373</v>
      </c>
      <c r="E43" s="291">
        <f>data!L61</f>
        <v>1050586</v>
      </c>
      <c r="F43" s="291">
        <f>data!M61</f>
        <v>0</v>
      </c>
      <c r="G43" s="291">
        <f>data!N61</f>
        <v>0</v>
      </c>
      <c r="H43" s="291">
        <f>data!O61</f>
        <v>0</v>
      </c>
      <c r="I43" s="291">
        <f>data!P61</f>
        <v>582796</v>
      </c>
    </row>
    <row r="44" spans="1:9" customFormat="1" ht="20.149999999999999" customHeight="1" x14ac:dyDescent="0.35">
      <c r="A44" s="290">
        <v>7</v>
      </c>
      <c r="B44" s="291" t="s">
        <v>11</v>
      </c>
      <c r="C44" s="291">
        <f>data!J62</f>
        <v>0</v>
      </c>
      <c r="D44" s="291">
        <f>data!K62</f>
        <v>460552</v>
      </c>
      <c r="E44" s="291">
        <f>data!L62</f>
        <v>234041</v>
      </c>
      <c r="F44" s="291">
        <f>data!M62</f>
        <v>0</v>
      </c>
      <c r="G44" s="291">
        <f>data!N62</f>
        <v>0</v>
      </c>
      <c r="H44" s="291">
        <f>data!O62</f>
        <v>0</v>
      </c>
      <c r="I44" s="291">
        <f>data!P62</f>
        <v>129830</v>
      </c>
    </row>
    <row r="45" spans="1:9" customFormat="1" ht="20.149999999999999" customHeight="1" x14ac:dyDescent="0.35">
      <c r="A45" s="290">
        <v>8</v>
      </c>
      <c r="B45" s="291" t="s">
        <v>264</v>
      </c>
      <c r="C45" s="291">
        <f>data!J63</f>
        <v>0</v>
      </c>
      <c r="D45" s="291">
        <f>data!K63</f>
        <v>29715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0</v>
      </c>
      <c r="I45" s="291">
        <f>data!P63</f>
        <v>0</v>
      </c>
    </row>
    <row r="46" spans="1:9" customFormat="1" ht="20.149999999999999" customHeight="1" x14ac:dyDescent="0.35">
      <c r="A46" s="290">
        <v>9</v>
      </c>
      <c r="B46" s="291" t="s">
        <v>265</v>
      </c>
      <c r="C46" s="291">
        <f>data!J64</f>
        <v>0</v>
      </c>
      <c r="D46" s="291">
        <f>data!K64</f>
        <v>128675</v>
      </c>
      <c r="E46" s="291">
        <f>data!L64</f>
        <v>32949</v>
      </c>
      <c r="F46" s="291">
        <f>data!M64</f>
        <v>0</v>
      </c>
      <c r="G46" s="291">
        <f>data!N64</f>
        <v>0</v>
      </c>
      <c r="H46" s="291">
        <f>data!O64</f>
        <v>0</v>
      </c>
      <c r="I46" s="291">
        <f>data!P64</f>
        <v>16349</v>
      </c>
    </row>
    <row r="47" spans="1:9" customFormat="1" ht="20.149999999999999" customHeight="1" x14ac:dyDescent="0.35">
      <c r="A47" s="290">
        <v>10</v>
      </c>
      <c r="B47" s="291" t="s">
        <v>525</v>
      </c>
      <c r="C47" s="291">
        <f>data!J65</f>
        <v>0</v>
      </c>
      <c r="D47" s="291">
        <f>data!K65</f>
        <v>30763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49999999999999" customHeight="1" x14ac:dyDescent="0.35">
      <c r="A48" s="290">
        <v>11</v>
      </c>
      <c r="B48" s="291" t="s">
        <v>526</v>
      </c>
      <c r="C48" s="291">
        <f>data!J66</f>
        <v>0</v>
      </c>
      <c r="D48" s="291">
        <f>data!K66</f>
        <v>613230</v>
      </c>
      <c r="E48" s="291">
        <f>data!L66</f>
        <v>661916</v>
      </c>
      <c r="F48" s="291">
        <f>data!M66</f>
        <v>0</v>
      </c>
      <c r="G48" s="291">
        <f>data!N66</f>
        <v>0</v>
      </c>
      <c r="H48" s="291">
        <f>data!O66</f>
        <v>0</v>
      </c>
      <c r="I48" s="291">
        <f>data!P66</f>
        <v>20447</v>
      </c>
    </row>
    <row r="49" spans="1:11" customFormat="1" ht="20.149999999999999" customHeight="1" x14ac:dyDescent="0.35">
      <c r="A49" s="290">
        <v>12</v>
      </c>
      <c r="B49" s="291" t="s">
        <v>16</v>
      </c>
      <c r="C49" s="291">
        <f>data!J67</f>
        <v>0</v>
      </c>
      <c r="D49" s="291">
        <f>data!K67</f>
        <v>239944</v>
      </c>
      <c r="E49" s="291">
        <f>data!L67</f>
        <v>56046</v>
      </c>
      <c r="F49" s="291">
        <f>data!M67</f>
        <v>0</v>
      </c>
      <c r="G49" s="291">
        <f>data!N67</f>
        <v>0</v>
      </c>
      <c r="H49" s="291">
        <f>data!O67</f>
        <v>0</v>
      </c>
      <c r="I49" s="291">
        <f>data!P67</f>
        <v>38541</v>
      </c>
    </row>
    <row r="50" spans="1:11" customFormat="1" ht="20.149999999999999" customHeight="1" x14ac:dyDescent="0.35">
      <c r="A50" s="290">
        <v>13</v>
      </c>
      <c r="B50" s="291" t="s">
        <v>1007</v>
      </c>
      <c r="C50" s="291">
        <f>data!J68</f>
        <v>0</v>
      </c>
      <c r="D50" s="291">
        <f>data!K68</f>
        <v>0</v>
      </c>
      <c r="E50" s="291">
        <f>data!L68</f>
        <v>11688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0</v>
      </c>
    </row>
    <row r="51" spans="1:11" customFormat="1" ht="20.149999999999999" customHeight="1" x14ac:dyDescent="0.35">
      <c r="A51" s="290">
        <v>14</v>
      </c>
      <c r="B51" s="291" t="s">
        <v>1008</v>
      </c>
      <c r="C51" s="291">
        <f>data!J69</f>
        <v>0</v>
      </c>
      <c r="D51" s="291">
        <f>data!K69</f>
        <v>34743</v>
      </c>
      <c r="E51" s="291">
        <f>data!L69</f>
        <v>29246</v>
      </c>
      <c r="F51" s="291">
        <f>data!M69</f>
        <v>0</v>
      </c>
      <c r="G51" s="291">
        <f>data!N69</f>
        <v>0</v>
      </c>
      <c r="H51" s="291">
        <f>data!O69</f>
        <v>0</v>
      </c>
      <c r="I51" s="291">
        <f>data!P69</f>
        <v>24818</v>
      </c>
    </row>
    <row r="52" spans="1:11" customFormat="1" ht="20.149999999999999" customHeight="1" x14ac:dyDescent="0.35">
      <c r="A52" s="290">
        <v>15</v>
      </c>
      <c r="B52" s="291" t="s">
        <v>284</v>
      </c>
      <c r="C52" s="291">
        <f>-data!J84</f>
        <v>0</v>
      </c>
      <c r="D52" s="291">
        <f>-data!K84</f>
        <v>-17465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0</v>
      </c>
      <c r="I52" s="291">
        <f>-data!P84</f>
        <v>0</v>
      </c>
    </row>
    <row r="53" spans="1:11" customFormat="1" ht="20.149999999999999" customHeight="1" x14ac:dyDescent="0.35">
      <c r="A53" s="290">
        <v>16</v>
      </c>
      <c r="B53" s="299" t="s">
        <v>1009</v>
      </c>
      <c r="C53" s="291">
        <f>data!J85</f>
        <v>0</v>
      </c>
      <c r="D53" s="291">
        <f>data!K85</f>
        <v>3587530</v>
      </c>
      <c r="E53" s="291">
        <f>data!L85</f>
        <v>2076472</v>
      </c>
      <c r="F53" s="291">
        <f>data!M85</f>
        <v>0</v>
      </c>
      <c r="G53" s="291">
        <f>data!N85</f>
        <v>0</v>
      </c>
      <c r="H53" s="291">
        <f>data!O85</f>
        <v>0</v>
      </c>
      <c r="I53" s="291">
        <f>data!P85</f>
        <v>812781</v>
      </c>
    </row>
    <row r="54" spans="1:11" customFormat="1" ht="20.149999999999999" customHeight="1" x14ac:dyDescent="0.35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49999999999999" customHeight="1" x14ac:dyDescent="0.35">
      <c r="A55" s="290">
        <v>18</v>
      </c>
      <c r="B55" s="291" t="s">
        <v>1010</v>
      </c>
      <c r="C55" s="299">
        <f>+data!M675</f>
        <v>0</v>
      </c>
      <c r="D55" s="299">
        <f>+data!M676</f>
        <v>2444880</v>
      </c>
      <c r="E55" s="299">
        <f>+data!M677</f>
        <v>995854</v>
      </c>
      <c r="F55" s="299">
        <f>+data!M678</f>
        <v>0</v>
      </c>
      <c r="G55" s="299">
        <f>+data!M679</f>
        <v>0</v>
      </c>
      <c r="H55" s="299">
        <f>+data!M680</f>
        <v>0</v>
      </c>
      <c r="I55" s="299">
        <f>+data!M681</f>
        <v>322854</v>
      </c>
    </row>
    <row r="56" spans="1:11" customFormat="1" ht="20.149999999999999" customHeight="1" x14ac:dyDescent="0.35">
      <c r="A56" s="290">
        <v>19</v>
      </c>
      <c r="B56" s="299" t="s">
        <v>1011</v>
      </c>
      <c r="C56" s="291">
        <f>data!J87</f>
        <v>0</v>
      </c>
      <c r="D56" s="291">
        <f>data!K87</f>
        <v>4477156</v>
      </c>
      <c r="E56" s="291">
        <f>data!L87</f>
        <v>2327274</v>
      </c>
      <c r="F56" s="291">
        <f>data!M87</f>
        <v>0</v>
      </c>
      <c r="G56" s="291">
        <f>data!N87</f>
        <v>0</v>
      </c>
      <c r="H56" s="291">
        <f>data!O87</f>
        <v>0</v>
      </c>
      <c r="I56" s="291">
        <f>data!P87</f>
        <v>15547</v>
      </c>
    </row>
    <row r="57" spans="1:11" customFormat="1" ht="20.149999999999999" customHeight="1" x14ac:dyDescent="0.35">
      <c r="A57" s="290">
        <v>20</v>
      </c>
      <c r="B57" s="299" t="s">
        <v>1012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0</v>
      </c>
      <c r="I57" s="291">
        <f>data!P88</f>
        <v>1096354</v>
      </c>
    </row>
    <row r="58" spans="1:11" customFormat="1" ht="20.149999999999999" customHeight="1" x14ac:dyDescent="0.35">
      <c r="A58" s="290">
        <v>21</v>
      </c>
      <c r="B58" s="299" t="s">
        <v>1013</v>
      </c>
      <c r="C58" s="291">
        <f>data!J89</f>
        <v>0</v>
      </c>
      <c r="D58" s="291">
        <f>data!K89</f>
        <v>4477156</v>
      </c>
      <c r="E58" s="291">
        <f>data!L89</f>
        <v>2327274</v>
      </c>
      <c r="F58" s="291">
        <f>data!M89</f>
        <v>0</v>
      </c>
      <c r="G58" s="291">
        <f>data!N89</f>
        <v>0</v>
      </c>
      <c r="H58" s="291">
        <f>data!O89</f>
        <v>0</v>
      </c>
      <c r="I58" s="291">
        <f>data!P89</f>
        <v>1111901</v>
      </c>
    </row>
    <row r="59" spans="1:11" customFormat="1" ht="20.149999999999999" customHeight="1" x14ac:dyDescent="0.35">
      <c r="A59" s="290" t="s">
        <v>1014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49999999999999" customHeight="1" x14ac:dyDescent="0.35">
      <c r="A60" s="290">
        <v>22</v>
      </c>
      <c r="B60" s="291" t="s">
        <v>1015</v>
      </c>
      <c r="C60" s="291">
        <f>data!J90</f>
        <v>0</v>
      </c>
      <c r="D60" s="291">
        <f>data!K90</f>
        <v>16915</v>
      </c>
      <c r="E60" s="291">
        <f>data!L90</f>
        <v>3951</v>
      </c>
      <c r="F60" s="291">
        <f>data!M90</f>
        <v>0</v>
      </c>
      <c r="G60" s="291">
        <f>data!N90</f>
        <v>0</v>
      </c>
      <c r="H60" s="291">
        <f>data!O90</f>
        <v>0</v>
      </c>
      <c r="I60" s="291">
        <f>data!P90</f>
        <v>2717</v>
      </c>
      <c r="K60" s="302"/>
    </row>
    <row r="61" spans="1:11" customFormat="1" ht="20.149999999999999" customHeight="1" x14ac:dyDescent="0.35">
      <c r="A61" s="290">
        <v>23</v>
      </c>
      <c r="B61" s="291" t="s">
        <v>1016</v>
      </c>
      <c r="C61" s="291">
        <f>data!J91</f>
        <v>0</v>
      </c>
      <c r="D61" s="291">
        <f>data!K91</f>
        <v>36593</v>
      </c>
      <c r="E61" s="291">
        <f>data!L91</f>
        <v>4050</v>
      </c>
      <c r="F61" s="291">
        <f>data!M91</f>
        <v>0</v>
      </c>
      <c r="G61" s="291">
        <f>data!N91</f>
        <v>0</v>
      </c>
      <c r="H61" s="291">
        <f>data!O91</f>
        <v>0</v>
      </c>
      <c r="I61" s="291">
        <f>data!P91</f>
        <v>0</v>
      </c>
    </row>
    <row r="62" spans="1:11" customFormat="1" ht="20.149999999999999" customHeight="1" x14ac:dyDescent="0.35">
      <c r="A62" s="290">
        <v>24</v>
      </c>
      <c r="B62" s="291" t="s">
        <v>1017</v>
      </c>
      <c r="C62" s="291">
        <f>data!J92</f>
        <v>0</v>
      </c>
      <c r="D62" s="291">
        <f>data!K92</f>
        <v>0</v>
      </c>
      <c r="E62" s="291">
        <f>data!L92</f>
        <v>1458</v>
      </c>
      <c r="F62" s="291">
        <f>data!M92</f>
        <v>0</v>
      </c>
      <c r="G62" s="291">
        <f>data!N92</f>
        <v>0</v>
      </c>
      <c r="H62" s="291">
        <f>data!O92</f>
        <v>0</v>
      </c>
      <c r="I62" s="291">
        <f>data!P92</f>
        <v>299</v>
      </c>
    </row>
    <row r="63" spans="1:11" customFormat="1" ht="20.149999999999999" customHeight="1" x14ac:dyDescent="0.35">
      <c r="A63" s="290">
        <v>25</v>
      </c>
      <c r="B63" s="291" t="s">
        <v>1018</v>
      </c>
      <c r="C63" s="291">
        <f>data!J93</f>
        <v>0</v>
      </c>
      <c r="D63" s="291">
        <f>data!K93</f>
        <v>145131</v>
      </c>
      <c r="E63" s="291">
        <f>data!L93</f>
        <v>25488</v>
      </c>
      <c r="F63" s="291">
        <f>data!M93</f>
        <v>0</v>
      </c>
      <c r="G63" s="291">
        <f>data!N93</f>
        <v>0</v>
      </c>
      <c r="H63" s="291">
        <f>data!O93</f>
        <v>0</v>
      </c>
      <c r="I63" s="291">
        <f>data!P93</f>
        <v>3731</v>
      </c>
    </row>
    <row r="64" spans="1:11" customFormat="1" ht="20.149999999999999" customHeight="1" x14ac:dyDescent="0.35">
      <c r="A64" s="290">
        <v>26</v>
      </c>
      <c r="B64" s="291" t="s">
        <v>294</v>
      </c>
      <c r="C64" s="298">
        <f>data!J94</f>
        <v>0</v>
      </c>
      <c r="D64" s="298">
        <f>data!K94</f>
        <v>23.55</v>
      </c>
      <c r="E64" s="298">
        <f>data!L94</f>
        <v>12.39</v>
      </c>
      <c r="F64" s="298">
        <f>data!M94</f>
        <v>0</v>
      </c>
      <c r="G64" s="298">
        <f>data!N94</f>
        <v>0</v>
      </c>
      <c r="H64" s="298">
        <f>data!O94</f>
        <v>0</v>
      </c>
      <c r="I64" s="298">
        <f>data!P94</f>
        <v>2.38</v>
      </c>
    </row>
    <row r="65" spans="1:9" customFormat="1" ht="20.149999999999999" customHeight="1" x14ac:dyDescent="0.35">
      <c r="A65" s="284" t="s">
        <v>1000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49999999999999" customHeight="1" x14ac:dyDescent="0.35">
      <c r="D66" s="286"/>
      <c r="I66" s="287" t="s">
        <v>1022</v>
      </c>
    </row>
    <row r="67" spans="1:9" customFormat="1" ht="20.149999999999999" customHeight="1" x14ac:dyDescent="0.35">
      <c r="A67" s="286"/>
    </row>
    <row r="68" spans="1:9" customFormat="1" ht="20.149999999999999" customHeight="1" x14ac:dyDescent="0.35">
      <c r="A68" s="288" t="str">
        <f>"Hospital: "&amp;data!C98</f>
        <v>Hospital: NORTH VALLEY HOSPITAL OCPHD#4</v>
      </c>
      <c r="G68" s="289"/>
      <c r="H68" s="288" t="str">
        <f>"FYE: "&amp;data!C96</f>
        <v>FYE: 12/31/2023</v>
      </c>
    </row>
    <row r="69" spans="1:9" customFormat="1" ht="20.149999999999999" customHeight="1" x14ac:dyDescent="0.35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49999999999999" customHeight="1" x14ac:dyDescent="0.35">
      <c r="A70" s="294">
        <v>2</v>
      </c>
      <c r="B70" s="295" t="s">
        <v>1002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49999999999999" customHeight="1" x14ac:dyDescent="0.35">
      <c r="A71" s="294"/>
      <c r="B71" s="295"/>
      <c r="C71" s="297" t="s">
        <v>198</v>
      </c>
      <c r="D71" s="297" t="s">
        <v>1023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49999999999999" customHeight="1" x14ac:dyDescent="0.35">
      <c r="A72" s="290">
        <v>3</v>
      </c>
      <c r="B72" s="291" t="s">
        <v>1006</v>
      </c>
      <c r="C72" s="293" t="s">
        <v>1024</v>
      </c>
      <c r="D72" s="292" t="s">
        <v>1025</v>
      </c>
      <c r="E72" s="303"/>
      <c r="F72" s="303"/>
      <c r="G72" s="292" t="s">
        <v>1026</v>
      </c>
      <c r="H72" s="292" t="s">
        <v>1026</v>
      </c>
      <c r="I72" s="293" t="s">
        <v>250</v>
      </c>
    </row>
    <row r="73" spans="1:9" customFormat="1" ht="20.149999999999999" customHeight="1" x14ac:dyDescent="0.35">
      <c r="A73" s="290">
        <v>4</v>
      </c>
      <c r="B73" s="291" t="s">
        <v>261</v>
      </c>
      <c r="C73" s="291">
        <f>data!Q59</f>
        <v>1721.34</v>
      </c>
      <c r="D73" s="299">
        <f>data!R59</f>
        <v>1169</v>
      </c>
      <c r="E73" s="303"/>
      <c r="F73" s="303"/>
      <c r="G73" s="291">
        <f>data!U59</f>
        <v>42988</v>
      </c>
      <c r="H73" s="291">
        <f>data!V59</f>
        <v>2814</v>
      </c>
      <c r="I73" s="291">
        <f>data!W59</f>
        <v>506</v>
      </c>
    </row>
    <row r="74" spans="1:9" customFormat="1" ht="20.149999999999999" customHeight="1" x14ac:dyDescent="0.35">
      <c r="A74" s="290">
        <v>5</v>
      </c>
      <c r="B74" s="291" t="s">
        <v>262</v>
      </c>
      <c r="C74" s="298">
        <f>data!Q60</f>
        <v>0.08</v>
      </c>
      <c r="D74" s="298">
        <f>data!R60</f>
        <v>0.19</v>
      </c>
      <c r="E74" s="298">
        <f>data!S60</f>
        <v>1.1299999999999999</v>
      </c>
      <c r="F74" s="298">
        <f>data!T60</f>
        <v>0</v>
      </c>
      <c r="G74" s="298">
        <f>data!U60</f>
        <v>6.81</v>
      </c>
      <c r="H74" s="298">
        <f>data!V60</f>
        <v>0</v>
      </c>
      <c r="I74" s="298">
        <f>data!W60</f>
        <v>0.3</v>
      </c>
    </row>
    <row r="75" spans="1:9" customFormat="1" ht="20.149999999999999" customHeight="1" x14ac:dyDescent="0.35">
      <c r="A75" s="290">
        <v>6</v>
      </c>
      <c r="B75" s="291" t="s">
        <v>263</v>
      </c>
      <c r="C75" s="291">
        <f>data!Q61</f>
        <v>9326</v>
      </c>
      <c r="D75" s="291">
        <f>data!R61</f>
        <v>74972</v>
      </c>
      <c r="E75" s="291">
        <f>data!S61</f>
        <v>43005</v>
      </c>
      <c r="F75" s="291">
        <f>data!T61</f>
        <v>0</v>
      </c>
      <c r="G75" s="291">
        <f>data!U61</f>
        <v>504149</v>
      </c>
      <c r="H75" s="291">
        <f>data!V61</f>
        <v>0</v>
      </c>
      <c r="I75" s="291">
        <f>data!W61</f>
        <v>35128</v>
      </c>
    </row>
    <row r="76" spans="1:9" customFormat="1" ht="20.149999999999999" customHeight="1" x14ac:dyDescent="0.35">
      <c r="A76" s="290">
        <v>7</v>
      </c>
      <c r="B76" s="291" t="s">
        <v>11</v>
      </c>
      <c r="C76" s="291">
        <f>data!Q62</f>
        <v>2078</v>
      </c>
      <c r="D76" s="291">
        <f>data!R62</f>
        <v>16702</v>
      </c>
      <c r="E76" s="291">
        <f>data!S62</f>
        <v>9580</v>
      </c>
      <c r="F76" s="291">
        <f>data!T62</f>
        <v>0</v>
      </c>
      <c r="G76" s="291">
        <f>data!U62</f>
        <v>112310</v>
      </c>
      <c r="H76" s="291">
        <f>data!V62</f>
        <v>0</v>
      </c>
      <c r="I76" s="291">
        <f>data!W62</f>
        <v>7826</v>
      </c>
    </row>
    <row r="77" spans="1:9" customFormat="1" ht="20.149999999999999" customHeight="1" x14ac:dyDescent="0.35">
      <c r="A77" s="290">
        <v>8</v>
      </c>
      <c r="B77" s="291" t="s">
        <v>264</v>
      </c>
      <c r="C77" s="291">
        <f>data!Q63</f>
        <v>0</v>
      </c>
      <c r="D77" s="291">
        <f>data!R63</f>
        <v>0</v>
      </c>
      <c r="E77" s="291">
        <f>data!S63</f>
        <v>0</v>
      </c>
      <c r="F77" s="291">
        <f>data!T63</f>
        <v>0</v>
      </c>
      <c r="G77" s="291">
        <f>data!U63</f>
        <v>3280</v>
      </c>
      <c r="H77" s="291">
        <f>data!V63</f>
        <v>0</v>
      </c>
      <c r="I77" s="291">
        <f>data!W63</f>
        <v>0</v>
      </c>
    </row>
    <row r="78" spans="1:9" customFormat="1" ht="20.149999999999999" customHeight="1" x14ac:dyDescent="0.35">
      <c r="A78" s="290">
        <v>9</v>
      </c>
      <c r="B78" s="291" t="s">
        <v>265</v>
      </c>
      <c r="C78" s="291">
        <f>data!Q64</f>
        <v>0</v>
      </c>
      <c r="D78" s="291">
        <f>data!R64</f>
        <v>455</v>
      </c>
      <c r="E78" s="291">
        <f>data!S64</f>
        <v>0</v>
      </c>
      <c r="F78" s="291">
        <f>data!T64</f>
        <v>0</v>
      </c>
      <c r="G78" s="291">
        <f>data!U64</f>
        <v>582434</v>
      </c>
      <c r="H78" s="291">
        <f>data!V64</f>
        <v>0</v>
      </c>
      <c r="I78" s="291">
        <f>data!W64</f>
        <v>377</v>
      </c>
    </row>
    <row r="79" spans="1:9" customFormat="1" ht="20.149999999999999" customHeight="1" x14ac:dyDescent="0.35">
      <c r="A79" s="290">
        <v>10</v>
      </c>
      <c r="B79" s="291" t="s">
        <v>525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0</v>
      </c>
      <c r="H79" s="291">
        <f>data!V65</f>
        <v>0</v>
      </c>
      <c r="I79" s="291">
        <f>data!W65</f>
        <v>0</v>
      </c>
    </row>
    <row r="80" spans="1:9" customFormat="1" ht="20.149999999999999" customHeight="1" x14ac:dyDescent="0.35">
      <c r="A80" s="290">
        <v>11</v>
      </c>
      <c r="B80" s="291" t="s">
        <v>526</v>
      </c>
      <c r="C80" s="291">
        <f>data!Q66</f>
        <v>130</v>
      </c>
      <c r="D80" s="291">
        <f>data!R66</f>
        <v>1087</v>
      </c>
      <c r="E80" s="291">
        <f>data!S66</f>
        <v>0</v>
      </c>
      <c r="F80" s="291">
        <f>data!T66</f>
        <v>0</v>
      </c>
      <c r="G80" s="291">
        <f>data!U66</f>
        <v>191621</v>
      </c>
      <c r="H80" s="291">
        <f>data!V66</f>
        <v>0</v>
      </c>
      <c r="I80" s="291">
        <f>data!W66</f>
        <v>66022</v>
      </c>
    </row>
    <row r="81" spans="1:9" customFormat="1" ht="20.149999999999999" customHeight="1" x14ac:dyDescent="0.35">
      <c r="A81" s="290">
        <v>12</v>
      </c>
      <c r="B81" s="291" t="s">
        <v>16</v>
      </c>
      <c r="C81" s="291">
        <f>data!Q67</f>
        <v>10157</v>
      </c>
      <c r="D81" s="291">
        <f>data!R67</f>
        <v>8837</v>
      </c>
      <c r="E81" s="291">
        <f>data!S67</f>
        <v>11121</v>
      </c>
      <c r="F81" s="291">
        <f>data!T67</f>
        <v>0</v>
      </c>
      <c r="G81" s="291">
        <f>data!U67</f>
        <v>30427</v>
      </c>
      <c r="H81" s="291">
        <f>data!V67</f>
        <v>0</v>
      </c>
      <c r="I81" s="291">
        <f>data!W67</f>
        <v>2738</v>
      </c>
    </row>
    <row r="82" spans="1:9" customFormat="1" ht="20.149999999999999" customHeight="1" x14ac:dyDescent="0.35">
      <c r="A82" s="290">
        <v>13</v>
      </c>
      <c r="B82" s="291" t="s">
        <v>1007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0</v>
      </c>
      <c r="G82" s="291">
        <f>data!U68</f>
        <v>0</v>
      </c>
      <c r="H82" s="291">
        <f>data!V68</f>
        <v>0</v>
      </c>
      <c r="I82" s="291">
        <f>data!W68</f>
        <v>10526</v>
      </c>
    </row>
    <row r="83" spans="1:9" customFormat="1" ht="20.149999999999999" customHeight="1" x14ac:dyDescent="0.35">
      <c r="A83" s="290">
        <v>14</v>
      </c>
      <c r="B83" s="291" t="s">
        <v>1008</v>
      </c>
      <c r="C83" s="291">
        <f>data!Q69</f>
        <v>0</v>
      </c>
      <c r="D83" s="291">
        <f>data!R69</f>
        <v>5937</v>
      </c>
      <c r="E83" s="291">
        <f>data!S69</f>
        <v>0</v>
      </c>
      <c r="F83" s="291">
        <f>data!T69</f>
        <v>0</v>
      </c>
      <c r="G83" s="291">
        <f>data!U69</f>
        <v>61324</v>
      </c>
      <c r="H83" s="291">
        <f>data!V69</f>
        <v>0</v>
      </c>
      <c r="I83" s="291">
        <f>data!W69</f>
        <v>7904</v>
      </c>
    </row>
    <row r="84" spans="1:9" customFormat="1" ht="20.149999999999999" customHeight="1" x14ac:dyDescent="0.35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0</v>
      </c>
      <c r="H84" s="291">
        <f>-data!V84</f>
        <v>0</v>
      </c>
      <c r="I84" s="291">
        <f>-data!W84</f>
        <v>0</v>
      </c>
    </row>
    <row r="85" spans="1:9" customFormat="1" ht="20.149999999999999" customHeight="1" x14ac:dyDescent="0.35">
      <c r="A85" s="290">
        <v>16</v>
      </c>
      <c r="B85" s="299" t="s">
        <v>1009</v>
      </c>
      <c r="C85" s="291">
        <f>data!Q85</f>
        <v>21691</v>
      </c>
      <c r="D85" s="291">
        <f>data!R85</f>
        <v>107990</v>
      </c>
      <c r="E85" s="291">
        <f>data!S85</f>
        <v>63706</v>
      </c>
      <c r="F85" s="291">
        <f>data!T85</f>
        <v>0</v>
      </c>
      <c r="G85" s="291">
        <f>data!U85</f>
        <v>1485545</v>
      </c>
      <c r="H85" s="291">
        <f>data!V85</f>
        <v>0</v>
      </c>
      <c r="I85" s="291">
        <f>data!W85</f>
        <v>130521</v>
      </c>
    </row>
    <row r="86" spans="1:9" customFormat="1" ht="20.149999999999999" customHeight="1" x14ac:dyDescent="0.35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49999999999999" customHeight="1" x14ac:dyDescent="0.35">
      <c r="A87" s="290">
        <v>18</v>
      </c>
      <c r="B87" s="291" t="s">
        <v>1010</v>
      </c>
      <c r="C87" s="299">
        <f>+data!M682</f>
        <v>28827</v>
      </c>
      <c r="D87" s="299">
        <f>+data!M683</f>
        <v>35656</v>
      </c>
      <c r="E87" s="299">
        <f>+data!M684</f>
        <v>105255</v>
      </c>
      <c r="F87" s="299">
        <f>+data!M685</f>
        <v>0</v>
      </c>
      <c r="G87" s="299">
        <f>+data!M686</f>
        <v>625745</v>
      </c>
      <c r="H87" s="299">
        <f>+data!M687</f>
        <v>19018</v>
      </c>
      <c r="I87" s="299">
        <f>+data!M688</f>
        <v>61965</v>
      </c>
    </row>
    <row r="88" spans="1:9" customFormat="1" ht="20.149999999999999" customHeight="1" x14ac:dyDescent="0.35">
      <c r="A88" s="290">
        <v>19</v>
      </c>
      <c r="B88" s="299" t="s">
        <v>1011</v>
      </c>
      <c r="C88" s="291">
        <f>data!Q87</f>
        <v>0</v>
      </c>
      <c r="D88" s="291">
        <f>data!R87</f>
        <v>0</v>
      </c>
      <c r="E88" s="291">
        <f>data!S87</f>
        <v>293748</v>
      </c>
      <c r="F88" s="291">
        <f>data!T87</f>
        <v>0</v>
      </c>
      <c r="G88" s="291">
        <f>data!U87</f>
        <v>474966</v>
      </c>
      <c r="H88" s="291">
        <f>data!V87</f>
        <v>9050</v>
      </c>
      <c r="I88" s="291">
        <f>data!W87</f>
        <v>15373</v>
      </c>
    </row>
    <row r="89" spans="1:9" customFormat="1" ht="20.149999999999999" customHeight="1" x14ac:dyDescent="0.35">
      <c r="A89" s="290">
        <v>20</v>
      </c>
      <c r="B89" s="299" t="s">
        <v>1012</v>
      </c>
      <c r="C89" s="291">
        <f>data!Q88</f>
        <v>32862</v>
      </c>
      <c r="D89" s="291">
        <f>data!R88</f>
        <v>103901</v>
      </c>
      <c r="E89" s="291">
        <f>data!S88</f>
        <v>638042</v>
      </c>
      <c r="F89" s="291">
        <f>data!T88</f>
        <v>0</v>
      </c>
      <c r="G89" s="291">
        <f>data!U88</f>
        <v>3362049</v>
      </c>
      <c r="H89" s="291">
        <f>data!V88</f>
        <v>260614</v>
      </c>
      <c r="I89" s="291">
        <f>data!W88</f>
        <v>509552</v>
      </c>
    </row>
    <row r="90" spans="1:9" customFormat="1" ht="20.149999999999999" customHeight="1" x14ac:dyDescent="0.35">
      <c r="A90" s="290">
        <v>21</v>
      </c>
      <c r="B90" s="299" t="s">
        <v>1013</v>
      </c>
      <c r="C90" s="291">
        <f>data!Q89</f>
        <v>32862</v>
      </c>
      <c r="D90" s="291">
        <f>data!R89</f>
        <v>103901</v>
      </c>
      <c r="E90" s="291">
        <f>data!S89</f>
        <v>931790</v>
      </c>
      <c r="F90" s="291">
        <f>data!T89</f>
        <v>0</v>
      </c>
      <c r="G90" s="291">
        <f>data!U89</f>
        <v>3837015</v>
      </c>
      <c r="H90" s="291">
        <f>data!V89</f>
        <v>269664</v>
      </c>
      <c r="I90" s="291">
        <f>data!W89</f>
        <v>524925</v>
      </c>
    </row>
    <row r="91" spans="1:9" customFormat="1" ht="20.149999999999999" customHeight="1" x14ac:dyDescent="0.35">
      <c r="A91" s="290" t="s">
        <v>1014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49999999999999" customHeight="1" x14ac:dyDescent="0.35">
      <c r="A92" s="290">
        <v>22</v>
      </c>
      <c r="B92" s="291" t="s">
        <v>1015</v>
      </c>
      <c r="C92" s="291">
        <f>data!Q90</f>
        <v>716</v>
      </c>
      <c r="D92" s="291">
        <f>data!R90</f>
        <v>623</v>
      </c>
      <c r="E92" s="291">
        <f>data!S90</f>
        <v>784</v>
      </c>
      <c r="F92" s="291">
        <f>data!T90</f>
        <v>0</v>
      </c>
      <c r="G92" s="291">
        <f>data!U90</f>
        <v>2145</v>
      </c>
      <c r="H92" s="291">
        <f>data!V90</f>
        <v>0</v>
      </c>
      <c r="I92" s="291">
        <f>data!W90</f>
        <v>193</v>
      </c>
    </row>
    <row r="93" spans="1:9" customFormat="1" ht="20.149999999999999" customHeight="1" x14ac:dyDescent="0.35">
      <c r="A93" s="290">
        <v>23</v>
      </c>
      <c r="B93" s="291" t="s">
        <v>1016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49999999999999" customHeight="1" x14ac:dyDescent="0.35">
      <c r="A94" s="290">
        <v>24</v>
      </c>
      <c r="B94" s="291" t="s">
        <v>1017</v>
      </c>
      <c r="C94" s="291">
        <f>data!Q92</f>
        <v>56</v>
      </c>
      <c r="D94" s="291">
        <f>data!R92</f>
        <v>0</v>
      </c>
      <c r="E94" s="291">
        <f>data!S92</f>
        <v>69</v>
      </c>
      <c r="F94" s="291">
        <f>data!T92</f>
        <v>0</v>
      </c>
      <c r="G94" s="291">
        <f>data!U92</f>
        <v>147</v>
      </c>
      <c r="H94" s="291">
        <f>data!V92</f>
        <v>0</v>
      </c>
      <c r="I94" s="291">
        <f>data!W92</f>
        <v>15</v>
      </c>
    </row>
    <row r="95" spans="1:9" customFormat="1" ht="20.149999999999999" customHeight="1" x14ac:dyDescent="0.35">
      <c r="A95" s="290">
        <v>25</v>
      </c>
      <c r="B95" s="291" t="s">
        <v>1018</v>
      </c>
      <c r="C95" s="291">
        <f>data!Q93</f>
        <v>0</v>
      </c>
      <c r="D95" s="291">
        <f>data!R93</f>
        <v>0</v>
      </c>
      <c r="E95" s="291">
        <f>data!S93</f>
        <v>0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596</v>
      </c>
    </row>
    <row r="96" spans="1:9" customFormat="1" ht="20.149999999999999" customHeight="1" x14ac:dyDescent="0.35">
      <c r="A96" s="290">
        <v>26</v>
      </c>
      <c r="B96" s="291" t="s">
        <v>294</v>
      </c>
      <c r="C96" s="298">
        <f>data!Q94</f>
        <v>0.08</v>
      </c>
      <c r="D96" s="298">
        <f>data!R94</f>
        <v>0</v>
      </c>
      <c r="E96" s="298">
        <f>data!S94</f>
        <v>0</v>
      </c>
      <c r="F96" s="298">
        <f>data!T94</f>
        <v>0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49999999999999" customHeight="1" x14ac:dyDescent="0.35">
      <c r="A97" s="284" t="s">
        <v>1000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49999999999999" customHeight="1" x14ac:dyDescent="0.35">
      <c r="D98" s="286"/>
      <c r="I98" s="287" t="s">
        <v>1027</v>
      </c>
    </row>
    <row r="99" spans="1:9" customFormat="1" ht="20.149999999999999" customHeight="1" x14ac:dyDescent="0.35">
      <c r="A99" s="286"/>
    </row>
    <row r="100" spans="1:9" customFormat="1" ht="20.149999999999999" customHeight="1" x14ac:dyDescent="0.35">
      <c r="A100" s="288" t="str">
        <f>"Hospital: "&amp;data!C98</f>
        <v>Hospital: NORTH VALLEY HOSPITAL OCPHD#4</v>
      </c>
      <c r="G100" s="289"/>
      <c r="H100" s="288" t="str">
        <f>"FYE: "&amp;data!C96</f>
        <v>FYE: 12/31/2023</v>
      </c>
    </row>
    <row r="101" spans="1:9" customFormat="1" ht="20.149999999999999" customHeight="1" x14ac:dyDescent="0.35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49999999999999" customHeight="1" x14ac:dyDescent="0.35">
      <c r="A102" s="294">
        <v>2</v>
      </c>
      <c r="B102" s="295" t="s">
        <v>1002</v>
      </c>
      <c r="C102" s="297" t="s">
        <v>1028</v>
      </c>
      <c r="D102" s="297" t="s">
        <v>1029</v>
      </c>
      <c r="E102" s="297" t="s">
        <v>1029</v>
      </c>
      <c r="F102" s="297" t="s">
        <v>141</v>
      </c>
      <c r="G102" s="297"/>
      <c r="H102" s="297" t="s">
        <v>143</v>
      </c>
      <c r="I102" s="297"/>
    </row>
    <row r="103" spans="1:9" customFormat="1" ht="20.149999999999999" customHeight="1" x14ac:dyDescent="0.35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49999999999999" customHeight="1" x14ac:dyDescent="0.35">
      <c r="A104" s="290">
        <v>3</v>
      </c>
      <c r="B104" s="291" t="s">
        <v>1006</v>
      </c>
      <c r="C104" s="292" t="s">
        <v>251</v>
      </c>
      <c r="D104" s="293" t="s">
        <v>1030</v>
      </c>
      <c r="E104" s="293" t="s">
        <v>1030</v>
      </c>
      <c r="F104" s="293" t="s">
        <v>1030</v>
      </c>
      <c r="G104" s="303"/>
      <c r="H104" s="293" t="s">
        <v>253</v>
      </c>
      <c r="I104" s="293" t="s">
        <v>254</v>
      </c>
    </row>
    <row r="105" spans="1:9" customFormat="1" ht="20.149999999999999" customHeight="1" x14ac:dyDescent="0.35">
      <c r="A105" s="290">
        <v>4</v>
      </c>
      <c r="B105" s="291" t="s">
        <v>261</v>
      </c>
      <c r="C105" s="291">
        <f>data!X59</f>
        <v>2623</v>
      </c>
      <c r="D105" s="291">
        <f>data!Y59</f>
        <v>6352</v>
      </c>
      <c r="E105" s="291">
        <f>data!Z59</f>
        <v>0</v>
      </c>
      <c r="F105" s="291">
        <f>data!AA59</f>
        <v>0</v>
      </c>
      <c r="G105" s="303"/>
      <c r="H105" s="291">
        <f>data!AC59</f>
        <v>1325</v>
      </c>
      <c r="I105" s="291">
        <f>data!AD59</f>
        <v>0</v>
      </c>
    </row>
    <row r="106" spans="1:9" customFormat="1" ht="20.149999999999999" customHeight="1" x14ac:dyDescent="0.35">
      <c r="A106" s="290">
        <v>5</v>
      </c>
      <c r="B106" s="291" t="s">
        <v>262</v>
      </c>
      <c r="C106" s="298">
        <f>data!X60</f>
        <v>1.56</v>
      </c>
      <c r="D106" s="298">
        <f>data!Y60</f>
        <v>3.77</v>
      </c>
      <c r="E106" s="298">
        <f>data!Z60</f>
        <v>0</v>
      </c>
      <c r="F106" s="298">
        <f>data!AA60</f>
        <v>0</v>
      </c>
      <c r="G106" s="298">
        <f>data!AB60</f>
        <v>0.73</v>
      </c>
      <c r="H106" s="298">
        <f>data!AC60</f>
        <v>0.87</v>
      </c>
      <c r="I106" s="298">
        <f>data!AD60</f>
        <v>0</v>
      </c>
    </row>
    <row r="107" spans="1:9" customFormat="1" ht="20.149999999999999" customHeight="1" x14ac:dyDescent="0.35">
      <c r="A107" s="290">
        <v>6</v>
      </c>
      <c r="B107" s="291" t="s">
        <v>263</v>
      </c>
      <c r="C107" s="291">
        <f>data!X61</f>
        <v>182094</v>
      </c>
      <c r="D107" s="291">
        <f>data!Y61</f>
        <v>440969</v>
      </c>
      <c r="E107" s="291">
        <f>data!Z61</f>
        <v>0</v>
      </c>
      <c r="F107" s="291">
        <f>data!AA61</f>
        <v>0</v>
      </c>
      <c r="G107" s="291">
        <f>data!AB61</f>
        <v>52922</v>
      </c>
      <c r="H107" s="291">
        <f>data!AC61</f>
        <v>105853</v>
      </c>
      <c r="I107" s="291">
        <f>data!AD61</f>
        <v>0</v>
      </c>
    </row>
    <row r="108" spans="1:9" customFormat="1" ht="20.149999999999999" customHeight="1" x14ac:dyDescent="0.35">
      <c r="A108" s="290">
        <v>7</v>
      </c>
      <c r="B108" s="291" t="s">
        <v>11</v>
      </c>
      <c r="C108" s="291">
        <f>data!X62</f>
        <v>40565</v>
      </c>
      <c r="D108" s="291">
        <f>data!Y62</f>
        <v>98235</v>
      </c>
      <c r="E108" s="291">
        <f>data!Z62</f>
        <v>0</v>
      </c>
      <c r="F108" s="291">
        <f>data!AA62</f>
        <v>0</v>
      </c>
      <c r="G108" s="291">
        <f>data!AB62</f>
        <v>11790</v>
      </c>
      <c r="H108" s="291">
        <f>data!AC62</f>
        <v>23581</v>
      </c>
      <c r="I108" s="291">
        <f>data!AD62</f>
        <v>0</v>
      </c>
    </row>
    <row r="109" spans="1:9" customFormat="1" ht="20.149999999999999" customHeight="1" x14ac:dyDescent="0.35">
      <c r="A109" s="290">
        <v>8</v>
      </c>
      <c r="B109" s="291" t="s">
        <v>264</v>
      </c>
      <c r="C109" s="291">
        <f>data!X63</f>
        <v>0</v>
      </c>
      <c r="D109" s="291">
        <f>data!Y63</f>
        <v>0</v>
      </c>
      <c r="E109" s="291">
        <f>data!Z63</f>
        <v>0</v>
      </c>
      <c r="F109" s="291">
        <f>data!AA63</f>
        <v>0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49999999999999" customHeight="1" x14ac:dyDescent="0.35">
      <c r="A110" s="290">
        <v>9</v>
      </c>
      <c r="B110" s="291" t="s">
        <v>265</v>
      </c>
      <c r="C110" s="291">
        <f>data!X64</f>
        <v>1956</v>
      </c>
      <c r="D110" s="291">
        <f>data!Y64</f>
        <v>4736</v>
      </c>
      <c r="E110" s="291">
        <f>data!Z64</f>
        <v>0</v>
      </c>
      <c r="F110" s="291">
        <f>data!AA64</f>
        <v>0</v>
      </c>
      <c r="G110" s="291">
        <f>data!AB64</f>
        <v>1893551</v>
      </c>
      <c r="H110" s="291">
        <f>data!AC64</f>
        <v>4700</v>
      </c>
      <c r="I110" s="291">
        <f>data!AD64</f>
        <v>0</v>
      </c>
    </row>
    <row r="111" spans="1:9" customFormat="1" ht="20.149999999999999" customHeight="1" x14ac:dyDescent="0.35">
      <c r="A111" s="290">
        <v>10</v>
      </c>
      <c r="B111" s="291" t="s">
        <v>525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5405</v>
      </c>
      <c r="H111" s="291">
        <f>data!AC65</f>
        <v>0</v>
      </c>
      <c r="I111" s="291">
        <f>data!AD65</f>
        <v>0</v>
      </c>
    </row>
    <row r="112" spans="1:9" customFormat="1" ht="20.149999999999999" customHeight="1" x14ac:dyDescent="0.35">
      <c r="A112" s="290">
        <v>11</v>
      </c>
      <c r="B112" s="291" t="s">
        <v>526</v>
      </c>
      <c r="C112" s="291">
        <f>data!X66</f>
        <v>342245</v>
      </c>
      <c r="D112" s="291">
        <f>data!Y66</f>
        <v>828800</v>
      </c>
      <c r="E112" s="291">
        <f>data!Z66</f>
        <v>0</v>
      </c>
      <c r="F112" s="291">
        <f>data!AA66</f>
        <v>0</v>
      </c>
      <c r="G112" s="291">
        <f>data!AB66</f>
        <v>210907</v>
      </c>
      <c r="H112" s="291">
        <f>data!AC66</f>
        <v>52133</v>
      </c>
      <c r="I112" s="291">
        <f>data!AD66</f>
        <v>0</v>
      </c>
    </row>
    <row r="113" spans="1:9" customFormat="1" ht="20.149999999999999" customHeight="1" x14ac:dyDescent="0.35">
      <c r="A113" s="290">
        <v>12</v>
      </c>
      <c r="B113" s="291" t="s">
        <v>16</v>
      </c>
      <c r="C113" s="291">
        <f>data!X67</f>
        <v>14199</v>
      </c>
      <c r="D113" s="291">
        <f>data!Y67</f>
        <v>34399</v>
      </c>
      <c r="E113" s="291">
        <f>data!Z67</f>
        <v>0</v>
      </c>
      <c r="F113" s="291">
        <f>data!AA67</f>
        <v>0</v>
      </c>
      <c r="G113" s="291">
        <f>data!AB67</f>
        <v>13363</v>
      </c>
      <c r="H113" s="291">
        <f>data!AC67</f>
        <v>2454</v>
      </c>
      <c r="I113" s="291">
        <f>data!AD67</f>
        <v>0</v>
      </c>
    </row>
    <row r="114" spans="1:9" customFormat="1" ht="20.149999999999999" customHeight="1" x14ac:dyDescent="0.35">
      <c r="A114" s="290">
        <v>13</v>
      </c>
      <c r="B114" s="291" t="s">
        <v>1007</v>
      </c>
      <c r="C114" s="291">
        <f>data!X68</f>
        <v>54564</v>
      </c>
      <c r="D114" s="291">
        <f>data!Y68</f>
        <v>132135</v>
      </c>
      <c r="E114" s="291">
        <f>data!Z68</f>
        <v>0</v>
      </c>
      <c r="F114" s="291">
        <f>data!AA68</f>
        <v>0</v>
      </c>
      <c r="G114" s="291">
        <f>data!AB68</f>
        <v>76721</v>
      </c>
      <c r="H114" s="291">
        <f>data!AC68</f>
        <v>0</v>
      </c>
      <c r="I114" s="291">
        <f>data!AD68</f>
        <v>0</v>
      </c>
    </row>
    <row r="115" spans="1:9" customFormat="1" ht="20.149999999999999" customHeight="1" x14ac:dyDescent="0.35">
      <c r="A115" s="290">
        <v>14</v>
      </c>
      <c r="B115" s="291" t="s">
        <v>1008</v>
      </c>
      <c r="C115" s="291">
        <f>data!X69</f>
        <v>40972</v>
      </c>
      <c r="D115" s="291">
        <f>data!Y69</f>
        <v>99220</v>
      </c>
      <c r="E115" s="291">
        <f>data!Z69</f>
        <v>0</v>
      </c>
      <c r="F115" s="291">
        <f>data!AA69</f>
        <v>0</v>
      </c>
      <c r="G115" s="291">
        <f>data!AB69</f>
        <v>37366</v>
      </c>
      <c r="H115" s="291">
        <f>data!AC69</f>
        <v>4960</v>
      </c>
      <c r="I115" s="291">
        <f>data!AD69</f>
        <v>0</v>
      </c>
    </row>
    <row r="116" spans="1:9" customFormat="1" ht="20.149999999999999" customHeight="1" x14ac:dyDescent="0.35">
      <c r="A116" s="290">
        <v>15</v>
      </c>
      <c r="B116" s="291" t="s">
        <v>284</v>
      </c>
      <c r="C116" s="291">
        <f>-data!X84</f>
        <v>0</v>
      </c>
      <c r="D116" s="291">
        <f>-data!Y84</f>
        <v>0</v>
      </c>
      <c r="E116" s="291">
        <f>-data!Z84</f>
        <v>0</v>
      </c>
      <c r="F116" s="291">
        <f>-data!AA84</f>
        <v>0</v>
      </c>
      <c r="G116" s="291">
        <f>-data!AB84</f>
        <v>0</v>
      </c>
      <c r="H116" s="291">
        <f>-data!AC84</f>
        <v>0</v>
      </c>
      <c r="I116" s="291">
        <f>-data!AD84</f>
        <v>0</v>
      </c>
    </row>
    <row r="117" spans="1:9" customFormat="1" ht="20.149999999999999" customHeight="1" x14ac:dyDescent="0.35">
      <c r="A117" s="290">
        <v>16</v>
      </c>
      <c r="B117" s="299" t="s">
        <v>1009</v>
      </c>
      <c r="C117" s="291">
        <f>data!X85</f>
        <v>676595</v>
      </c>
      <c r="D117" s="291">
        <f>data!Y85</f>
        <v>1638494</v>
      </c>
      <c r="E117" s="291">
        <f>data!Z85</f>
        <v>0</v>
      </c>
      <c r="F117" s="291">
        <f>data!AA85</f>
        <v>0</v>
      </c>
      <c r="G117" s="291">
        <f>data!AB85</f>
        <v>2302025</v>
      </c>
      <c r="H117" s="291">
        <f>data!AC85</f>
        <v>193681</v>
      </c>
      <c r="I117" s="291">
        <f>data!AD85</f>
        <v>0</v>
      </c>
    </row>
    <row r="118" spans="1:9" customFormat="1" ht="20.149999999999999" customHeight="1" x14ac:dyDescent="0.35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49999999999999" customHeight="1" x14ac:dyDescent="0.35">
      <c r="A119" s="290">
        <v>18</v>
      </c>
      <c r="B119" s="291" t="s">
        <v>1010</v>
      </c>
      <c r="C119" s="299">
        <f>+data!M689</f>
        <v>320897</v>
      </c>
      <c r="D119" s="299">
        <f>+data!M690</f>
        <v>777648</v>
      </c>
      <c r="E119" s="299">
        <f>+data!M691</f>
        <v>0</v>
      </c>
      <c r="F119" s="299">
        <f>+data!M692</f>
        <v>0</v>
      </c>
      <c r="G119" s="299">
        <f>+data!M693</f>
        <v>978608</v>
      </c>
      <c r="H119" s="299">
        <f>+data!M694</f>
        <v>86106</v>
      </c>
      <c r="I119" s="299">
        <f>+data!M695</f>
        <v>0</v>
      </c>
    </row>
    <row r="120" spans="1:9" customFormat="1" ht="20.149999999999999" customHeight="1" x14ac:dyDescent="0.35">
      <c r="A120" s="290">
        <v>19</v>
      </c>
      <c r="B120" s="299" t="s">
        <v>1011</v>
      </c>
      <c r="C120" s="291">
        <f>data!X87</f>
        <v>79687</v>
      </c>
      <c r="D120" s="291">
        <f>data!Y87</f>
        <v>192978</v>
      </c>
      <c r="E120" s="291">
        <f>data!Z87</f>
        <v>0</v>
      </c>
      <c r="F120" s="291">
        <f>data!AA87</f>
        <v>0</v>
      </c>
      <c r="G120" s="291">
        <f>data!AB87</f>
        <v>701900</v>
      </c>
      <c r="H120" s="291">
        <f>data!AC87</f>
        <v>104540</v>
      </c>
      <c r="I120" s="291">
        <f>data!AD87</f>
        <v>0</v>
      </c>
    </row>
    <row r="121" spans="1:9" customFormat="1" ht="20.149999999999999" customHeight="1" x14ac:dyDescent="0.35">
      <c r="A121" s="290">
        <v>20</v>
      </c>
      <c r="B121" s="299" t="s">
        <v>1012</v>
      </c>
      <c r="C121" s="291">
        <f>data!X88</f>
        <v>2641412</v>
      </c>
      <c r="D121" s="291">
        <f>data!Y88</f>
        <v>6396587</v>
      </c>
      <c r="E121" s="291">
        <f>data!Z88</f>
        <v>0</v>
      </c>
      <c r="F121" s="291">
        <f>data!AA88</f>
        <v>0</v>
      </c>
      <c r="G121" s="291">
        <f>data!AB88</f>
        <v>5643695</v>
      </c>
      <c r="H121" s="291">
        <f>data!AC88</f>
        <v>640465</v>
      </c>
      <c r="I121" s="291">
        <f>data!AD88</f>
        <v>0</v>
      </c>
    </row>
    <row r="122" spans="1:9" customFormat="1" ht="20.149999999999999" customHeight="1" x14ac:dyDescent="0.35">
      <c r="A122" s="290">
        <v>21</v>
      </c>
      <c r="B122" s="299" t="s">
        <v>1013</v>
      </c>
      <c r="C122" s="291">
        <f>data!X89</f>
        <v>2721099</v>
      </c>
      <c r="D122" s="291">
        <f>data!Y89</f>
        <v>6589565</v>
      </c>
      <c r="E122" s="291">
        <f>data!Z89</f>
        <v>0</v>
      </c>
      <c r="F122" s="291">
        <f>data!AA89</f>
        <v>0</v>
      </c>
      <c r="G122" s="291">
        <f>data!AB89</f>
        <v>6345595</v>
      </c>
      <c r="H122" s="291">
        <f>data!AC89</f>
        <v>745005</v>
      </c>
      <c r="I122" s="291">
        <f>data!AD89</f>
        <v>0</v>
      </c>
    </row>
    <row r="123" spans="1:9" customFormat="1" ht="20.149999999999999" customHeight="1" x14ac:dyDescent="0.35">
      <c r="A123" s="290" t="s">
        <v>1014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49999999999999" customHeight="1" x14ac:dyDescent="0.35">
      <c r="A124" s="290">
        <v>22</v>
      </c>
      <c r="B124" s="291" t="s">
        <v>1015</v>
      </c>
      <c r="C124" s="291">
        <f>data!X90</f>
        <v>1001</v>
      </c>
      <c r="D124" s="291">
        <f>data!Y90</f>
        <v>2425</v>
      </c>
      <c r="E124" s="291">
        <f>data!Z90</f>
        <v>0</v>
      </c>
      <c r="F124" s="291">
        <f>data!AA90</f>
        <v>0</v>
      </c>
      <c r="G124" s="291">
        <f>data!AB90</f>
        <v>942</v>
      </c>
      <c r="H124" s="291">
        <f>data!AC90</f>
        <v>173</v>
      </c>
      <c r="I124" s="291">
        <f>data!AD90</f>
        <v>0</v>
      </c>
    </row>
    <row r="125" spans="1:9" customFormat="1" ht="20.149999999999999" customHeight="1" x14ac:dyDescent="0.35">
      <c r="A125" s="290">
        <v>23</v>
      </c>
      <c r="B125" s="291" t="s">
        <v>1016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49999999999999" customHeight="1" x14ac:dyDescent="0.35">
      <c r="A126" s="290">
        <v>24</v>
      </c>
      <c r="B126" s="291" t="s">
        <v>1017</v>
      </c>
      <c r="C126" s="291">
        <f>data!X92</f>
        <v>75</v>
      </c>
      <c r="D126" s="291">
        <f>data!Y92</f>
        <v>186</v>
      </c>
      <c r="E126" s="291">
        <f>data!Z92</f>
        <v>0</v>
      </c>
      <c r="F126" s="291">
        <f>data!AA92</f>
        <v>0</v>
      </c>
      <c r="G126" s="291">
        <f>data!AB92</f>
        <v>0</v>
      </c>
      <c r="H126" s="291">
        <f>data!AC92</f>
        <v>0</v>
      </c>
      <c r="I126" s="291">
        <f>data!AD92</f>
        <v>0</v>
      </c>
    </row>
    <row r="127" spans="1:9" customFormat="1" ht="20.149999999999999" customHeight="1" x14ac:dyDescent="0.35">
      <c r="A127" s="290">
        <v>25</v>
      </c>
      <c r="B127" s="291" t="s">
        <v>1018</v>
      </c>
      <c r="C127" s="291">
        <f>data!X93</f>
        <v>3091</v>
      </c>
      <c r="D127" s="291">
        <f>data!Y93</f>
        <v>7484</v>
      </c>
      <c r="E127" s="291">
        <f>data!Z93</f>
        <v>0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49999999999999" customHeight="1" x14ac:dyDescent="0.35">
      <c r="A128" s="290">
        <v>26</v>
      </c>
      <c r="B128" s="291" t="s">
        <v>294</v>
      </c>
      <c r="C128" s="298">
        <f>data!X94</f>
        <v>0</v>
      </c>
      <c r="D128" s="298">
        <f>data!Y94</f>
        <v>0</v>
      </c>
      <c r="E128" s="298">
        <f>data!Z94</f>
        <v>0</v>
      </c>
      <c r="F128" s="298">
        <f>data!AA94</f>
        <v>0</v>
      </c>
      <c r="G128" s="298">
        <f>data!AB94</f>
        <v>0</v>
      </c>
      <c r="H128" s="298">
        <f>data!AC94</f>
        <v>0</v>
      </c>
      <c r="I128" s="298">
        <f>data!AD94</f>
        <v>0</v>
      </c>
    </row>
    <row r="129" spans="1:14" customFormat="1" ht="20.149999999999999" customHeight="1" x14ac:dyDescent="0.35">
      <c r="A129" s="284" t="s">
        <v>1000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49999999999999" customHeight="1" x14ac:dyDescent="0.35">
      <c r="D130" s="286"/>
      <c r="I130" s="287" t="s">
        <v>1031</v>
      </c>
    </row>
    <row r="131" spans="1:14" customFormat="1" ht="20.149999999999999" customHeight="1" x14ac:dyDescent="0.35">
      <c r="A131" s="286"/>
    </row>
    <row r="132" spans="1:14" customFormat="1" ht="20.149999999999999" customHeight="1" x14ac:dyDescent="0.35">
      <c r="A132" s="288" t="str">
        <f>"Hospital: "&amp;data!C98</f>
        <v>Hospital: NORTH VALLEY HOSPITAL OCPHD#4</v>
      </c>
      <c r="G132" s="289"/>
      <c r="H132" s="288" t="str">
        <f>"FYE: "&amp;data!C96</f>
        <v>FYE: 12/31/2023</v>
      </c>
    </row>
    <row r="133" spans="1:14" customFormat="1" ht="20.149999999999999" customHeight="1" x14ac:dyDescent="0.35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49999999999999" customHeight="1" x14ac:dyDescent="0.35">
      <c r="A134" s="294">
        <v>2</v>
      </c>
      <c r="B134" s="295" t="s">
        <v>1002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1032</v>
      </c>
      <c r="H134" s="297"/>
      <c r="I134" s="297" t="s">
        <v>149</v>
      </c>
    </row>
    <row r="135" spans="1:14" customFormat="1" ht="20.149999999999999" customHeight="1" x14ac:dyDescent="0.35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49999999999999" customHeight="1" x14ac:dyDescent="0.35">
      <c r="A136" s="290">
        <v>3</v>
      </c>
      <c r="B136" s="291" t="s">
        <v>1006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1033</v>
      </c>
      <c r="H136" s="293" t="s">
        <v>255</v>
      </c>
      <c r="I136" s="293" t="s">
        <v>253</v>
      </c>
    </row>
    <row r="137" spans="1:14" customFormat="1" ht="20.149999999999999" customHeight="1" x14ac:dyDescent="0.35">
      <c r="A137" s="290">
        <v>4</v>
      </c>
      <c r="B137" s="291" t="s">
        <v>261</v>
      </c>
      <c r="C137" s="291">
        <f>data!AE59</f>
        <v>19702</v>
      </c>
      <c r="D137" s="291">
        <f>data!AF59</f>
        <v>0</v>
      </c>
      <c r="E137" s="291">
        <f>data!AG59</f>
        <v>5149</v>
      </c>
      <c r="F137" s="291">
        <f>data!AH59</f>
        <v>0</v>
      </c>
      <c r="G137" s="291">
        <f>data!AI59</f>
        <v>0</v>
      </c>
      <c r="H137" s="291">
        <f>data!AJ59</f>
        <v>2974</v>
      </c>
      <c r="I137" s="291">
        <f>data!AK59</f>
        <v>6378</v>
      </c>
      <c r="K137" s="302"/>
      <c r="L137" s="304"/>
      <c r="M137" s="304"/>
      <c r="N137" s="304"/>
    </row>
    <row r="138" spans="1:14" customFormat="1" ht="20.149999999999999" customHeight="1" x14ac:dyDescent="0.35">
      <c r="A138" s="290">
        <v>5</v>
      </c>
      <c r="B138" s="291" t="s">
        <v>262</v>
      </c>
      <c r="C138" s="298">
        <f>data!AE60</f>
        <v>12.58</v>
      </c>
      <c r="D138" s="298">
        <f>data!AF60</f>
        <v>0</v>
      </c>
      <c r="E138" s="298">
        <f>data!AG60</f>
        <v>12.77</v>
      </c>
      <c r="F138" s="298">
        <f>data!AH60</f>
        <v>0</v>
      </c>
      <c r="G138" s="298">
        <f>data!AI60</f>
        <v>0</v>
      </c>
      <c r="H138" s="298">
        <f>data!AJ60</f>
        <v>11.42</v>
      </c>
      <c r="I138" s="298">
        <f>data!AK60</f>
        <v>1.42</v>
      </c>
    </row>
    <row r="139" spans="1:14" customFormat="1" ht="20.149999999999999" customHeight="1" x14ac:dyDescent="0.35">
      <c r="A139" s="290">
        <v>6</v>
      </c>
      <c r="B139" s="291" t="s">
        <v>263</v>
      </c>
      <c r="C139" s="291">
        <f>data!AE61</f>
        <v>892930</v>
      </c>
      <c r="D139" s="291">
        <f>data!AF61</f>
        <v>0</v>
      </c>
      <c r="E139" s="291">
        <f>data!AG61</f>
        <v>982078</v>
      </c>
      <c r="F139" s="291">
        <f>data!AH61</f>
        <v>0</v>
      </c>
      <c r="G139" s="291">
        <f>data!AI61</f>
        <v>0</v>
      </c>
      <c r="H139" s="291">
        <f>data!AJ61</f>
        <v>1074406</v>
      </c>
      <c r="I139" s="291">
        <f>data!AK61</f>
        <v>237033</v>
      </c>
    </row>
    <row r="140" spans="1:14" customFormat="1" ht="20.149999999999999" customHeight="1" x14ac:dyDescent="0.35">
      <c r="A140" s="290">
        <v>7</v>
      </c>
      <c r="B140" s="291" t="s">
        <v>11</v>
      </c>
      <c r="C140" s="291">
        <f>data!AE62</f>
        <v>198919</v>
      </c>
      <c r="D140" s="291">
        <f>data!AF62</f>
        <v>0</v>
      </c>
      <c r="E140" s="291">
        <f>data!AG62</f>
        <v>218779</v>
      </c>
      <c r="F140" s="291">
        <f>data!AH62</f>
        <v>0</v>
      </c>
      <c r="G140" s="291">
        <f>data!AI62</f>
        <v>0</v>
      </c>
      <c r="H140" s="291">
        <f>data!AJ62</f>
        <v>239347</v>
      </c>
      <c r="I140" s="291">
        <f>data!AK62</f>
        <v>52804</v>
      </c>
    </row>
    <row r="141" spans="1:14" customFormat="1" ht="20.149999999999999" customHeight="1" x14ac:dyDescent="0.35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0</v>
      </c>
      <c r="F141" s="291">
        <f>data!AH63</f>
        <v>0</v>
      </c>
      <c r="G141" s="291">
        <f>data!AI63</f>
        <v>0</v>
      </c>
      <c r="H141" s="291">
        <f>data!AJ63</f>
        <v>0</v>
      </c>
      <c r="I141" s="291">
        <f>data!AK63</f>
        <v>0</v>
      </c>
    </row>
    <row r="142" spans="1:14" customFormat="1" ht="20.149999999999999" customHeight="1" x14ac:dyDescent="0.35">
      <c r="A142" s="290">
        <v>9</v>
      </c>
      <c r="B142" s="291" t="s">
        <v>265</v>
      </c>
      <c r="C142" s="291">
        <f>data!AE64</f>
        <v>50574</v>
      </c>
      <c r="D142" s="291">
        <f>data!AF64</f>
        <v>0</v>
      </c>
      <c r="E142" s="291">
        <f>data!AG64</f>
        <v>69116</v>
      </c>
      <c r="F142" s="291">
        <f>data!AH64</f>
        <v>0</v>
      </c>
      <c r="G142" s="291">
        <f>data!AI64</f>
        <v>0</v>
      </c>
      <c r="H142" s="291">
        <f>data!AJ64</f>
        <v>29492</v>
      </c>
      <c r="I142" s="291">
        <f>data!AK64</f>
        <v>2961</v>
      </c>
    </row>
    <row r="143" spans="1:14" customFormat="1" ht="20.149999999999999" customHeight="1" x14ac:dyDescent="0.35">
      <c r="A143" s="290">
        <v>10</v>
      </c>
      <c r="B143" s="291" t="s">
        <v>525</v>
      </c>
      <c r="C143" s="291">
        <f>data!AE65</f>
        <v>4571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0</v>
      </c>
      <c r="I143" s="291">
        <f>data!AK65</f>
        <v>0</v>
      </c>
    </row>
    <row r="144" spans="1:14" customFormat="1" ht="20.149999999999999" customHeight="1" x14ac:dyDescent="0.35">
      <c r="A144" s="290">
        <v>11</v>
      </c>
      <c r="B144" s="291" t="s">
        <v>526</v>
      </c>
      <c r="C144" s="291">
        <f>data!AE66</f>
        <v>97932</v>
      </c>
      <c r="D144" s="291">
        <f>data!AF66</f>
        <v>0</v>
      </c>
      <c r="E144" s="291">
        <f>data!AG66</f>
        <v>3176850</v>
      </c>
      <c r="F144" s="291">
        <f>data!AH66</f>
        <v>0</v>
      </c>
      <c r="G144" s="291">
        <f>data!AI66</f>
        <v>0</v>
      </c>
      <c r="H144" s="291">
        <f>data!AJ66</f>
        <v>70094</v>
      </c>
      <c r="I144" s="291">
        <f>data!AK66</f>
        <v>3082</v>
      </c>
    </row>
    <row r="145" spans="1:9" customFormat="1" ht="20.149999999999999" customHeight="1" x14ac:dyDescent="0.35">
      <c r="A145" s="290">
        <v>12</v>
      </c>
      <c r="B145" s="291" t="s">
        <v>16</v>
      </c>
      <c r="C145" s="291">
        <f>data!AE67</f>
        <v>120135</v>
      </c>
      <c r="D145" s="291">
        <f>data!AF67</f>
        <v>0</v>
      </c>
      <c r="E145" s="291">
        <f>data!AG67</f>
        <v>137370</v>
      </c>
      <c r="F145" s="291">
        <f>data!AH67</f>
        <v>0</v>
      </c>
      <c r="G145" s="291">
        <f>data!AI67</f>
        <v>0</v>
      </c>
      <c r="H145" s="291">
        <f>data!AJ67</f>
        <v>90261</v>
      </c>
      <c r="I145" s="291">
        <f>data!AK67</f>
        <v>0</v>
      </c>
    </row>
    <row r="146" spans="1:9" customFormat="1" ht="20.149999999999999" customHeight="1" x14ac:dyDescent="0.35">
      <c r="A146" s="290">
        <v>13</v>
      </c>
      <c r="B146" s="291" t="s">
        <v>1007</v>
      </c>
      <c r="C146" s="291">
        <f>data!AE68</f>
        <v>15600</v>
      </c>
      <c r="D146" s="291">
        <f>data!AF68</f>
        <v>0</v>
      </c>
      <c r="E146" s="291">
        <f>data!AG68</f>
        <v>0</v>
      </c>
      <c r="F146" s="291">
        <f>data!AH68</f>
        <v>0</v>
      </c>
      <c r="G146" s="291">
        <f>data!AI68</f>
        <v>0</v>
      </c>
      <c r="H146" s="291">
        <f>data!AJ68</f>
        <v>0</v>
      </c>
      <c r="I146" s="291">
        <f>data!AK68</f>
        <v>0</v>
      </c>
    </row>
    <row r="147" spans="1:9" customFormat="1" ht="20.149999999999999" customHeight="1" x14ac:dyDescent="0.35">
      <c r="A147" s="290">
        <v>14</v>
      </c>
      <c r="B147" s="291" t="s">
        <v>1008</v>
      </c>
      <c r="C147" s="291">
        <f>data!AE69</f>
        <v>15509</v>
      </c>
      <c r="D147" s="291">
        <f>data!AF69</f>
        <v>0</v>
      </c>
      <c r="E147" s="291">
        <f>data!AG69</f>
        <v>6663</v>
      </c>
      <c r="F147" s="291">
        <f>data!AH69</f>
        <v>0</v>
      </c>
      <c r="G147" s="291">
        <f>data!AI69</f>
        <v>0</v>
      </c>
      <c r="H147" s="291">
        <f>data!AJ69</f>
        <v>15162</v>
      </c>
      <c r="I147" s="291">
        <f>data!AK69</f>
        <v>3505</v>
      </c>
    </row>
    <row r="148" spans="1:9" customFormat="1" ht="20.149999999999999" customHeight="1" x14ac:dyDescent="0.35">
      <c r="A148" s="290">
        <v>15</v>
      </c>
      <c r="B148" s="291" t="s">
        <v>284</v>
      </c>
      <c r="C148" s="291">
        <f>-data!AE84</f>
        <v>0</v>
      </c>
      <c r="D148" s="291">
        <f>-data!AF84</f>
        <v>0</v>
      </c>
      <c r="E148" s="291">
        <f>-data!AG84</f>
        <v>0</v>
      </c>
      <c r="F148" s="291">
        <f>-data!AH84</f>
        <v>0</v>
      </c>
      <c r="G148" s="291">
        <f>-data!AI84</f>
        <v>0</v>
      </c>
      <c r="H148" s="291">
        <f>-data!AJ84</f>
        <v>0</v>
      </c>
      <c r="I148" s="291">
        <f>-data!AK84</f>
        <v>0</v>
      </c>
    </row>
    <row r="149" spans="1:9" customFormat="1" ht="20.149999999999999" customHeight="1" x14ac:dyDescent="0.35">
      <c r="A149" s="290">
        <v>16</v>
      </c>
      <c r="B149" s="299" t="s">
        <v>1009</v>
      </c>
      <c r="C149" s="291">
        <f>data!AE85</f>
        <v>1396170</v>
      </c>
      <c r="D149" s="291">
        <f>data!AF85</f>
        <v>0</v>
      </c>
      <c r="E149" s="291">
        <f>data!AG85</f>
        <v>4590856</v>
      </c>
      <c r="F149" s="291">
        <f>data!AH85</f>
        <v>0</v>
      </c>
      <c r="G149" s="291">
        <f>data!AI85</f>
        <v>0</v>
      </c>
      <c r="H149" s="291">
        <f>data!AJ85</f>
        <v>1518762</v>
      </c>
      <c r="I149" s="291">
        <f>data!AK85</f>
        <v>299385</v>
      </c>
    </row>
    <row r="150" spans="1:9" customFormat="1" ht="20.149999999999999" customHeight="1" x14ac:dyDescent="0.35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49999999999999" customHeight="1" x14ac:dyDescent="0.35">
      <c r="A151" s="290">
        <v>18</v>
      </c>
      <c r="B151" s="291" t="s">
        <v>1010</v>
      </c>
      <c r="C151" s="299">
        <f>+data!M696</f>
        <v>669561</v>
      </c>
      <c r="D151" s="299">
        <f>+data!M697</f>
        <v>0</v>
      </c>
      <c r="E151" s="299">
        <f>+data!M698</f>
        <v>2034455</v>
      </c>
      <c r="F151" s="299">
        <f>+data!M699</f>
        <v>0</v>
      </c>
      <c r="G151" s="299">
        <f>+data!M700</f>
        <v>0</v>
      </c>
      <c r="H151" s="299">
        <f>+data!M701</f>
        <v>486710</v>
      </c>
      <c r="I151" s="299">
        <f>+data!M702</f>
        <v>135600</v>
      </c>
    </row>
    <row r="152" spans="1:9" customFormat="1" ht="20.149999999999999" customHeight="1" x14ac:dyDescent="0.35">
      <c r="A152" s="290">
        <v>19</v>
      </c>
      <c r="B152" s="299" t="s">
        <v>1011</v>
      </c>
      <c r="C152" s="291">
        <f>data!AE87</f>
        <v>350739</v>
      </c>
      <c r="D152" s="291">
        <f>data!AF87</f>
        <v>0</v>
      </c>
      <c r="E152" s="291">
        <f>data!AG87</f>
        <v>135386</v>
      </c>
      <c r="F152" s="291">
        <f>data!AH87</f>
        <v>0</v>
      </c>
      <c r="G152" s="291">
        <f>data!AI87</f>
        <v>0</v>
      </c>
      <c r="H152" s="291">
        <f>data!AJ87</f>
        <v>0</v>
      </c>
      <c r="I152" s="291">
        <f>data!AK87</f>
        <v>448742</v>
      </c>
    </row>
    <row r="153" spans="1:9" customFormat="1" ht="20.149999999999999" customHeight="1" x14ac:dyDescent="0.35">
      <c r="A153" s="290">
        <v>20</v>
      </c>
      <c r="B153" s="299" t="s">
        <v>1012</v>
      </c>
      <c r="C153" s="291">
        <f>data!AE88</f>
        <v>2897800</v>
      </c>
      <c r="D153" s="291">
        <f>data!AF88</f>
        <v>0</v>
      </c>
      <c r="E153" s="291">
        <f>data!AG88</f>
        <v>12300895</v>
      </c>
      <c r="F153" s="291">
        <f>data!AH88</f>
        <v>0</v>
      </c>
      <c r="G153" s="291">
        <f>data!AI88</f>
        <v>0</v>
      </c>
      <c r="H153" s="291">
        <f>data!AJ88</f>
        <v>881147</v>
      </c>
      <c r="I153" s="291">
        <f>data!AK88</f>
        <v>672214</v>
      </c>
    </row>
    <row r="154" spans="1:9" customFormat="1" ht="20.149999999999999" customHeight="1" x14ac:dyDescent="0.35">
      <c r="A154" s="290">
        <v>21</v>
      </c>
      <c r="B154" s="299" t="s">
        <v>1013</v>
      </c>
      <c r="C154" s="291">
        <f>data!AE89</f>
        <v>3248539</v>
      </c>
      <c r="D154" s="291">
        <f>data!AF89</f>
        <v>0</v>
      </c>
      <c r="E154" s="291">
        <f>data!AG89</f>
        <v>12436281</v>
      </c>
      <c r="F154" s="291">
        <f>data!AH89</f>
        <v>0</v>
      </c>
      <c r="G154" s="291">
        <f>data!AI89</f>
        <v>0</v>
      </c>
      <c r="H154" s="291">
        <f>data!AJ89</f>
        <v>881147</v>
      </c>
      <c r="I154" s="291">
        <f>data!AK89</f>
        <v>1120956</v>
      </c>
    </row>
    <row r="155" spans="1:9" customFormat="1" ht="20.149999999999999" customHeight="1" x14ac:dyDescent="0.35">
      <c r="A155" s="290" t="s">
        <v>1014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49999999999999" customHeight="1" x14ac:dyDescent="0.35">
      <c r="A156" s="290">
        <v>22</v>
      </c>
      <c r="B156" s="291" t="s">
        <v>1015</v>
      </c>
      <c r="C156" s="291">
        <f>data!AE90</f>
        <v>8469</v>
      </c>
      <c r="D156" s="291">
        <f>data!AF90</f>
        <v>0</v>
      </c>
      <c r="E156" s="291">
        <f>data!AG90</f>
        <v>9684</v>
      </c>
      <c r="F156" s="291">
        <f>data!AH90</f>
        <v>0</v>
      </c>
      <c r="G156" s="291">
        <f>data!AI90</f>
        <v>0</v>
      </c>
      <c r="H156" s="291">
        <f>data!AJ90</f>
        <v>6363</v>
      </c>
      <c r="I156" s="291">
        <f>data!AK90</f>
        <v>0</v>
      </c>
    </row>
    <row r="157" spans="1:9" customFormat="1" ht="20.149999999999999" customHeight="1" x14ac:dyDescent="0.35">
      <c r="A157" s="290">
        <v>23</v>
      </c>
      <c r="B157" s="291" t="s">
        <v>1016</v>
      </c>
      <c r="C157" s="291">
        <f>data!AE91</f>
        <v>0</v>
      </c>
      <c r="D157" s="291">
        <f>data!AF91</f>
        <v>0</v>
      </c>
      <c r="E157" s="291">
        <f>data!AG91</f>
        <v>0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49999999999999" customHeight="1" x14ac:dyDescent="0.35">
      <c r="A158" s="290">
        <v>24</v>
      </c>
      <c r="B158" s="291" t="s">
        <v>1017</v>
      </c>
      <c r="C158" s="291">
        <f>data!AE92</f>
        <v>72</v>
      </c>
      <c r="D158" s="291">
        <f>data!AF92</f>
        <v>0</v>
      </c>
      <c r="E158" s="291">
        <f>data!AG92</f>
        <v>1252</v>
      </c>
      <c r="F158" s="291">
        <f>data!AH92</f>
        <v>0</v>
      </c>
      <c r="G158" s="291">
        <f>data!AI92</f>
        <v>0</v>
      </c>
      <c r="H158" s="291">
        <f>data!AJ92</f>
        <v>246</v>
      </c>
      <c r="I158" s="291">
        <f>data!AK92</f>
        <v>73</v>
      </c>
    </row>
    <row r="159" spans="1:9" customFormat="1" ht="20.149999999999999" customHeight="1" x14ac:dyDescent="0.35">
      <c r="A159" s="290">
        <v>25</v>
      </c>
      <c r="B159" s="291" t="s">
        <v>1018</v>
      </c>
      <c r="C159" s="291">
        <f>data!AE93</f>
        <v>1393</v>
      </c>
      <c r="D159" s="291">
        <f>data!AF93</f>
        <v>0</v>
      </c>
      <c r="E159" s="291">
        <f>data!AG93</f>
        <v>15598</v>
      </c>
      <c r="F159" s="291">
        <f>data!AH93</f>
        <v>0</v>
      </c>
      <c r="G159" s="291">
        <f>data!AI93</f>
        <v>0</v>
      </c>
      <c r="H159" s="291">
        <f>data!AJ93</f>
        <v>324</v>
      </c>
      <c r="I159" s="291">
        <f>data!AK93</f>
        <v>1392</v>
      </c>
    </row>
    <row r="160" spans="1:9" customFormat="1" ht="20.149999999999999" customHeight="1" x14ac:dyDescent="0.35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12.45</v>
      </c>
      <c r="F160" s="298">
        <f>data!AH94</f>
        <v>0</v>
      </c>
      <c r="G160" s="298">
        <f>data!AI94</f>
        <v>0</v>
      </c>
      <c r="H160" s="298">
        <f>data!AJ94</f>
        <v>0</v>
      </c>
      <c r="I160" s="298">
        <f>data!AK94</f>
        <v>0</v>
      </c>
    </row>
    <row r="161" spans="1:9" customFormat="1" ht="20.149999999999999" customHeight="1" x14ac:dyDescent="0.35">
      <c r="A161" s="284" t="s">
        <v>1000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49999999999999" customHeight="1" x14ac:dyDescent="0.35">
      <c r="D162" s="286"/>
      <c r="I162" s="287" t="s">
        <v>1034</v>
      </c>
    </row>
    <row r="163" spans="1:9" customFormat="1" ht="20.149999999999999" customHeight="1" x14ac:dyDescent="0.35">
      <c r="A163" s="286"/>
    </row>
    <row r="164" spans="1:9" customFormat="1" ht="20.149999999999999" customHeight="1" x14ac:dyDescent="0.35">
      <c r="A164" s="288" t="str">
        <f>"Hospital: "&amp;data!C98</f>
        <v>Hospital: NORTH VALLEY HOSPITAL OCPHD#4</v>
      </c>
      <c r="G164" s="289"/>
      <c r="H164" s="288" t="str">
        <f>"FYE: "&amp;data!C96</f>
        <v>FYE: 12/31/2023</v>
      </c>
    </row>
    <row r="165" spans="1:9" customFormat="1" ht="20.149999999999999" customHeight="1" x14ac:dyDescent="0.35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49999999999999" customHeight="1" x14ac:dyDescent="0.35">
      <c r="A166" s="294">
        <v>2</v>
      </c>
      <c r="B166" s="295" t="s">
        <v>1002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1035</v>
      </c>
      <c r="H166" s="297" t="s">
        <v>154</v>
      </c>
      <c r="I166" s="297" t="s">
        <v>155</v>
      </c>
    </row>
    <row r="167" spans="1:9" customFormat="1" ht="20.149999999999999" customHeight="1" x14ac:dyDescent="0.35">
      <c r="A167" s="294"/>
      <c r="B167" s="295"/>
      <c r="C167" s="297" t="s">
        <v>199</v>
      </c>
      <c r="D167" s="297" t="s">
        <v>199</v>
      </c>
      <c r="E167" s="297" t="s">
        <v>1036</v>
      </c>
      <c r="F167" s="297" t="s">
        <v>209</v>
      </c>
      <c r="G167" s="297" t="s">
        <v>148</v>
      </c>
      <c r="H167" s="296" t="s">
        <v>1037</v>
      </c>
      <c r="I167" s="297" t="s">
        <v>196</v>
      </c>
    </row>
    <row r="168" spans="1:9" customFormat="1" ht="20.149999999999999" customHeight="1" x14ac:dyDescent="0.35">
      <c r="A168" s="290">
        <v>3</v>
      </c>
      <c r="B168" s="291" t="s">
        <v>1006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49999999999999" customHeight="1" x14ac:dyDescent="0.35">
      <c r="A169" s="290">
        <v>4</v>
      </c>
      <c r="B169" s="291" t="s">
        <v>261</v>
      </c>
      <c r="C169" s="291">
        <f>data!AL59</f>
        <v>2129</v>
      </c>
      <c r="D169" s="291">
        <f>data!AM59</f>
        <v>0</v>
      </c>
      <c r="E169" s="291">
        <f>data!AN59</f>
        <v>0</v>
      </c>
      <c r="F169" s="291">
        <f>data!AO59</f>
        <v>5148</v>
      </c>
      <c r="G169" s="291">
        <f>data!AP59</f>
        <v>0</v>
      </c>
      <c r="H169" s="291">
        <f>data!AQ59</f>
        <v>0</v>
      </c>
      <c r="I169" s="291">
        <f>data!AR59</f>
        <v>0</v>
      </c>
    </row>
    <row r="170" spans="1:9" customFormat="1" ht="20.149999999999999" customHeight="1" x14ac:dyDescent="0.35">
      <c r="A170" s="290">
        <v>5</v>
      </c>
      <c r="B170" s="291" t="s">
        <v>262</v>
      </c>
      <c r="C170" s="298">
        <f>data!AL60</f>
        <v>0.99</v>
      </c>
      <c r="D170" s="298">
        <f>data!AM60</f>
        <v>0</v>
      </c>
      <c r="E170" s="298">
        <f>data!AN60</f>
        <v>0</v>
      </c>
      <c r="F170" s="298">
        <f>data!AO60</f>
        <v>1.78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49999999999999" customHeight="1" x14ac:dyDescent="0.35">
      <c r="A171" s="290">
        <v>6</v>
      </c>
      <c r="B171" s="291" t="s">
        <v>263</v>
      </c>
      <c r="C171" s="291">
        <f>data!AL61</f>
        <v>177554</v>
      </c>
      <c r="D171" s="291">
        <f>data!AM61</f>
        <v>0</v>
      </c>
      <c r="E171" s="291">
        <f>data!AN61</f>
        <v>0</v>
      </c>
      <c r="F171" s="291">
        <f>data!AO61</f>
        <v>143567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49999999999999" customHeight="1" x14ac:dyDescent="0.35">
      <c r="A172" s="290">
        <v>7</v>
      </c>
      <c r="B172" s="291" t="s">
        <v>11</v>
      </c>
      <c r="C172" s="291">
        <f>data!AL62</f>
        <v>39554</v>
      </c>
      <c r="D172" s="291">
        <f>data!AM62</f>
        <v>0</v>
      </c>
      <c r="E172" s="291">
        <f>data!AN62</f>
        <v>0</v>
      </c>
      <c r="F172" s="291">
        <f>data!AO62</f>
        <v>31983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49999999999999" customHeight="1" x14ac:dyDescent="0.35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49999999999999" customHeight="1" x14ac:dyDescent="0.35">
      <c r="A174" s="290">
        <v>9</v>
      </c>
      <c r="B174" s="291" t="s">
        <v>265</v>
      </c>
      <c r="C174" s="291">
        <f>data!AL64</f>
        <v>5320</v>
      </c>
      <c r="D174" s="291">
        <f>data!AM64</f>
        <v>0</v>
      </c>
      <c r="E174" s="291">
        <f>data!AN64</f>
        <v>0</v>
      </c>
      <c r="F174" s="291">
        <f>data!AO64</f>
        <v>4502</v>
      </c>
      <c r="G174" s="291">
        <f>data!AP64</f>
        <v>0</v>
      </c>
      <c r="H174" s="291">
        <f>data!AQ64</f>
        <v>0</v>
      </c>
      <c r="I174" s="291">
        <f>data!AR64</f>
        <v>0</v>
      </c>
    </row>
    <row r="175" spans="1:9" customFormat="1" ht="20.149999999999999" customHeight="1" x14ac:dyDescent="0.35">
      <c r="A175" s="290">
        <v>10</v>
      </c>
      <c r="B175" s="291" t="s">
        <v>525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49999999999999" customHeight="1" x14ac:dyDescent="0.35">
      <c r="A176" s="290">
        <v>11</v>
      </c>
      <c r="B176" s="291" t="s">
        <v>526</v>
      </c>
      <c r="C176" s="291">
        <f>data!AL66</f>
        <v>3122</v>
      </c>
      <c r="D176" s="291">
        <f>data!AM66</f>
        <v>0</v>
      </c>
      <c r="E176" s="291">
        <f>data!AN66</f>
        <v>0</v>
      </c>
      <c r="F176" s="291">
        <f>data!AO66</f>
        <v>90454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49999999999999" customHeight="1" x14ac:dyDescent="0.35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7660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49999999999999" customHeight="1" x14ac:dyDescent="0.35">
      <c r="A178" s="290">
        <v>13</v>
      </c>
      <c r="B178" s="291" t="s">
        <v>1007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1597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49999999999999" customHeight="1" x14ac:dyDescent="0.35">
      <c r="A179" s="290">
        <v>14</v>
      </c>
      <c r="B179" s="291" t="s">
        <v>1008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3997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49999999999999" customHeight="1" x14ac:dyDescent="0.35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49999999999999" customHeight="1" x14ac:dyDescent="0.35">
      <c r="A181" s="290">
        <v>16</v>
      </c>
      <c r="B181" s="299" t="s">
        <v>1009</v>
      </c>
      <c r="C181" s="291">
        <f>data!AL85</f>
        <v>225550</v>
      </c>
      <c r="D181" s="291">
        <f>data!AM85</f>
        <v>0</v>
      </c>
      <c r="E181" s="291">
        <f>data!AN85</f>
        <v>0</v>
      </c>
      <c r="F181" s="291">
        <f>data!AO85</f>
        <v>283760</v>
      </c>
      <c r="G181" s="291">
        <f>data!AP85</f>
        <v>0</v>
      </c>
      <c r="H181" s="291">
        <f>data!AQ85</f>
        <v>0</v>
      </c>
      <c r="I181" s="291">
        <f>data!AR85</f>
        <v>0</v>
      </c>
    </row>
    <row r="182" spans="1:9" customFormat="1" ht="20.149999999999999" customHeight="1" x14ac:dyDescent="0.35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49999999999999" customHeight="1" x14ac:dyDescent="0.35">
      <c r="A183" s="290">
        <v>18</v>
      </c>
      <c r="B183" s="291" t="s">
        <v>1010</v>
      </c>
      <c r="C183" s="299">
        <f>+data!M703</f>
        <v>75835</v>
      </c>
      <c r="D183" s="299">
        <f>+data!M704</f>
        <v>0</v>
      </c>
      <c r="E183" s="299">
        <f>+data!M705</f>
        <v>0</v>
      </c>
      <c r="F183" s="299">
        <f>+data!M706</f>
        <v>160364</v>
      </c>
      <c r="G183" s="299">
        <f>+data!M707</f>
        <v>0</v>
      </c>
      <c r="H183" s="299">
        <f>+data!M708</f>
        <v>0</v>
      </c>
      <c r="I183" s="299">
        <f>+data!M709</f>
        <v>0</v>
      </c>
    </row>
    <row r="184" spans="1:9" customFormat="1" ht="20.149999999999999" customHeight="1" x14ac:dyDescent="0.35">
      <c r="A184" s="290">
        <v>19</v>
      </c>
      <c r="B184" s="299" t="s">
        <v>1011</v>
      </c>
      <c r="C184" s="291">
        <f>data!AL87</f>
        <v>74783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49999999999999" customHeight="1" x14ac:dyDescent="0.35">
      <c r="A185" s="290">
        <v>20</v>
      </c>
      <c r="B185" s="299" t="s">
        <v>1012</v>
      </c>
      <c r="C185" s="291">
        <f>data!AL88</f>
        <v>360443</v>
      </c>
      <c r="D185" s="291">
        <f>data!AM88</f>
        <v>0</v>
      </c>
      <c r="E185" s="291">
        <f>data!AN88</f>
        <v>0</v>
      </c>
      <c r="F185" s="291">
        <f>data!AO88</f>
        <v>536599</v>
      </c>
      <c r="G185" s="291">
        <f>data!AP88</f>
        <v>0</v>
      </c>
      <c r="H185" s="291">
        <f>data!AQ88</f>
        <v>0</v>
      </c>
      <c r="I185" s="291">
        <f>data!AR88</f>
        <v>0</v>
      </c>
    </row>
    <row r="186" spans="1:9" customFormat="1" ht="20.149999999999999" customHeight="1" x14ac:dyDescent="0.35">
      <c r="A186" s="290">
        <v>21</v>
      </c>
      <c r="B186" s="299" t="s">
        <v>1013</v>
      </c>
      <c r="C186" s="291">
        <f>data!AL89</f>
        <v>435226</v>
      </c>
      <c r="D186" s="291">
        <f>data!AM89</f>
        <v>0</v>
      </c>
      <c r="E186" s="291">
        <f>data!AN89</f>
        <v>0</v>
      </c>
      <c r="F186" s="291">
        <f>data!AO89</f>
        <v>536599</v>
      </c>
      <c r="G186" s="291">
        <f>data!AP89</f>
        <v>0</v>
      </c>
      <c r="H186" s="291">
        <f>data!AQ89</f>
        <v>0</v>
      </c>
      <c r="I186" s="291">
        <f>data!AR89</f>
        <v>0</v>
      </c>
    </row>
    <row r="187" spans="1:9" customFormat="1" ht="20.149999999999999" customHeight="1" x14ac:dyDescent="0.35">
      <c r="A187" s="290" t="s">
        <v>1014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49999999999999" customHeight="1" x14ac:dyDescent="0.35">
      <c r="A188" s="290">
        <v>22</v>
      </c>
      <c r="B188" s="291" t="s">
        <v>1015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540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49999999999999" customHeight="1" x14ac:dyDescent="0.35">
      <c r="A189" s="290">
        <v>23</v>
      </c>
      <c r="B189" s="291" t="s">
        <v>1016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943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49999999999999" customHeight="1" x14ac:dyDescent="0.35">
      <c r="A190" s="290">
        <v>24</v>
      </c>
      <c r="B190" s="291" t="s">
        <v>1017</v>
      </c>
      <c r="C190" s="291">
        <f>data!AL92</f>
        <v>73</v>
      </c>
      <c r="D190" s="291">
        <f>data!AM92</f>
        <v>0</v>
      </c>
      <c r="E190" s="291">
        <f>data!AN92</f>
        <v>0</v>
      </c>
      <c r="F190" s="291">
        <f>data!AO92</f>
        <v>200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49999999999999" customHeight="1" x14ac:dyDescent="0.35">
      <c r="A191" s="290">
        <v>25</v>
      </c>
      <c r="B191" s="291" t="s">
        <v>1018</v>
      </c>
      <c r="C191" s="291">
        <f>data!AL93</f>
        <v>1392</v>
      </c>
      <c r="D191" s="291">
        <f>data!AM93</f>
        <v>0</v>
      </c>
      <c r="E191" s="291">
        <f>data!AN93</f>
        <v>0</v>
      </c>
      <c r="F191" s="291">
        <f>data!AO93</f>
        <v>3483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49999999999999" customHeight="1" x14ac:dyDescent="0.35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1.69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49999999999999" customHeight="1" x14ac:dyDescent="0.35">
      <c r="A193" s="284" t="s">
        <v>1000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49999999999999" customHeight="1" x14ac:dyDescent="0.35">
      <c r="D194" s="286"/>
      <c r="I194" s="287" t="s">
        <v>1038</v>
      </c>
    </row>
    <row r="195" spans="1:9" customFormat="1" ht="20.149999999999999" customHeight="1" x14ac:dyDescent="0.35">
      <c r="A195" s="286"/>
    </row>
    <row r="196" spans="1:9" customFormat="1" ht="20.149999999999999" customHeight="1" x14ac:dyDescent="0.35">
      <c r="A196" s="288" t="str">
        <f>"Hospital: "&amp;data!C98</f>
        <v>Hospital: NORTH VALLEY HOSPITAL OCPHD#4</v>
      </c>
      <c r="G196" s="289"/>
      <c r="H196" s="288" t="str">
        <f>"FYE: "&amp;data!C96</f>
        <v>FYE: 12/31/2023</v>
      </c>
    </row>
    <row r="197" spans="1:9" customFormat="1" ht="20.149999999999999" customHeight="1" x14ac:dyDescent="0.35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49999999999999" customHeight="1" x14ac:dyDescent="0.35">
      <c r="A198" s="294">
        <v>2</v>
      </c>
      <c r="B198" s="295" t="s">
        <v>1002</v>
      </c>
      <c r="C198" s="297"/>
      <c r="D198" s="297" t="s">
        <v>157</v>
      </c>
      <c r="E198" s="297" t="s">
        <v>158</v>
      </c>
      <c r="F198" s="297" t="s">
        <v>159</v>
      </c>
      <c r="G198" s="297" t="s">
        <v>1039</v>
      </c>
      <c r="H198" s="297" t="s">
        <v>161</v>
      </c>
      <c r="I198" s="297"/>
    </row>
    <row r="199" spans="1:9" customFormat="1" ht="20.149999999999999" customHeight="1" x14ac:dyDescent="0.35">
      <c r="A199" s="294"/>
      <c r="B199" s="295"/>
      <c r="C199" s="297" t="s">
        <v>156</v>
      </c>
      <c r="D199" s="297" t="s">
        <v>258</v>
      </c>
      <c r="E199" s="297" t="s">
        <v>1040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49999999999999" customHeight="1" x14ac:dyDescent="0.35">
      <c r="A200" s="290">
        <v>3</v>
      </c>
      <c r="B200" s="291" t="s">
        <v>1006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49999999999999" customHeight="1" x14ac:dyDescent="0.35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46661</v>
      </c>
    </row>
    <row r="202" spans="1:9" customFormat="1" ht="20.149999999999999" customHeight="1" x14ac:dyDescent="0.35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0.19</v>
      </c>
      <c r="G202" s="298">
        <f>data!AW60</f>
        <v>0</v>
      </c>
      <c r="H202" s="298">
        <f>data!AX60</f>
        <v>0</v>
      </c>
      <c r="I202" s="298">
        <f>data!AY60</f>
        <v>11.85</v>
      </c>
    </row>
    <row r="203" spans="1:9" customFormat="1" ht="20.149999999999999" customHeight="1" x14ac:dyDescent="0.35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6477</v>
      </c>
      <c r="G203" s="291">
        <f>data!AW61</f>
        <v>0</v>
      </c>
      <c r="H203" s="291">
        <f>data!AX61</f>
        <v>0</v>
      </c>
      <c r="I203" s="291">
        <f>data!AY61</f>
        <v>568926</v>
      </c>
    </row>
    <row r="204" spans="1:9" customFormat="1" ht="20.149999999999999" customHeight="1" x14ac:dyDescent="0.35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1443</v>
      </c>
      <c r="G204" s="291">
        <f>data!AW62</f>
        <v>0</v>
      </c>
      <c r="H204" s="291">
        <f>data!AX62</f>
        <v>0</v>
      </c>
      <c r="I204" s="291">
        <f>data!AY62</f>
        <v>126740</v>
      </c>
    </row>
    <row r="205" spans="1:9" customFormat="1" ht="20.149999999999999" customHeight="1" x14ac:dyDescent="0.35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49999999999999" customHeight="1" x14ac:dyDescent="0.35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88</v>
      </c>
      <c r="G206" s="291">
        <f>data!AW64</f>
        <v>0</v>
      </c>
      <c r="H206" s="291">
        <f>data!AX64</f>
        <v>0</v>
      </c>
      <c r="I206" s="291">
        <f>data!AY64</f>
        <v>333159</v>
      </c>
    </row>
    <row r="207" spans="1:9" customFormat="1" ht="20.149999999999999" customHeight="1" x14ac:dyDescent="0.35">
      <c r="A207" s="290">
        <v>10</v>
      </c>
      <c r="B207" s="291" t="s">
        <v>525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9600</v>
      </c>
    </row>
    <row r="208" spans="1:9" customFormat="1" ht="20.149999999999999" customHeight="1" x14ac:dyDescent="0.35">
      <c r="A208" s="290">
        <v>11</v>
      </c>
      <c r="B208" s="291" t="s">
        <v>526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99648</v>
      </c>
      <c r="G208" s="291">
        <f>data!AW66</f>
        <v>0</v>
      </c>
      <c r="H208" s="291">
        <f>data!AX66</f>
        <v>0</v>
      </c>
      <c r="I208" s="291">
        <f>data!AY66</f>
        <v>17122</v>
      </c>
    </row>
    <row r="209" spans="1:9" customFormat="1" ht="20.149999999999999" customHeight="1" x14ac:dyDescent="0.35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12682</v>
      </c>
      <c r="G209" s="291">
        <f>data!AW67</f>
        <v>0</v>
      </c>
      <c r="H209" s="291">
        <f>data!AX67</f>
        <v>0</v>
      </c>
      <c r="I209" s="291">
        <f>data!AY67</f>
        <v>53039</v>
      </c>
    </row>
    <row r="210" spans="1:9" customFormat="1" ht="20.149999999999999" customHeight="1" x14ac:dyDescent="0.35">
      <c r="A210" s="290">
        <v>13</v>
      </c>
      <c r="B210" s="291" t="s">
        <v>1007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515</v>
      </c>
    </row>
    <row r="211" spans="1:9" customFormat="1" ht="20.149999999999999" customHeight="1" x14ac:dyDescent="0.35">
      <c r="A211" s="290">
        <v>14</v>
      </c>
      <c r="B211" s="291" t="s">
        <v>1008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4049</v>
      </c>
      <c r="G211" s="291">
        <f>data!AW69</f>
        <v>0</v>
      </c>
      <c r="H211" s="291">
        <f>data!AX69</f>
        <v>0</v>
      </c>
      <c r="I211" s="291">
        <f>data!AY69</f>
        <v>1603</v>
      </c>
    </row>
    <row r="212" spans="1:9" customFormat="1" ht="20.149999999999999" customHeight="1" x14ac:dyDescent="0.35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-282403</v>
      </c>
    </row>
    <row r="213" spans="1:9" customFormat="1" ht="20.149999999999999" customHeight="1" x14ac:dyDescent="0.35">
      <c r="A213" s="290">
        <v>16</v>
      </c>
      <c r="B213" s="299" t="s">
        <v>1009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124387</v>
      </c>
      <c r="G213" s="291">
        <f>data!AW85</f>
        <v>0</v>
      </c>
      <c r="H213" s="291">
        <f>data!AX85</f>
        <v>0</v>
      </c>
      <c r="I213" s="291">
        <f>data!AY85</f>
        <v>828301</v>
      </c>
    </row>
    <row r="214" spans="1:9" customFormat="1" ht="20.149999999999999" customHeight="1" x14ac:dyDescent="0.35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49999999999999" customHeight="1" x14ac:dyDescent="0.35">
      <c r="A215" s="290">
        <v>18</v>
      </c>
      <c r="B215" s="291" t="s">
        <v>1010</v>
      </c>
      <c r="C215" s="299">
        <f>+data!M710</f>
        <v>0</v>
      </c>
      <c r="D215" s="299">
        <f>+data!M711</f>
        <v>0</v>
      </c>
      <c r="E215" s="299">
        <f>+data!M712</f>
        <v>0</v>
      </c>
      <c r="F215" s="299">
        <f>+data!M713</f>
        <v>133117</v>
      </c>
      <c r="G215" s="305"/>
      <c r="H215" s="291"/>
      <c r="I215" s="291"/>
    </row>
    <row r="216" spans="1:9" customFormat="1" ht="20.149999999999999" customHeight="1" x14ac:dyDescent="0.35">
      <c r="A216" s="290">
        <v>19</v>
      </c>
      <c r="B216" s="299" t="s">
        <v>1011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110210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49999999999999" customHeight="1" x14ac:dyDescent="0.35">
      <c r="A217" s="290">
        <v>20</v>
      </c>
      <c r="B217" s="299" t="s">
        <v>1012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1263627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49999999999999" customHeight="1" x14ac:dyDescent="0.35">
      <c r="A218" s="290">
        <v>21</v>
      </c>
      <c r="B218" s="299" t="s">
        <v>1013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1373837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49999999999999" customHeight="1" x14ac:dyDescent="0.35">
      <c r="A219" s="290" t="s">
        <v>1014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49999999999999" customHeight="1" x14ac:dyDescent="0.35">
      <c r="A220" s="290">
        <v>22</v>
      </c>
      <c r="B220" s="291" t="s">
        <v>1015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894</v>
      </c>
      <c r="G220" s="291">
        <f>data!AW90</f>
        <v>0</v>
      </c>
      <c r="H220" s="291">
        <f>data!AX90</f>
        <v>0</v>
      </c>
      <c r="I220" s="291">
        <f>data!AY90</f>
        <v>3739</v>
      </c>
    </row>
    <row r="221" spans="1:9" customFormat="1" ht="20.149999999999999" customHeight="1" x14ac:dyDescent="0.35">
      <c r="A221" s="290">
        <v>23</v>
      </c>
      <c r="B221" s="291" t="s">
        <v>1016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49999999999999" customHeight="1" x14ac:dyDescent="0.35">
      <c r="A222" s="290">
        <v>24</v>
      </c>
      <c r="B222" s="291" t="s">
        <v>1017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49999999999999" customHeight="1" x14ac:dyDescent="0.35">
      <c r="A223" s="290">
        <v>25</v>
      </c>
      <c r="B223" s="291" t="s">
        <v>1018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49999999999999" customHeight="1" x14ac:dyDescent="0.35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0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49999999999999" customHeight="1" x14ac:dyDescent="0.35">
      <c r="A225" s="284" t="s">
        <v>1000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49999999999999" customHeight="1" x14ac:dyDescent="0.35">
      <c r="D226" s="286"/>
      <c r="I226" s="287" t="s">
        <v>1041</v>
      </c>
    </row>
    <row r="227" spans="1:9" customFormat="1" ht="20.149999999999999" customHeight="1" x14ac:dyDescent="0.35">
      <c r="A227" s="286"/>
    </row>
    <row r="228" spans="1:9" customFormat="1" ht="20.149999999999999" customHeight="1" x14ac:dyDescent="0.35">
      <c r="A228" s="288" t="str">
        <f>"Hospital: "&amp;data!C98</f>
        <v>Hospital: NORTH VALLEY HOSPITAL OCPHD#4</v>
      </c>
      <c r="G228" s="289"/>
      <c r="H228" s="288" t="str">
        <f>"FYE: "&amp;data!C96</f>
        <v>FYE: 12/31/2023</v>
      </c>
    </row>
    <row r="229" spans="1:9" customFormat="1" ht="20.149999999999999" customHeight="1" x14ac:dyDescent="0.35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49999999999999" customHeight="1" x14ac:dyDescent="0.35">
      <c r="A230" s="294">
        <v>2</v>
      </c>
      <c r="B230" s="295" t="s">
        <v>1002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49999999999999" customHeight="1" x14ac:dyDescent="0.35">
      <c r="A231" s="294"/>
      <c r="B231" s="295"/>
      <c r="C231" s="297" t="s">
        <v>163</v>
      </c>
      <c r="D231" s="297" t="s">
        <v>216</v>
      </c>
      <c r="E231" s="297" t="s">
        <v>1042</v>
      </c>
      <c r="F231" s="297" t="s">
        <v>1043</v>
      </c>
      <c r="G231" s="297" t="s">
        <v>166</v>
      </c>
      <c r="H231" s="297" t="s">
        <v>167</v>
      </c>
      <c r="I231" s="297" t="s">
        <v>168</v>
      </c>
    </row>
    <row r="232" spans="1:9" customFormat="1" ht="20.149999999999999" customHeight="1" x14ac:dyDescent="0.35">
      <c r="A232" s="290">
        <v>3</v>
      </c>
      <c r="B232" s="291" t="s">
        <v>1006</v>
      </c>
      <c r="C232" s="293" t="s">
        <v>1044</v>
      </c>
      <c r="D232" s="293" t="s">
        <v>1045</v>
      </c>
      <c r="E232" s="303"/>
      <c r="F232" s="303"/>
      <c r="G232" s="303"/>
      <c r="H232" s="293" t="s">
        <v>260</v>
      </c>
      <c r="I232" s="303"/>
    </row>
    <row r="233" spans="1:9" customFormat="1" ht="20.149999999999999" customHeight="1" x14ac:dyDescent="0.35">
      <c r="A233" s="290">
        <v>4</v>
      </c>
      <c r="B233" s="291" t="s">
        <v>261</v>
      </c>
      <c r="C233" s="291">
        <f>data!AZ59</f>
        <v>0</v>
      </c>
      <c r="D233" s="291">
        <f>data!BA59</f>
        <v>0</v>
      </c>
      <c r="E233" s="303"/>
      <c r="F233" s="303"/>
      <c r="G233" s="303"/>
      <c r="H233" s="291">
        <f>data!BE59</f>
        <v>92174</v>
      </c>
      <c r="I233" s="303"/>
    </row>
    <row r="234" spans="1:9" customFormat="1" ht="20.149999999999999" customHeight="1" x14ac:dyDescent="0.35">
      <c r="A234" s="290">
        <v>5</v>
      </c>
      <c r="B234" s="291" t="s">
        <v>262</v>
      </c>
      <c r="C234" s="298">
        <f>data!AZ60</f>
        <v>2.37</v>
      </c>
      <c r="D234" s="298">
        <f>data!BA60</f>
        <v>6.14</v>
      </c>
      <c r="E234" s="298">
        <f>data!BB60</f>
        <v>0.86</v>
      </c>
      <c r="F234" s="298">
        <f>data!BC60</f>
        <v>0</v>
      </c>
      <c r="G234" s="298">
        <f>data!BD60</f>
        <v>0.9</v>
      </c>
      <c r="H234" s="298">
        <f>data!BE60</f>
        <v>5</v>
      </c>
      <c r="I234" s="298">
        <f>data!BF60</f>
        <v>7.01</v>
      </c>
    </row>
    <row r="235" spans="1:9" customFormat="1" ht="20.149999999999999" customHeight="1" x14ac:dyDescent="0.35">
      <c r="A235" s="290">
        <v>6</v>
      </c>
      <c r="B235" s="291" t="s">
        <v>263</v>
      </c>
      <c r="C235" s="291">
        <f>data!AZ61</f>
        <v>94917</v>
      </c>
      <c r="D235" s="291">
        <f>data!BA61</f>
        <v>304296</v>
      </c>
      <c r="E235" s="291">
        <f>data!BB61</f>
        <v>72552</v>
      </c>
      <c r="F235" s="291">
        <f>data!BC61</f>
        <v>0</v>
      </c>
      <c r="G235" s="291">
        <f>data!BD61</f>
        <v>46680</v>
      </c>
      <c r="H235" s="291">
        <f>data!BE61</f>
        <v>299715</v>
      </c>
      <c r="I235" s="291">
        <f>data!BF61</f>
        <v>359843</v>
      </c>
    </row>
    <row r="236" spans="1:9" customFormat="1" ht="20.149999999999999" customHeight="1" x14ac:dyDescent="0.35">
      <c r="A236" s="290">
        <v>7</v>
      </c>
      <c r="B236" s="291" t="s">
        <v>11</v>
      </c>
      <c r="C236" s="291">
        <f>data!AZ62</f>
        <v>21145</v>
      </c>
      <c r="D236" s="291">
        <f>data!BA62</f>
        <v>67788</v>
      </c>
      <c r="E236" s="291">
        <f>data!BB62</f>
        <v>16163</v>
      </c>
      <c r="F236" s="291">
        <f>data!BC62</f>
        <v>0</v>
      </c>
      <c r="G236" s="291">
        <f>data!BD62</f>
        <v>10399</v>
      </c>
      <c r="H236" s="291">
        <f>data!BE62</f>
        <v>66768</v>
      </c>
      <c r="I236" s="291">
        <f>data!BF62</f>
        <v>80163</v>
      </c>
    </row>
    <row r="237" spans="1:9" customFormat="1" ht="20.149999999999999" customHeight="1" x14ac:dyDescent="0.35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49999999999999" customHeight="1" x14ac:dyDescent="0.35">
      <c r="A238" s="290">
        <v>9</v>
      </c>
      <c r="B238" s="291" t="s">
        <v>265</v>
      </c>
      <c r="C238" s="291">
        <f>data!AZ64</f>
        <v>72354</v>
      </c>
      <c r="D238" s="291">
        <f>data!BA64</f>
        <v>22376</v>
      </c>
      <c r="E238" s="291">
        <f>data!BB64</f>
        <v>0</v>
      </c>
      <c r="F238" s="291">
        <f>data!BC64</f>
        <v>0</v>
      </c>
      <c r="G238" s="291">
        <f>data!BD64</f>
        <v>271204</v>
      </c>
      <c r="H238" s="291">
        <f>data!BE64</f>
        <v>6195</v>
      </c>
      <c r="I238" s="291">
        <f>data!BF64</f>
        <v>73894</v>
      </c>
    </row>
    <row r="239" spans="1:9" customFormat="1" ht="20.149999999999999" customHeight="1" x14ac:dyDescent="0.35">
      <c r="A239" s="290">
        <v>10</v>
      </c>
      <c r="B239" s="291" t="s">
        <v>525</v>
      </c>
      <c r="C239" s="291">
        <f>data!AZ65</f>
        <v>0</v>
      </c>
      <c r="D239" s="291">
        <f>data!BA65</f>
        <v>31560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331186</v>
      </c>
      <c r="I239" s="291">
        <f>data!BF65</f>
        <v>0</v>
      </c>
    </row>
    <row r="240" spans="1:9" customFormat="1" ht="20.149999999999999" customHeight="1" x14ac:dyDescent="0.35">
      <c r="A240" s="290">
        <v>11</v>
      </c>
      <c r="B240" s="291" t="s">
        <v>526</v>
      </c>
      <c r="C240" s="291">
        <f>data!AZ66</f>
        <v>8816</v>
      </c>
      <c r="D240" s="291">
        <f>data!BA66</f>
        <v>4106</v>
      </c>
      <c r="E240" s="291">
        <f>data!BB66</f>
        <v>996</v>
      </c>
      <c r="F240" s="291">
        <f>data!BC66</f>
        <v>0</v>
      </c>
      <c r="G240" s="291">
        <f>data!BD66</f>
        <v>1126</v>
      </c>
      <c r="H240" s="291">
        <f>data!BE66</f>
        <v>39886</v>
      </c>
      <c r="I240" s="291">
        <f>data!BF66</f>
        <v>25090</v>
      </c>
    </row>
    <row r="241" spans="1:9" customFormat="1" ht="20.149999999999999" customHeight="1" x14ac:dyDescent="0.35">
      <c r="A241" s="290">
        <v>12</v>
      </c>
      <c r="B241" s="291" t="s">
        <v>16</v>
      </c>
      <c r="C241" s="291">
        <f>data!AZ67</f>
        <v>0</v>
      </c>
      <c r="D241" s="291">
        <f>data!BA67</f>
        <v>29406</v>
      </c>
      <c r="E241" s="291">
        <f>data!BB67</f>
        <v>0</v>
      </c>
      <c r="F241" s="291">
        <f>data!BC67</f>
        <v>0</v>
      </c>
      <c r="G241" s="291">
        <f>data!BD67</f>
        <v>0</v>
      </c>
      <c r="H241" s="291">
        <f>data!BE67</f>
        <v>133427</v>
      </c>
      <c r="I241" s="291">
        <f>data!BF67</f>
        <v>21221</v>
      </c>
    </row>
    <row r="242" spans="1:9" customFormat="1" ht="20.149999999999999" customHeight="1" x14ac:dyDescent="0.35">
      <c r="A242" s="290">
        <v>13</v>
      </c>
      <c r="B242" s="291" t="s">
        <v>1007</v>
      </c>
      <c r="C242" s="291">
        <f>data!AZ68</f>
        <v>6744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391</v>
      </c>
      <c r="I242" s="291">
        <f>data!BF68</f>
        <v>0</v>
      </c>
    </row>
    <row r="243" spans="1:9" customFormat="1" ht="20.149999999999999" customHeight="1" x14ac:dyDescent="0.35">
      <c r="A243" s="290">
        <v>14</v>
      </c>
      <c r="B243" s="291" t="s">
        <v>1008</v>
      </c>
      <c r="C243" s="291">
        <f>data!AZ69</f>
        <v>1245</v>
      </c>
      <c r="D243" s="291">
        <f>data!BA69</f>
        <v>791</v>
      </c>
      <c r="E243" s="291">
        <f>data!BB69</f>
        <v>0</v>
      </c>
      <c r="F243" s="291">
        <f>data!BC69</f>
        <v>0</v>
      </c>
      <c r="G243" s="291">
        <f>data!BD69</f>
        <v>3181</v>
      </c>
      <c r="H243" s="291">
        <f>data!BE69</f>
        <v>201106</v>
      </c>
      <c r="I243" s="291">
        <f>data!BF69</f>
        <v>1499</v>
      </c>
    </row>
    <row r="244" spans="1:9" customFormat="1" ht="20.149999999999999" customHeight="1" x14ac:dyDescent="0.35">
      <c r="A244" s="290">
        <v>15</v>
      </c>
      <c r="B244" s="291" t="s">
        <v>284</v>
      </c>
      <c r="C244" s="291">
        <f>-data!AZ84</f>
        <v>-128090</v>
      </c>
      <c r="D244" s="291">
        <f>-data!BA84</f>
        <v>-370144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0</v>
      </c>
      <c r="I244" s="291">
        <f>-data!BF84</f>
        <v>0</v>
      </c>
    </row>
    <row r="245" spans="1:9" customFormat="1" ht="20.149999999999999" customHeight="1" x14ac:dyDescent="0.35">
      <c r="A245" s="290">
        <v>16</v>
      </c>
      <c r="B245" s="299" t="s">
        <v>1009</v>
      </c>
      <c r="C245" s="291">
        <f>data!AZ85</f>
        <v>77131</v>
      </c>
      <c r="D245" s="291">
        <f>data!BA85</f>
        <v>90179</v>
      </c>
      <c r="E245" s="291">
        <f>data!BB85</f>
        <v>89711</v>
      </c>
      <c r="F245" s="291">
        <f>data!BC85</f>
        <v>0</v>
      </c>
      <c r="G245" s="291">
        <f>data!BD85</f>
        <v>332590</v>
      </c>
      <c r="H245" s="291">
        <f>data!BE85</f>
        <v>1078674</v>
      </c>
      <c r="I245" s="291">
        <f>data!BF85</f>
        <v>561710</v>
      </c>
    </row>
    <row r="246" spans="1:9" customFormat="1" ht="20.149999999999999" customHeight="1" x14ac:dyDescent="0.35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49999999999999" customHeight="1" x14ac:dyDescent="0.35">
      <c r="A247" s="290">
        <v>18</v>
      </c>
      <c r="B247" s="291" t="s">
        <v>1010</v>
      </c>
      <c r="C247" s="291"/>
      <c r="D247" s="291"/>
      <c r="E247" s="291"/>
      <c r="F247" s="291"/>
      <c r="G247" s="291"/>
      <c r="H247" s="291"/>
      <c r="I247" s="291"/>
    </row>
    <row r="248" spans="1:9" customFormat="1" ht="20.149999999999999" customHeight="1" x14ac:dyDescent="0.35">
      <c r="A248" s="290">
        <v>19</v>
      </c>
      <c r="B248" s="299" t="s">
        <v>1011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49999999999999" customHeight="1" x14ac:dyDescent="0.35">
      <c r="A249" s="290">
        <v>20</v>
      </c>
      <c r="B249" s="299" t="s">
        <v>1012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49999999999999" customHeight="1" x14ac:dyDescent="0.35">
      <c r="A250" s="290">
        <v>21</v>
      </c>
      <c r="B250" s="299" t="s">
        <v>1013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49999999999999" customHeight="1" x14ac:dyDescent="0.35">
      <c r="A251" s="290" t="s">
        <v>1014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49999999999999" customHeight="1" x14ac:dyDescent="0.35">
      <c r="A252" s="290">
        <v>22</v>
      </c>
      <c r="B252" s="291" t="s">
        <v>1015</v>
      </c>
      <c r="C252" s="307">
        <f>data!AZ90</f>
        <v>0</v>
      </c>
      <c r="D252" s="307">
        <f>data!BA90</f>
        <v>2073</v>
      </c>
      <c r="E252" s="307">
        <f>data!BB90</f>
        <v>0</v>
      </c>
      <c r="F252" s="307">
        <f>data!BC90</f>
        <v>0</v>
      </c>
      <c r="G252" s="307">
        <f>data!BD90</f>
        <v>0</v>
      </c>
      <c r="H252" s="307">
        <f>data!BE90</f>
        <v>9406</v>
      </c>
      <c r="I252" s="307">
        <f>data!BF90</f>
        <v>1496</v>
      </c>
    </row>
    <row r="253" spans="1:9" customFormat="1" ht="20.149999999999999" customHeight="1" x14ac:dyDescent="0.35">
      <c r="A253" s="290">
        <v>23</v>
      </c>
      <c r="B253" s="291" t="s">
        <v>1016</v>
      </c>
      <c r="C253" s="307">
        <f>data!AZ91</f>
        <v>1693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49999999999999" customHeight="1" x14ac:dyDescent="0.35">
      <c r="A254" s="290">
        <v>24</v>
      </c>
      <c r="B254" s="291" t="s">
        <v>1017</v>
      </c>
      <c r="C254" s="306" t="str">
        <f>IF(data!AZ92&gt;0,data!AZ92,"")</f>
        <v>x</v>
      </c>
      <c r="D254" s="307">
        <f>data!BA92</f>
        <v>0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49999999999999" customHeight="1" x14ac:dyDescent="0.35">
      <c r="A255" s="290">
        <v>25</v>
      </c>
      <c r="B255" s="291" t="s">
        <v>1018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49999999999999" customHeight="1" x14ac:dyDescent="0.35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49999999999999" customHeight="1" x14ac:dyDescent="0.35">
      <c r="A257" s="284" t="s">
        <v>1000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49999999999999" customHeight="1" x14ac:dyDescent="0.35">
      <c r="D258" s="286"/>
      <c r="I258" s="287" t="s">
        <v>1046</v>
      </c>
    </row>
    <row r="259" spans="1:9" customFormat="1" ht="20.149999999999999" customHeight="1" x14ac:dyDescent="0.35">
      <c r="A259" s="286"/>
    </row>
    <row r="260" spans="1:9" customFormat="1" ht="20.149999999999999" customHeight="1" x14ac:dyDescent="0.35">
      <c r="A260" s="288" t="str">
        <f>"Hospital: "&amp;data!C98</f>
        <v>Hospital: NORTH VALLEY HOSPITAL OCPHD#4</v>
      </c>
      <c r="G260" s="289"/>
      <c r="H260" s="288" t="str">
        <f>"FYE: "&amp;data!C96</f>
        <v>FYE: 12/31/2023</v>
      </c>
    </row>
    <row r="261" spans="1:9" customFormat="1" ht="20.149999999999999" customHeight="1" x14ac:dyDescent="0.35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49999999999999" customHeight="1" x14ac:dyDescent="0.35">
      <c r="A262" s="294">
        <v>2</v>
      </c>
      <c r="B262" s="295" t="s">
        <v>1002</v>
      </c>
      <c r="C262" s="297" t="s">
        <v>1047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49999999999999" customHeight="1" x14ac:dyDescent="0.35">
      <c r="A263" s="294"/>
      <c r="B263" s="295"/>
      <c r="C263" s="297" t="s">
        <v>1048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1049</v>
      </c>
    </row>
    <row r="264" spans="1:9" customFormat="1" ht="20.149999999999999" customHeight="1" x14ac:dyDescent="0.35">
      <c r="A264" s="290">
        <v>3</v>
      </c>
      <c r="B264" s="291" t="s">
        <v>1006</v>
      </c>
      <c r="C264" s="303"/>
      <c r="D264" s="303"/>
      <c r="E264" s="303"/>
      <c r="F264" s="303"/>
      <c r="G264" s="303"/>
      <c r="H264" s="303"/>
      <c r="I264" s="303"/>
    </row>
    <row r="265" spans="1:9" customFormat="1" ht="20.149999999999999" customHeight="1" x14ac:dyDescent="0.35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49999999999999" customHeight="1" x14ac:dyDescent="0.35">
      <c r="A266" s="290">
        <v>5</v>
      </c>
      <c r="B266" s="291" t="s">
        <v>262</v>
      </c>
      <c r="C266" s="298">
        <f>data!BG60</f>
        <v>0</v>
      </c>
      <c r="D266" s="298">
        <f>data!BH60</f>
        <v>1.99</v>
      </c>
      <c r="E266" s="298">
        <f>data!BI60</f>
        <v>0</v>
      </c>
      <c r="F266" s="298">
        <f>data!BJ60</f>
        <v>6.87</v>
      </c>
      <c r="G266" s="298">
        <f>data!BK60</f>
        <v>7.5</v>
      </c>
      <c r="H266" s="298">
        <f>data!BL60</f>
        <v>8.82</v>
      </c>
      <c r="I266" s="298">
        <f>data!BM60</f>
        <v>0</v>
      </c>
    </row>
    <row r="267" spans="1:9" customFormat="1" ht="20.149999999999999" customHeight="1" x14ac:dyDescent="0.35">
      <c r="A267" s="290">
        <v>6</v>
      </c>
      <c r="B267" s="291" t="s">
        <v>263</v>
      </c>
      <c r="C267" s="291">
        <f>data!BG61</f>
        <v>0</v>
      </c>
      <c r="D267" s="291">
        <f>data!BH61</f>
        <v>204713</v>
      </c>
      <c r="E267" s="291">
        <f>data!BI61</f>
        <v>0</v>
      </c>
      <c r="F267" s="291">
        <f>data!BJ61</f>
        <v>528018</v>
      </c>
      <c r="G267" s="291">
        <f>data!BK61</f>
        <v>421964</v>
      </c>
      <c r="H267" s="291">
        <f>data!BL61</f>
        <v>410426</v>
      </c>
      <c r="I267" s="291">
        <f>data!BM61</f>
        <v>0</v>
      </c>
    </row>
    <row r="268" spans="1:9" customFormat="1" ht="20.149999999999999" customHeight="1" x14ac:dyDescent="0.35">
      <c r="A268" s="290">
        <v>7</v>
      </c>
      <c r="B268" s="291" t="s">
        <v>11</v>
      </c>
      <c r="C268" s="291">
        <f>data!BG62</f>
        <v>0</v>
      </c>
      <c r="D268" s="291">
        <f>data!BH62</f>
        <v>45604</v>
      </c>
      <c r="E268" s="291">
        <f>data!BI62</f>
        <v>0</v>
      </c>
      <c r="F268" s="291">
        <f>data!BJ62</f>
        <v>117627</v>
      </c>
      <c r="G268" s="291">
        <f>data!BK62</f>
        <v>94002</v>
      </c>
      <c r="H268" s="291">
        <f>data!BL62</f>
        <v>91431</v>
      </c>
      <c r="I268" s="291">
        <f>data!BM62</f>
        <v>0</v>
      </c>
    </row>
    <row r="269" spans="1:9" customFormat="1" ht="20.149999999999999" customHeight="1" x14ac:dyDescent="0.35">
      <c r="A269" s="290">
        <v>8</v>
      </c>
      <c r="B269" s="291" t="s">
        <v>264</v>
      </c>
      <c r="C269" s="291">
        <f>data!BG63</f>
        <v>0</v>
      </c>
      <c r="D269" s="291">
        <f>data!BH63</f>
        <v>124868</v>
      </c>
      <c r="E269" s="291">
        <f>data!BI63</f>
        <v>0</v>
      </c>
      <c r="F269" s="291">
        <f>data!BJ63</f>
        <v>65500</v>
      </c>
      <c r="G269" s="291">
        <f>data!BK63</f>
        <v>10880</v>
      </c>
      <c r="H269" s="291">
        <f>data!BL63</f>
        <v>0</v>
      </c>
      <c r="I269" s="291">
        <f>data!BM63</f>
        <v>0</v>
      </c>
    </row>
    <row r="270" spans="1:9" customFormat="1" ht="20.149999999999999" customHeight="1" x14ac:dyDescent="0.35">
      <c r="A270" s="290">
        <v>9</v>
      </c>
      <c r="B270" s="291" t="s">
        <v>265</v>
      </c>
      <c r="C270" s="291">
        <f>data!BG64</f>
        <v>1892</v>
      </c>
      <c r="D270" s="291">
        <f>data!BH64</f>
        <v>13455</v>
      </c>
      <c r="E270" s="291">
        <f>data!BI64</f>
        <v>0</v>
      </c>
      <c r="F270" s="291">
        <f>data!BJ64</f>
        <v>9813</v>
      </c>
      <c r="G270" s="291">
        <f>data!BK64</f>
        <v>3784</v>
      </c>
      <c r="H270" s="291">
        <f>data!BL64</f>
        <v>9389</v>
      </c>
      <c r="I270" s="291">
        <f>data!BM64</f>
        <v>0</v>
      </c>
    </row>
    <row r="271" spans="1:9" customFormat="1" ht="20.149999999999999" customHeight="1" x14ac:dyDescent="0.35">
      <c r="A271" s="290">
        <v>10</v>
      </c>
      <c r="B271" s="291" t="s">
        <v>525</v>
      </c>
      <c r="C271" s="291">
        <f>data!BG65</f>
        <v>35282</v>
      </c>
      <c r="D271" s="291">
        <f>data!BH65</f>
        <v>0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49999999999999" customHeight="1" x14ac:dyDescent="0.35">
      <c r="A272" s="290">
        <v>11</v>
      </c>
      <c r="B272" s="291" t="s">
        <v>526</v>
      </c>
      <c r="C272" s="291">
        <f>data!BG66</f>
        <v>10445</v>
      </c>
      <c r="D272" s="291">
        <f>data!BH66</f>
        <v>466303</v>
      </c>
      <c r="E272" s="291">
        <f>data!BI66</f>
        <v>0</v>
      </c>
      <c r="F272" s="291">
        <f>data!BJ66</f>
        <v>9039</v>
      </c>
      <c r="G272" s="291">
        <f>data!BK66</f>
        <v>98558</v>
      </c>
      <c r="H272" s="291">
        <f>data!BL66</f>
        <v>5275</v>
      </c>
      <c r="I272" s="291">
        <f>data!BM66</f>
        <v>0</v>
      </c>
    </row>
    <row r="273" spans="1:9" customFormat="1" ht="20.149999999999999" customHeight="1" x14ac:dyDescent="0.35">
      <c r="A273" s="290">
        <v>12</v>
      </c>
      <c r="B273" s="291" t="s">
        <v>16</v>
      </c>
      <c r="C273" s="291">
        <f>data!BG67</f>
        <v>10497</v>
      </c>
      <c r="D273" s="291">
        <f>data!BH67</f>
        <v>20640</v>
      </c>
      <c r="E273" s="291">
        <f>data!BI67</f>
        <v>0</v>
      </c>
      <c r="F273" s="291">
        <f>data!BJ67</f>
        <v>34555</v>
      </c>
      <c r="G273" s="291">
        <f>data!BK67</f>
        <v>0</v>
      </c>
      <c r="H273" s="291">
        <f>data!BL67</f>
        <v>32314</v>
      </c>
      <c r="I273" s="291">
        <f>data!BM67</f>
        <v>0</v>
      </c>
    </row>
    <row r="274" spans="1:9" customFormat="1" ht="20.149999999999999" customHeight="1" x14ac:dyDescent="0.35">
      <c r="A274" s="290">
        <v>13</v>
      </c>
      <c r="B274" s="291" t="s">
        <v>1007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0</v>
      </c>
      <c r="I274" s="291">
        <f>data!BM68</f>
        <v>0</v>
      </c>
    </row>
    <row r="275" spans="1:9" customFormat="1" ht="20.149999999999999" customHeight="1" x14ac:dyDescent="0.35">
      <c r="A275" s="290">
        <v>14</v>
      </c>
      <c r="B275" s="291" t="s">
        <v>1008</v>
      </c>
      <c r="C275" s="291">
        <f>data!BG69</f>
        <v>0</v>
      </c>
      <c r="D275" s="291">
        <f>data!BH69</f>
        <v>43557</v>
      </c>
      <c r="E275" s="291">
        <f>data!BI69</f>
        <v>0</v>
      </c>
      <c r="F275" s="291">
        <f>data!BJ69</f>
        <v>44760</v>
      </c>
      <c r="G275" s="291">
        <f>data!BK69</f>
        <v>575</v>
      </c>
      <c r="H275" s="291">
        <f>data!BL69</f>
        <v>347</v>
      </c>
      <c r="I275" s="291">
        <f>data!BM69</f>
        <v>0</v>
      </c>
    </row>
    <row r="276" spans="1:9" customFormat="1" ht="20.149999999999999" customHeight="1" x14ac:dyDescent="0.35">
      <c r="A276" s="290">
        <v>15</v>
      </c>
      <c r="B276" s="291" t="s">
        <v>284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0</v>
      </c>
      <c r="I276" s="291">
        <f>-data!BM84</f>
        <v>0</v>
      </c>
    </row>
    <row r="277" spans="1:9" customFormat="1" ht="20.149999999999999" customHeight="1" x14ac:dyDescent="0.35">
      <c r="A277" s="290">
        <v>16</v>
      </c>
      <c r="B277" s="299" t="s">
        <v>1009</v>
      </c>
      <c r="C277" s="291">
        <f>data!BG85</f>
        <v>58116</v>
      </c>
      <c r="D277" s="291">
        <f>data!BH85</f>
        <v>919140</v>
      </c>
      <c r="E277" s="291">
        <f>data!BI85</f>
        <v>0</v>
      </c>
      <c r="F277" s="291">
        <f>data!BJ85</f>
        <v>809312</v>
      </c>
      <c r="G277" s="291">
        <f>data!BK85</f>
        <v>629763</v>
      </c>
      <c r="H277" s="291">
        <f>data!BL85</f>
        <v>549182</v>
      </c>
      <c r="I277" s="291">
        <f>data!BM85</f>
        <v>0</v>
      </c>
    </row>
    <row r="278" spans="1:9" customFormat="1" ht="20.149999999999999" customHeight="1" x14ac:dyDescent="0.35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49999999999999" customHeight="1" x14ac:dyDescent="0.35">
      <c r="A279" s="290">
        <v>18</v>
      </c>
      <c r="B279" s="291" t="s">
        <v>1010</v>
      </c>
      <c r="C279" s="291"/>
      <c r="D279" s="291"/>
      <c r="E279" s="291"/>
      <c r="F279" s="291"/>
      <c r="G279" s="291"/>
      <c r="H279" s="291"/>
      <c r="I279" s="291"/>
    </row>
    <row r="280" spans="1:9" customFormat="1" ht="20.149999999999999" customHeight="1" x14ac:dyDescent="0.35">
      <c r="A280" s="290">
        <v>19</v>
      </c>
      <c r="B280" s="299" t="s">
        <v>1011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49999999999999" customHeight="1" x14ac:dyDescent="0.35">
      <c r="A281" s="290">
        <v>20</v>
      </c>
      <c r="B281" s="299" t="s">
        <v>1012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49999999999999" customHeight="1" x14ac:dyDescent="0.35">
      <c r="A282" s="290">
        <v>21</v>
      </c>
      <c r="B282" s="299" t="s">
        <v>1013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49999999999999" customHeight="1" x14ac:dyDescent="0.35">
      <c r="A283" s="290" t="s">
        <v>1014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49999999999999" customHeight="1" x14ac:dyDescent="0.35">
      <c r="A284" s="290">
        <v>22</v>
      </c>
      <c r="B284" s="291" t="s">
        <v>1015</v>
      </c>
      <c r="C284" s="307">
        <f>data!BG90</f>
        <v>740</v>
      </c>
      <c r="D284" s="307">
        <f>data!BH90</f>
        <v>1455</v>
      </c>
      <c r="E284" s="307">
        <f>data!BI90</f>
        <v>0</v>
      </c>
      <c r="F284" s="307">
        <f>data!BJ90</f>
        <v>2436</v>
      </c>
      <c r="G284" s="307">
        <f>data!BK90</f>
        <v>0</v>
      </c>
      <c r="H284" s="307">
        <f>data!BL90</f>
        <v>2278</v>
      </c>
      <c r="I284" s="307">
        <f>data!BM90</f>
        <v>0</v>
      </c>
    </row>
    <row r="285" spans="1:9" customFormat="1" ht="20.149999999999999" customHeight="1" x14ac:dyDescent="0.35">
      <c r="A285" s="290">
        <v>23</v>
      </c>
      <c r="B285" s="291" t="s">
        <v>1016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49999999999999" customHeight="1" x14ac:dyDescent="0.35">
      <c r="A286" s="290">
        <v>24</v>
      </c>
      <c r="B286" s="291" t="s">
        <v>1017</v>
      </c>
      <c r="C286" s="306" t="str">
        <f>IF(data!BG92&gt;0,data!BG92,"")</f>
        <v>x</v>
      </c>
      <c r="D286" s="307">
        <f>data!BH92</f>
        <v>70</v>
      </c>
      <c r="E286" s="307">
        <f>data!BI92</f>
        <v>0</v>
      </c>
      <c r="F286" s="306" t="str">
        <f>IF(data!BJ92&gt;0,data!BJ92,"")</f>
        <v>x</v>
      </c>
      <c r="G286" s="307">
        <f>data!BK92</f>
        <v>0</v>
      </c>
      <c r="H286" s="307">
        <f>data!BL92</f>
        <v>266</v>
      </c>
      <c r="I286" s="307">
        <f>data!BM92</f>
        <v>0</v>
      </c>
    </row>
    <row r="287" spans="1:9" customFormat="1" ht="20.149999999999999" customHeight="1" x14ac:dyDescent="0.35">
      <c r="A287" s="290">
        <v>25</v>
      </c>
      <c r="B287" s="291" t="s">
        <v>1018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49999999999999" customHeight="1" x14ac:dyDescent="0.35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49999999999999" customHeight="1" x14ac:dyDescent="0.35">
      <c r="A289" s="284" t="s">
        <v>1000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49999999999999" customHeight="1" x14ac:dyDescent="0.35">
      <c r="D290" s="286"/>
      <c r="I290" s="287" t="s">
        <v>1050</v>
      </c>
    </row>
    <row r="291" spans="1:9" customFormat="1" ht="20.149999999999999" customHeight="1" x14ac:dyDescent="0.35">
      <c r="A291" s="286"/>
    </row>
    <row r="292" spans="1:9" customFormat="1" ht="20.149999999999999" customHeight="1" x14ac:dyDescent="0.35">
      <c r="A292" s="288" t="str">
        <f>"Hospital: "&amp;data!C98</f>
        <v>Hospital: NORTH VALLEY HOSPITAL OCPHD#4</v>
      </c>
      <c r="G292" s="289"/>
      <c r="H292" s="288" t="str">
        <f>"FYE: "&amp;data!C96</f>
        <v>FYE: 12/31/2023</v>
      </c>
    </row>
    <row r="293" spans="1:9" customFormat="1" ht="20.149999999999999" customHeight="1" x14ac:dyDescent="0.35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49999999999999" customHeight="1" x14ac:dyDescent="0.35">
      <c r="A294" s="294">
        <v>2</v>
      </c>
      <c r="B294" s="295" t="s">
        <v>1002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49999999999999" customHeight="1" x14ac:dyDescent="0.35">
      <c r="A295" s="294"/>
      <c r="B295" s="295"/>
      <c r="C295" s="297" t="s">
        <v>1051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49999999999999" customHeight="1" x14ac:dyDescent="0.35">
      <c r="A296" s="290">
        <v>3</v>
      </c>
      <c r="B296" s="291" t="s">
        <v>1006</v>
      </c>
      <c r="C296" s="303"/>
      <c r="D296" s="303"/>
      <c r="E296" s="303"/>
      <c r="F296" s="303"/>
      <c r="G296" s="303"/>
      <c r="H296" s="303"/>
      <c r="I296" s="303"/>
    </row>
    <row r="297" spans="1:9" customFormat="1" ht="20.149999999999999" customHeight="1" x14ac:dyDescent="0.35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49999999999999" customHeight="1" x14ac:dyDescent="0.35">
      <c r="A298" s="290">
        <v>5</v>
      </c>
      <c r="B298" s="291" t="s">
        <v>262</v>
      </c>
      <c r="C298" s="298">
        <f>data!BN60</f>
        <v>2.1800000000000002</v>
      </c>
      <c r="D298" s="298">
        <f>data!BO60</f>
        <v>0</v>
      </c>
      <c r="E298" s="298">
        <f>data!BP60</f>
        <v>0</v>
      </c>
      <c r="F298" s="298">
        <f>data!BQ60</f>
        <v>0</v>
      </c>
      <c r="G298" s="298">
        <f>data!BR60</f>
        <v>2.17</v>
      </c>
      <c r="H298" s="298">
        <f>data!BS60</f>
        <v>0</v>
      </c>
      <c r="I298" s="298">
        <f>data!BT60</f>
        <v>0</v>
      </c>
    </row>
    <row r="299" spans="1:9" customFormat="1" ht="20.149999999999999" customHeight="1" x14ac:dyDescent="0.35">
      <c r="A299" s="290">
        <v>6</v>
      </c>
      <c r="B299" s="291" t="s">
        <v>263</v>
      </c>
      <c r="C299" s="291">
        <f>data!BN61</f>
        <v>1830799</v>
      </c>
      <c r="D299" s="291">
        <f>data!BO61</f>
        <v>0</v>
      </c>
      <c r="E299" s="291">
        <f>data!BP61</f>
        <v>0</v>
      </c>
      <c r="F299" s="291">
        <f>data!BQ61</f>
        <v>0</v>
      </c>
      <c r="G299" s="291">
        <f>data!BR61</f>
        <v>195383</v>
      </c>
      <c r="H299" s="291">
        <f>data!BS61</f>
        <v>0</v>
      </c>
      <c r="I299" s="291">
        <f>data!BT61</f>
        <v>0</v>
      </c>
    </row>
    <row r="300" spans="1:9" customFormat="1" ht="20.149999999999999" customHeight="1" x14ac:dyDescent="0.35">
      <c r="A300" s="290">
        <v>7</v>
      </c>
      <c r="B300" s="291" t="s">
        <v>11</v>
      </c>
      <c r="C300" s="291">
        <f>data!BN62</f>
        <v>407850</v>
      </c>
      <c r="D300" s="291">
        <f>data!BO62</f>
        <v>0</v>
      </c>
      <c r="E300" s="291">
        <f>data!BP62</f>
        <v>0</v>
      </c>
      <c r="F300" s="291">
        <f>data!BQ62</f>
        <v>0</v>
      </c>
      <c r="G300" s="291">
        <f>data!BR62</f>
        <v>43526</v>
      </c>
      <c r="H300" s="291">
        <f>data!BS62</f>
        <v>0</v>
      </c>
      <c r="I300" s="291">
        <f>data!BT62</f>
        <v>0</v>
      </c>
    </row>
    <row r="301" spans="1:9" customFormat="1" ht="20.149999999999999" customHeight="1" x14ac:dyDescent="0.35">
      <c r="A301" s="290">
        <v>8</v>
      </c>
      <c r="B301" s="291" t="s">
        <v>264</v>
      </c>
      <c r="C301" s="291">
        <f>data!BN63</f>
        <v>171009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109022</v>
      </c>
      <c r="H301" s="291">
        <f>data!BS63</f>
        <v>0</v>
      </c>
      <c r="I301" s="291">
        <f>data!BT63</f>
        <v>0</v>
      </c>
    </row>
    <row r="302" spans="1:9" customFormat="1" ht="20.149999999999999" customHeight="1" x14ac:dyDescent="0.35">
      <c r="A302" s="290">
        <v>9</v>
      </c>
      <c r="B302" s="291" t="s">
        <v>265</v>
      </c>
      <c r="C302" s="291">
        <f>data!BN64</f>
        <v>69354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5947</v>
      </c>
      <c r="H302" s="291">
        <f>data!BS64</f>
        <v>0</v>
      </c>
      <c r="I302" s="291">
        <f>data!BT64</f>
        <v>0</v>
      </c>
    </row>
    <row r="303" spans="1:9" customFormat="1" ht="20.149999999999999" customHeight="1" x14ac:dyDescent="0.35">
      <c r="A303" s="290">
        <v>10</v>
      </c>
      <c r="B303" s="291" t="s">
        <v>525</v>
      </c>
      <c r="C303" s="291">
        <f>data!BN65</f>
        <v>10257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49999999999999" customHeight="1" x14ac:dyDescent="0.35">
      <c r="A304" s="290">
        <v>11</v>
      </c>
      <c r="B304" s="291" t="s">
        <v>526</v>
      </c>
      <c r="C304" s="291">
        <f>data!BN66</f>
        <v>181703</v>
      </c>
      <c r="D304" s="291">
        <f>data!BO66</f>
        <v>0</v>
      </c>
      <c r="E304" s="291">
        <f>data!BP66</f>
        <v>0</v>
      </c>
      <c r="F304" s="291">
        <f>data!BQ66</f>
        <v>0</v>
      </c>
      <c r="G304" s="291">
        <f>data!BR66</f>
        <v>12342</v>
      </c>
      <c r="H304" s="291">
        <f>data!BS66</f>
        <v>0</v>
      </c>
      <c r="I304" s="291">
        <f>data!BT66</f>
        <v>0</v>
      </c>
    </row>
    <row r="305" spans="1:9" customFormat="1" ht="20.149999999999999" customHeight="1" x14ac:dyDescent="0.35">
      <c r="A305" s="290">
        <v>12</v>
      </c>
      <c r="B305" s="291" t="s">
        <v>16</v>
      </c>
      <c r="C305" s="291">
        <f>data!BN67</f>
        <v>43421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37563</v>
      </c>
      <c r="H305" s="291">
        <f>data!BS67</f>
        <v>0</v>
      </c>
      <c r="I305" s="291">
        <f>data!BT67</f>
        <v>0</v>
      </c>
    </row>
    <row r="306" spans="1:9" customFormat="1" ht="20.149999999999999" customHeight="1" x14ac:dyDescent="0.35">
      <c r="A306" s="290">
        <v>13</v>
      </c>
      <c r="B306" s="291" t="s">
        <v>1007</v>
      </c>
      <c r="C306" s="291">
        <f>data!BN68</f>
        <v>129289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49999999999999" customHeight="1" x14ac:dyDescent="0.35">
      <c r="A307" s="290">
        <v>14</v>
      </c>
      <c r="B307" s="291" t="s">
        <v>1008</v>
      </c>
      <c r="C307" s="291">
        <f>data!BN69</f>
        <v>94276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99735</v>
      </c>
      <c r="H307" s="291">
        <f>data!BS69</f>
        <v>0</v>
      </c>
      <c r="I307" s="291">
        <f>data!BT69</f>
        <v>0</v>
      </c>
    </row>
    <row r="308" spans="1:9" customFormat="1" ht="20.149999999999999" customHeight="1" x14ac:dyDescent="0.35">
      <c r="A308" s="290">
        <v>15</v>
      </c>
      <c r="B308" s="291" t="s">
        <v>284</v>
      </c>
      <c r="C308" s="291">
        <f>-data!BN84</f>
        <v>-32804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49999999999999" customHeight="1" x14ac:dyDescent="0.35">
      <c r="A309" s="290">
        <v>16</v>
      </c>
      <c r="B309" s="299" t="s">
        <v>1009</v>
      </c>
      <c r="C309" s="291">
        <f>data!BN85</f>
        <v>2905154</v>
      </c>
      <c r="D309" s="291">
        <f>data!BO85</f>
        <v>0</v>
      </c>
      <c r="E309" s="291">
        <f>data!BP85</f>
        <v>0</v>
      </c>
      <c r="F309" s="291">
        <f>data!BQ85</f>
        <v>0</v>
      </c>
      <c r="G309" s="291">
        <f>data!BR85</f>
        <v>503518</v>
      </c>
      <c r="H309" s="291">
        <f>data!BS85</f>
        <v>0</v>
      </c>
      <c r="I309" s="291">
        <f>data!BT85</f>
        <v>0</v>
      </c>
    </row>
    <row r="310" spans="1:9" customFormat="1" ht="20.149999999999999" customHeight="1" x14ac:dyDescent="0.35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49999999999999" customHeight="1" x14ac:dyDescent="0.35">
      <c r="A311" s="290">
        <v>18</v>
      </c>
      <c r="B311" s="291" t="s">
        <v>1010</v>
      </c>
      <c r="C311" s="291"/>
      <c r="D311" s="291"/>
      <c r="E311" s="291"/>
      <c r="F311" s="291"/>
      <c r="G311" s="291"/>
      <c r="H311" s="291"/>
      <c r="I311" s="291"/>
    </row>
    <row r="312" spans="1:9" customFormat="1" ht="20.149999999999999" customHeight="1" x14ac:dyDescent="0.35">
      <c r="A312" s="290">
        <v>19</v>
      </c>
      <c r="B312" s="299" t="s">
        <v>1011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49999999999999" customHeight="1" x14ac:dyDescent="0.35">
      <c r="A313" s="290">
        <v>20</v>
      </c>
      <c r="B313" s="299" t="s">
        <v>1012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49999999999999" customHeight="1" x14ac:dyDescent="0.35">
      <c r="A314" s="290">
        <v>21</v>
      </c>
      <c r="B314" s="299" t="s">
        <v>1013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49999999999999" customHeight="1" x14ac:dyDescent="0.35">
      <c r="A315" s="290" t="s">
        <v>1014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49999999999999" customHeight="1" x14ac:dyDescent="0.35">
      <c r="A316" s="290">
        <v>22</v>
      </c>
      <c r="B316" s="291" t="s">
        <v>1015</v>
      </c>
      <c r="C316" s="307">
        <f>data!BN90</f>
        <v>3061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2648</v>
      </c>
      <c r="H316" s="307">
        <f>data!BS90</f>
        <v>0</v>
      </c>
      <c r="I316" s="307">
        <f>data!BT90</f>
        <v>0</v>
      </c>
    </row>
    <row r="317" spans="1:9" customFormat="1" ht="20.149999999999999" customHeight="1" x14ac:dyDescent="0.35">
      <c r="A317" s="290">
        <v>23</v>
      </c>
      <c r="B317" s="291" t="s">
        <v>1016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49999999999999" customHeight="1" x14ac:dyDescent="0.35">
      <c r="A318" s="290">
        <v>24</v>
      </c>
      <c r="B318" s="291" t="s">
        <v>1017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49999999999999" customHeight="1" x14ac:dyDescent="0.35">
      <c r="A319" s="290">
        <v>25</v>
      </c>
      <c r="B319" s="291" t="s">
        <v>1018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49999999999999" customHeight="1" x14ac:dyDescent="0.35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49999999999999" customHeight="1" x14ac:dyDescent="0.35">
      <c r="A321" s="284" t="s">
        <v>1000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49999999999999" customHeight="1" x14ac:dyDescent="0.35">
      <c r="D322" s="286"/>
      <c r="I322" s="287" t="s">
        <v>1052</v>
      </c>
    </row>
    <row r="323" spans="1:9" customFormat="1" ht="20.149999999999999" customHeight="1" x14ac:dyDescent="0.35">
      <c r="A323" s="286"/>
    </row>
    <row r="324" spans="1:9" customFormat="1" ht="20.149999999999999" customHeight="1" x14ac:dyDescent="0.35">
      <c r="A324" s="288" t="str">
        <f>"Hospital: "&amp;data!C98</f>
        <v>Hospital: NORTH VALLEY HOSPITAL OCPHD#4</v>
      </c>
      <c r="G324" s="289"/>
      <c r="H324" s="288" t="str">
        <f>"FYE: "&amp;data!C96</f>
        <v>FYE: 12/31/2023</v>
      </c>
    </row>
    <row r="325" spans="1:9" customFormat="1" ht="20.149999999999999" customHeight="1" x14ac:dyDescent="0.35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49999999999999" customHeight="1" x14ac:dyDescent="0.35">
      <c r="A326" s="294">
        <v>2</v>
      </c>
      <c r="B326" s="295" t="s">
        <v>1002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49999999999999" customHeight="1" x14ac:dyDescent="0.35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1051</v>
      </c>
      <c r="H327" s="297" t="s">
        <v>179</v>
      </c>
      <c r="I327" s="297" t="s">
        <v>228</v>
      </c>
    </row>
    <row r="328" spans="1:9" customFormat="1" ht="20.149999999999999" customHeight="1" x14ac:dyDescent="0.35">
      <c r="A328" s="290">
        <v>3</v>
      </c>
      <c r="B328" s="291" t="s">
        <v>1006</v>
      </c>
      <c r="C328" s="303"/>
      <c r="D328" s="303"/>
      <c r="E328" s="303"/>
      <c r="F328" s="303"/>
      <c r="G328" s="303"/>
      <c r="H328" s="303"/>
      <c r="I328" s="303"/>
    </row>
    <row r="329" spans="1:9" customFormat="1" ht="20.149999999999999" customHeight="1" x14ac:dyDescent="0.35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49999999999999" customHeight="1" x14ac:dyDescent="0.35">
      <c r="A330" s="290">
        <v>5</v>
      </c>
      <c r="B330" s="291" t="s">
        <v>262</v>
      </c>
      <c r="C330" s="298">
        <f>data!BU60</f>
        <v>0</v>
      </c>
      <c r="D330" s="298">
        <f>data!BV60</f>
        <v>10.37</v>
      </c>
      <c r="E330" s="298">
        <f>data!BW60</f>
        <v>0</v>
      </c>
      <c r="F330" s="298">
        <f>data!BX60</f>
        <v>0</v>
      </c>
      <c r="G330" s="298">
        <f>data!BY60</f>
        <v>2.66</v>
      </c>
      <c r="H330" s="298">
        <f>data!BZ60</f>
        <v>0</v>
      </c>
      <c r="I330" s="298">
        <f>data!CA60</f>
        <v>0</v>
      </c>
    </row>
    <row r="331" spans="1:9" customFormat="1" ht="20.149999999999999" customHeight="1" x14ac:dyDescent="0.35">
      <c r="A331" s="290">
        <v>6</v>
      </c>
      <c r="B331" s="291" t="s">
        <v>263</v>
      </c>
      <c r="C331" s="310">
        <f>data!BU61</f>
        <v>0</v>
      </c>
      <c r="D331" s="310">
        <f>data!BV61</f>
        <v>549665</v>
      </c>
      <c r="E331" s="310">
        <f>data!BW61</f>
        <v>0</v>
      </c>
      <c r="F331" s="310">
        <f>data!BX61</f>
        <v>0</v>
      </c>
      <c r="G331" s="310">
        <f>data!BY61</f>
        <v>330385</v>
      </c>
      <c r="H331" s="310">
        <f>data!BZ61</f>
        <v>0</v>
      </c>
      <c r="I331" s="310">
        <f>data!CA61</f>
        <v>0</v>
      </c>
    </row>
    <row r="332" spans="1:9" customFormat="1" ht="20.149999999999999" customHeight="1" x14ac:dyDescent="0.35">
      <c r="A332" s="290">
        <v>7</v>
      </c>
      <c r="B332" s="291" t="s">
        <v>11</v>
      </c>
      <c r="C332" s="310">
        <f>data!BU62</f>
        <v>0</v>
      </c>
      <c r="D332" s="310">
        <f>data!BV62</f>
        <v>122450</v>
      </c>
      <c r="E332" s="310">
        <f>data!BW62</f>
        <v>0</v>
      </c>
      <c r="F332" s="310">
        <f>data!BX62</f>
        <v>0</v>
      </c>
      <c r="G332" s="310">
        <f>data!BY62</f>
        <v>73600</v>
      </c>
      <c r="H332" s="310">
        <f>data!BZ62</f>
        <v>0</v>
      </c>
      <c r="I332" s="310">
        <f>data!CA62</f>
        <v>0</v>
      </c>
    </row>
    <row r="333" spans="1:9" customFormat="1" ht="20.149999999999999" customHeight="1" x14ac:dyDescent="0.35">
      <c r="A333" s="290">
        <v>8</v>
      </c>
      <c r="B333" s="291" t="s">
        <v>264</v>
      </c>
      <c r="C333" s="310">
        <f>data!BU63</f>
        <v>0</v>
      </c>
      <c r="D333" s="310">
        <f>data!BV63</f>
        <v>49000</v>
      </c>
      <c r="E333" s="310">
        <f>data!BW63</f>
        <v>0</v>
      </c>
      <c r="F333" s="310">
        <f>data!BX63</f>
        <v>0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49999999999999" customHeight="1" x14ac:dyDescent="0.35">
      <c r="A334" s="290">
        <v>9</v>
      </c>
      <c r="B334" s="291" t="s">
        <v>265</v>
      </c>
      <c r="C334" s="310">
        <f>data!BU64</f>
        <v>0</v>
      </c>
      <c r="D334" s="310">
        <f>data!BV64</f>
        <v>3448</v>
      </c>
      <c r="E334" s="310">
        <f>data!BW64</f>
        <v>0</v>
      </c>
      <c r="F334" s="310">
        <f>data!BX64</f>
        <v>0</v>
      </c>
      <c r="G334" s="310">
        <f>data!BY64</f>
        <v>4734</v>
      </c>
      <c r="H334" s="310">
        <f>data!BZ64</f>
        <v>0</v>
      </c>
      <c r="I334" s="310">
        <f>data!CA64</f>
        <v>0</v>
      </c>
    </row>
    <row r="335" spans="1:9" customFormat="1" ht="20.149999999999999" customHeight="1" x14ac:dyDescent="0.35">
      <c r="A335" s="290">
        <v>10</v>
      </c>
      <c r="B335" s="291" t="s">
        <v>525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0</v>
      </c>
      <c r="H335" s="310">
        <f>data!BZ65</f>
        <v>0</v>
      </c>
      <c r="I335" s="310">
        <f>data!CA65</f>
        <v>0</v>
      </c>
    </row>
    <row r="336" spans="1:9" customFormat="1" ht="20.149999999999999" customHeight="1" x14ac:dyDescent="0.35">
      <c r="A336" s="290">
        <v>11</v>
      </c>
      <c r="B336" s="291" t="s">
        <v>526</v>
      </c>
      <c r="C336" s="310">
        <f>data!BU66</f>
        <v>0</v>
      </c>
      <c r="D336" s="310">
        <f>data!BV66</f>
        <v>40683</v>
      </c>
      <c r="E336" s="310">
        <f>data!BW66</f>
        <v>0</v>
      </c>
      <c r="F336" s="310">
        <f>data!BX66</f>
        <v>0</v>
      </c>
      <c r="G336" s="310">
        <f>data!BY66</f>
        <v>12876</v>
      </c>
      <c r="H336" s="310">
        <f>data!BZ66</f>
        <v>0</v>
      </c>
      <c r="I336" s="310">
        <f>data!CA66</f>
        <v>0</v>
      </c>
    </row>
    <row r="337" spans="1:9" customFormat="1" ht="20.149999999999999" customHeight="1" x14ac:dyDescent="0.35">
      <c r="A337" s="290">
        <v>12</v>
      </c>
      <c r="B337" s="291" t="s">
        <v>16</v>
      </c>
      <c r="C337" s="310">
        <f>data!BU67</f>
        <v>0</v>
      </c>
      <c r="D337" s="310">
        <f>data!BV67</f>
        <v>18412</v>
      </c>
      <c r="E337" s="310">
        <f>data!BW67</f>
        <v>0</v>
      </c>
      <c r="F337" s="310">
        <f>data!BX67</f>
        <v>0</v>
      </c>
      <c r="G337" s="310">
        <f>data!BY67</f>
        <v>8000</v>
      </c>
      <c r="H337" s="310">
        <f>data!BZ67</f>
        <v>0</v>
      </c>
      <c r="I337" s="310">
        <f>data!CA67</f>
        <v>0</v>
      </c>
    </row>
    <row r="338" spans="1:9" customFormat="1" ht="20.149999999999999" customHeight="1" x14ac:dyDescent="0.35">
      <c r="A338" s="290">
        <v>13</v>
      </c>
      <c r="B338" s="291" t="s">
        <v>1007</v>
      </c>
      <c r="C338" s="310">
        <f>data!BU68</f>
        <v>0</v>
      </c>
      <c r="D338" s="310">
        <f>data!BV68</f>
        <v>17473</v>
      </c>
      <c r="E338" s="310">
        <f>data!BW68</f>
        <v>0</v>
      </c>
      <c r="F338" s="310">
        <f>data!BX68</f>
        <v>0</v>
      </c>
      <c r="G338" s="310">
        <f>data!BY68</f>
        <v>0</v>
      </c>
      <c r="H338" s="310">
        <f>data!BZ68</f>
        <v>0</v>
      </c>
      <c r="I338" s="310">
        <f>data!CA68</f>
        <v>0</v>
      </c>
    </row>
    <row r="339" spans="1:9" customFormat="1" ht="20.149999999999999" customHeight="1" x14ac:dyDescent="0.35">
      <c r="A339" s="290">
        <v>14</v>
      </c>
      <c r="B339" s="291" t="s">
        <v>1008</v>
      </c>
      <c r="C339" s="310">
        <f>data!BU69</f>
        <v>0</v>
      </c>
      <c r="D339" s="310">
        <f>data!BV69</f>
        <v>7978</v>
      </c>
      <c r="E339" s="310">
        <f>data!BW69</f>
        <v>0</v>
      </c>
      <c r="F339" s="310">
        <f>data!BX69</f>
        <v>0</v>
      </c>
      <c r="G339" s="310">
        <f>data!BY69</f>
        <v>25669</v>
      </c>
      <c r="H339" s="310">
        <f>data!BZ69</f>
        <v>0</v>
      </c>
      <c r="I339" s="310">
        <f>data!CA69</f>
        <v>0</v>
      </c>
    </row>
    <row r="340" spans="1:9" customFormat="1" ht="20.149999999999999" customHeight="1" x14ac:dyDescent="0.35">
      <c r="A340" s="290">
        <v>15</v>
      </c>
      <c r="B340" s="291" t="s">
        <v>284</v>
      </c>
      <c r="C340" s="291">
        <f>-data!BU84</f>
        <v>0</v>
      </c>
      <c r="D340" s="291">
        <f>-data!BV84</f>
        <v>-18905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0</v>
      </c>
      <c r="I340" s="291">
        <f>-data!CA84</f>
        <v>0</v>
      </c>
    </row>
    <row r="341" spans="1:9" customFormat="1" ht="20.149999999999999" customHeight="1" x14ac:dyDescent="0.35">
      <c r="A341" s="290">
        <v>16</v>
      </c>
      <c r="B341" s="299" t="s">
        <v>1009</v>
      </c>
      <c r="C341" s="291">
        <f>data!BU85</f>
        <v>0</v>
      </c>
      <c r="D341" s="291">
        <f>data!BV85</f>
        <v>790204</v>
      </c>
      <c r="E341" s="291">
        <f>data!BW85</f>
        <v>0</v>
      </c>
      <c r="F341" s="291">
        <f>data!BX85</f>
        <v>0</v>
      </c>
      <c r="G341" s="291">
        <f>data!BY85</f>
        <v>455264</v>
      </c>
      <c r="H341" s="291">
        <f>data!BZ85</f>
        <v>0</v>
      </c>
      <c r="I341" s="291">
        <f>data!CA85</f>
        <v>0</v>
      </c>
    </row>
    <row r="342" spans="1:9" customFormat="1" ht="20.149999999999999" customHeight="1" x14ac:dyDescent="0.35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49999999999999" customHeight="1" x14ac:dyDescent="0.35">
      <c r="A343" s="290">
        <v>18</v>
      </c>
      <c r="B343" s="291" t="s">
        <v>1010</v>
      </c>
      <c r="C343" s="291"/>
      <c r="D343" s="291"/>
      <c r="E343" s="291"/>
      <c r="F343" s="291"/>
      <c r="G343" s="291"/>
      <c r="H343" s="291"/>
      <c r="I343" s="291"/>
    </row>
    <row r="344" spans="1:9" customFormat="1" ht="20.149999999999999" customHeight="1" x14ac:dyDescent="0.35">
      <c r="A344" s="290">
        <v>19</v>
      </c>
      <c r="B344" s="299" t="s">
        <v>1011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49999999999999" customHeight="1" x14ac:dyDescent="0.35">
      <c r="A345" s="290">
        <v>20</v>
      </c>
      <c r="B345" s="299" t="s">
        <v>1012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49999999999999" customHeight="1" x14ac:dyDescent="0.35">
      <c r="A346" s="290">
        <v>21</v>
      </c>
      <c r="B346" s="299" t="s">
        <v>1013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49999999999999" customHeight="1" x14ac:dyDescent="0.35">
      <c r="A347" s="290" t="s">
        <v>1014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49999999999999" customHeight="1" x14ac:dyDescent="0.35">
      <c r="A348" s="290">
        <v>22</v>
      </c>
      <c r="B348" s="291" t="s">
        <v>1015</v>
      </c>
      <c r="C348" s="307">
        <f>data!BU90</f>
        <v>0</v>
      </c>
      <c r="D348" s="307">
        <f>data!BV90</f>
        <v>1298</v>
      </c>
      <c r="E348" s="307">
        <f>data!BW90</f>
        <v>0</v>
      </c>
      <c r="F348" s="307">
        <f>data!BX90</f>
        <v>0</v>
      </c>
      <c r="G348" s="307">
        <f>data!BY90</f>
        <v>564</v>
      </c>
      <c r="H348" s="307">
        <f>data!BZ90</f>
        <v>0</v>
      </c>
      <c r="I348" s="307">
        <f>data!CA90</f>
        <v>0</v>
      </c>
    </row>
    <row r="349" spans="1:9" customFormat="1" ht="20.149999999999999" customHeight="1" x14ac:dyDescent="0.35">
      <c r="A349" s="290">
        <v>23</v>
      </c>
      <c r="B349" s="291" t="s">
        <v>1016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49999999999999" customHeight="1" x14ac:dyDescent="0.35">
      <c r="A350" s="290">
        <v>24</v>
      </c>
      <c r="B350" s="291" t="s">
        <v>1017</v>
      </c>
      <c r="C350" s="307">
        <f>data!BU92</f>
        <v>0</v>
      </c>
      <c r="D350" s="307">
        <f>data!BV92</f>
        <v>45</v>
      </c>
      <c r="E350" s="307">
        <f>data!BW92</f>
        <v>0</v>
      </c>
      <c r="F350" s="307">
        <f>data!BX92</f>
        <v>0</v>
      </c>
      <c r="G350" s="307">
        <f>data!BY92</f>
        <v>0</v>
      </c>
      <c r="H350" s="307">
        <f>data!BZ92</f>
        <v>0</v>
      </c>
      <c r="I350" s="307">
        <f>data!CA92</f>
        <v>0</v>
      </c>
    </row>
    <row r="351" spans="1:9" customFormat="1" ht="20.149999999999999" customHeight="1" x14ac:dyDescent="0.35">
      <c r="A351" s="290">
        <v>25</v>
      </c>
      <c r="B351" s="291" t="s">
        <v>1018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49999999999999" customHeight="1" x14ac:dyDescent="0.35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9" customFormat="1" ht="20.149999999999999" customHeight="1" x14ac:dyDescent="0.35">
      <c r="A353" s="284" t="s">
        <v>1000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49999999999999" customHeight="1" x14ac:dyDescent="0.35">
      <c r="D354" s="286"/>
      <c r="I354" s="287" t="s">
        <v>1053</v>
      </c>
    </row>
    <row r="355" spans="1:9" customFormat="1" ht="20.149999999999999" customHeight="1" x14ac:dyDescent="0.35">
      <c r="A355" s="286"/>
    </row>
    <row r="356" spans="1:9" customFormat="1" ht="20.149999999999999" customHeight="1" x14ac:dyDescent="0.35">
      <c r="A356" s="288" t="str">
        <f>"Hospital: "&amp;data!C98</f>
        <v>Hospital: NORTH VALLEY HOSPITAL OCPHD#4</v>
      </c>
      <c r="G356" s="289"/>
      <c r="H356" s="288" t="str">
        <f>"FYE: "&amp;data!C96</f>
        <v>FYE: 12/31/2023</v>
      </c>
    </row>
    <row r="357" spans="1:9" customFormat="1" ht="20.149999999999999" customHeight="1" x14ac:dyDescent="0.35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9" customFormat="1" ht="20.149999999999999" customHeight="1" x14ac:dyDescent="0.35">
      <c r="A358" s="294">
        <v>2</v>
      </c>
      <c r="B358" s="295" t="s">
        <v>1002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9" customFormat="1" ht="20.149999999999999" customHeight="1" x14ac:dyDescent="0.35">
      <c r="A359" s="294"/>
      <c r="B359" s="295"/>
      <c r="C359" s="297" t="s">
        <v>228</v>
      </c>
      <c r="D359" s="297" t="s">
        <v>1054</v>
      </c>
      <c r="E359" s="297" t="s">
        <v>240</v>
      </c>
      <c r="F359" s="312"/>
      <c r="G359" s="312"/>
      <c r="H359" s="312"/>
      <c r="I359" s="297" t="s">
        <v>230</v>
      </c>
    </row>
    <row r="360" spans="1:9" customFormat="1" ht="20.149999999999999" customHeight="1" x14ac:dyDescent="0.35">
      <c r="A360" s="290">
        <v>3</v>
      </c>
      <c r="B360" s="291" t="s">
        <v>1006</v>
      </c>
      <c r="C360" s="303"/>
      <c r="D360" s="303"/>
      <c r="E360" s="303"/>
      <c r="F360" s="303"/>
      <c r="G360" s="303"/>
      <c r="H360" s="303"/>
      <c r="I360" s="303"/>
    </row>
    <row r="361" spans="1:9" customFormat="1" ht="20.149999999999999" customHeight="1" x14ac:dyDescent="0.35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9" customFormat="1" ht="20.149999999999999" customHeight="1" x14ac:dyDescent="0.35">
      <c r="A362" s="290">
        <v>5</v>
      </c>
      <c r="B362" s="291" t="s">
        <v>262</v>
      </c>
      <c r="C362" s="298">
        <f>data!CB60</f>
        <v>0</v>
      </c>
      <c r="D362" s="298">
        <f>data!CC60</f>
        <v>0</v>
      </c>
      <c r="E362" s="313"/>
      <c r="F362" s="301"/>
      <c r="G362" s="301"/>
      <c r="H362" s="301"/>
      <c r="I362" s="314">
        <f>data!CE60</f>
        <v>185.18</v>
      </c>
    </row>
    <row r="363" spans="1:9" customFormat="1" ht="20.149999999999999" customHeight="1" x14ac:dyDescent="0.35">
      <c r="A363" s="290">
        <v>6</v>
      </c>
      <c r="B363" s="291" t="s">
        <v>263</v>
      </c>
      <c r="C363" s="310">
        <f>data!CB61</f>
        <v>0</v>
      </c>
      <c r="D363" s="310">
        <f>data!CC61</f>
        <v>0</v>
      </c>
      <c r="E363" s="315"/>
      <c r="F363" s="315"/>
      <c r="G363" s="315"/>
      <c r="H363" s="315"/>
      <c r="I363" s="310">
        <f>data!CE61</f>
        <v>15532917</v>
      </c>
    </row>
    <row r="364" spans="1:9" customFormat="1" ht="20.149999999999999" customHeight="1" x14ac:dyDescent="0.35">
      <c r="A364" s="290">
        <v>7</v>
      </c>
      <c r="B364" s="291" t="s">
        <v>11</v>
      </c>
      <c r="C364" s="310">
        <f>data!CB62</f>
        <v>0</v>
      </c>
      <c r="D364" s="310">
        <f>data!CC62</f>
        <v>0</v>
      </c>
      <c r="E364" s="315"/>
      <c r="F364" s="315"/>
      <c r="G364" s="315"/>
      <c r="H364" s="315"/>
      <c r="I364" s="310">
        <f>data!CE62</f>
        <v>3460292</v>
      </c>
    </row>
    <row r="365" spans="1:9" customFormat="1" ht="20.149999999999999" customHeight="1" x14ac:dyDescent="0.35">
      <c r="A365" s="290">
        <v>8</v>
      </c>
      <c r="B365" s="291" t="s">
        <v>264</v>
      </c>
      <c r="C365" s="310">
        <f>data!CB63</f>
        <v>0</v>
      </c>
      <c r="D365" s="310">
        <f>data!CC63</f>
        <v>0</v>
      </c>
      <c r="E365" s="315"/>
      <c r="F365" s="315"/>
      <c r="G365" s="315"/>
      <c r="H365" s="315"/>
      <c r="I365" s="310">
        <f>data!CE63</f>
        <v>563274</v>
      </c>
    </row>
    <row r="366" spans="1:9" customFormat="1" ht="20.149999999999999" customHeight="1" x14ac:dyDescent="0.35">
      <c r="A366" s="290">
        <v>9</v>
      </c>
      <c r="B366" s="291" t="s">
        <v>265</v>
      </c>
      <c r="C366" s="310">
        <f>data!CB64</f>
        <v>0</v>
      </c>
      <c r="D366" s="310">
        <f>data!CC64</f>
        <v>0</v>
      </c>
      <c r="E366" s="315"/>
      <c r="F366" s="315"/>
      <c r="G366" s="315"/>
      <c r="H366" s="315"/>
      <c r="I366" s="310">
        <f>data!CE64</f>
        <v>3749663</v>
      </c>
    </row>
    <row r="367" spans="1:9" customFormat="1" ht="20.149999999999999" customHeight="1" x14ac:dyDescent="0.35">
      <c r="A367" s="290">
        <v>10</v>
      </c>
      <c r="B367" s="291" t="s">
        <v>525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458624</v>
      </c>
    </row>
    <row r="368" spans="1:9" customFormat="1" ht="20.149999999999999" customHeight="1" x14ac:dyDescent="0.35">
      <c r="A368" s="290">
        <v>11</v>
      </c>
      <c r="B368" s="291" t="s">
        <v>526</v>
      </c>
      <c r="C368" s="310">
        <f>data!CB66</f>
        <v>0</v>
      </c>
      <c r="D368" s="310">
        <f>data!CC66</f>
        <v>0</v>
      </c>
      <c r="E368" s="315"/>
      <c r="F368" s="315"/>
      <c r="G368" s="315"/>
      <c r="H368" s="315"/>
      <c r="I368" s="310">
        <f>data!CE66</f>
        <v>7874512</v>
      </c>
    </row>
    <row r="369" spans="1:9" customFormat="1" ht="20.149999999999999" customHeight="1" x14ac:dyDescent="0.35">
      <c r="A369" s="290">
        <v>12</v>
      </c>
      <c r="B369" s="291" t="s">
        <v>16</v>
      </c>
      <c r="C369" s="310">
        <f>data!CB67</f>
        <v>0</v>
      </c>
      <c r="D369" s="310">
        <f>data!CC67</f>
        <v>0</v>
      </c>
      <c r="E369" s="315"/>
      <c r="F369" s="315"/>
      <c r="G369" s="315"/>
      <c r="H369" s="315"/>
      <c r="I369" s="310">
        <f>data!CE67</f>
        <v>1307583</v>
      </c>
    </row>
    <row r="370" spans="1:9" customFormat="1" ht="20.149999999999999" customHeight="1" x14ac:dyDescent="0.35">
      <c r="A370" s="290">
        <v>13</v>
      </c>
      <c r="B370" s="291" t="s">
        <v>1007</v>
      </c>
      <c r="C370" s="310">
        <f>data!CB68</f>
        <v>0</v>
      </c>
      <c r="D370" s="310">
        <f>data!CC68</f>
        <v>0</v>
      </c>
      <c r="E370" s="315"/>
      <c r="F370" s="315"/>
      <c r="G370" s="315"/>
      <c r="H370" s="315"/>
      <c r="I370" s="310">
        <f>data!CE68</f>
        <v>464490</v>
      </c>
    </row>
    <row r="371" spans="1:9" customFormat="1" ht="20.149999999999999" customHeight="1" x14ac:dyDescent="0.35">
      <c r="A371" s="290">
        <v>14</v>
      </c>
      <c r="B371" s="291" t="s">
        <v>1008</v>
      </c>
      <c r="C371" s="310">
        <f>data!CB69</f>
        <v>0</v>
      </c>
      <c r="D371" s="310">
        <f>data!CC69</f>
        <v>0</v>
      </c>
      <c r="E371" s="310">
        <f>data!CD69</f>
        <v>744236</v>
      </c>
      <c r="F371" s="315"/>
      <c r="G371" s="315"/>
      <c r="H371" s="315"/>
      <c r="I371" s="310">
        <f>data!CE69</f>
        <v>1684067</v>
      </c>
    </row>
    <row r="372" spans="1:9" customFormat="1" ht="20.149999999999999" customHeight="1" x14ac:dyDescent="0.35">
      <c r="A372" s="290">
        <v>15</v>
      </c>
      <c r="B372" s="291" t="s">
        <v>284</v>
      </c>
      <c r="C372" s="291">
        <f>-data!CB84</f>
        <v>0</v>
      </c>
      <c r="D372" s="291">
        <f>-data!CC84</f>
        <v>0</v>
      </c>
      <c r="E372" s="291">
        <f>-data!CD84</f>
        <v>-248425</v>
      </c>
      <c r="F372" s="301"/>
      <c r="G372" s="301"/>
      <c r="H372" s="301"/>
      <c r="I372" s="291">
        <f>-data!CE84</f>
        <v>-1098236</v>
      </c>
    </row>
    <row r="373" spans="1:9" customFormat="1" ht="20.149999999999999" customHeight="1" x14ac:dyDescent="0.35">
      <c r="A373" s="290">
        <v>16</v>
      </c>
      <c r="B373" s="299" t="s">
        <v>1009</v>
      </c>
      <c r="C373" s="310">
        <f>data!CB85</f>
        <v>0</v>
      </c>
      <c r="D373" s="310">
        <f>data!CC85</f>
        <v>0</v>
      </c>
      <c r="E373" s="310">
        <f>data!CD85</f>
        <v>495811</v>
      </c>
      <c r="F373" s="315"/>
      <c r="G373" s="315"/>
      <c r="H373" s="315"/>
      <c r="I373" s="291">
        <f>data!CE85</f>
        <v>33997186</v>
      </c>
    </row>
    <row r="374" spans="1:9" customFormat="1" ht="20.149999999999999" customHeight="1" x14ac:dyDescent="0.35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1317121</v>
      </c>
    </row>
    <row r="375" spans="1:9" customFormat="1" ht="20.149999999999999" customHeight="1" x14ac:dyDescent="0.35">
      <c r="A375" s="290">
        <v>18</v>
      </c>
      <c r="B375" s="291" t="s">
        <v>1010</v>
      </c>
      <c r="C375" s="291"/>
      <c r="D375" s="291"/>
      <c r="E375" s="291"/>
      <c r="F375" s="291"/>
      <c r="G375" s="291"/>
      <c r="H375" s="291"/>
      <c r="I375" s="291"/>
    </row>
    <row r="376" spans="1:9" customFormat="1" ht="20.149999999999999" customHeight="1" x14ac:dyDescent="0.35">
      <c r="A376" s="290">
        <v>19</v>
      </c>
      <c r="B376" s="299" t="s">
        <v>1011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11789239</v>
      </c>
    </row>
    <row r="377" spans="1:9" customFormat="1" ht="20.149999999999999" customHeight="1" x14ac:dyDescent="0.35">
      <c r="A377" s="290">
        <v>20</v>
      </c>
      <c r="B377" s="299" t="s">
        <v>1012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40238258</v>
      </c>
    </row>
    <row r="378" spans="1:9" customFormat="1" ht="20.149999999999999" customHeight="1" x14ac:dyDescent="0.35">
      <c r="A378" s="290">
        <v>21</v>
      </c>
      <c r="B378" s="299" t="s">
        <v>1013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52027497</v>
      </c>
    </row>
    <row r="379" spans="1:9" customFormat="1" ht="20.149999999999999" customHeight="1" x14ac:dyDescent="0.35">
      <c r="A379" s="290" t="s">
        <v>1014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49999999999999" customHeight="1" x14ac:dyDescent="0.35">
      <c r="A380" s="290">
        <v>22</v>
      </c>
      <c r="B380" s="291" t="s">
        <v>1015</v>
      </c>
      <c r="C380" s="307">
        <f>data!CB90</f>
        <v>0</v>
      </c>
      <c r="D380" s="307">
        <f>data!CC90</f>
        <v>0</v>
      </c>
      <c r="E380" s="301"/>
      <c r="F380" s="301"/>
      <c r="G380" s="301"/>
      <c r="H380" s="301"/>
      <c r="I380" s="291">
        <f>data!CE90</f>
        <v>92179</v>
      </c>
    </row>
    <row r="381" spans="1:9" customFormat="1" ht="20.149999999999999" customHeight="1" x14ac:dyDescent="0.35">
      <c r="A381" s="290">
        <v>23</v>
      </c>
      <c r="B381" s="291" t="s">
        <v>1016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46661</v>
      </c>
    </row>
    <row r="382" spans="1:9" customFormat="1" ht="20.149999999999999" customHeight="1" x14ac:dyDescent="0.35">
      <c r="A382" s="290">
        <v>24</v>
      </c>
      <c r="B382" s="291" t="s">
        <v>1017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5506</v>
      </c>
    </row>
    <row r="383" spans="1:9" customFormat="1" ht="20.149999999999999" customHeight="1" x14ac:dyDescent="0.35">
      <c r="A383" s="290">
        <v>25</v>
      </c>
      <c r="B383" s="291" t="s">
        <v>1018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224907</v>
      </c>
    </row>
    <row r="384" spans="1:9" customFormat="1" ht="20.149999999999999" customHeight="1" x14ac:dyDescent="0.35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60.22</v>
      </c>
    </row>
    <row r="410" customFormat="1" ht="1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2F65-7836-419C-BDF0-1A090C8EE010}">
  <sheetPr syncVertical="1" syncRef="A349" transitionEvaluation="1" transitionEntry="1" codeName="Sheet12">
    <tabColor rgb="FF92D050"/>
    <pageSetUpPr autoPageBreaks="0" fitToPage="1"/>
  </sheetPr>
  <dimension ref="A1:CF717"/>
  <sheetViews>
    <sheetView topLeftCell="A349" zoomScale="85" zoomScaleNormal="85" workbookViewId="0">
      <selection activeCell="C380" sqref="C38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7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9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9" t="s">
        <v>28</v>
      </c>
      <c r="B36" s="265"/>
      <c r="C36" s="266"/>
      <c r="D36" s="265"/>
      <c r="E36" s="265"/>
      <c r="F36" s="265"/>
      <c r="G36" s="274"/>
    </row>
    <row r="37" spans="1:83" x14ac:dyDescent="0.35">
      <c r="A37" s="270" t="s">
        <v>29</v>
      </c>
      <c r="B37" s="264"/>
      <c r="C37" s="263"/>
      <c r="D37" s="262"/>
      <c r="E37" s="262"/>
      <c r="F37" s="262"/>
      <c r="G37" s="275"/>
    </row>
    <row r="38" spans="1:83" x14ac:dyDescent="0.35">
      <c r="A38" s="271" t="s">
        <v>30</v>
      </c>
      <c r="B38" s="264"/>
      <c r="C38" s="263"/>
      <c r="D38" s="262"/>
      <c r="E38" s="262"/>
      <c r="F38" s="262"/>
      <c r="G38" s="275"/>
    </row>
    <row r="39" spans="1:83" x14ac:dyDescent="0.35">
      <c r="A39" s="272" t="s">
        <v>31</v>
      </c>
      <c r="B39" s="262"/>
      <c r="C39" s="263"/>
      <c r="D39" s="262"/>
      <c r="E39" s="262"/>
      <c r="F39" s="262"/>
      <c r="G39" s="275"/>
    </row>
    <row r="40" spans="1:83" x14ac:dyDescent="0.35">
      <c r="A40" s="273" t="s">
        <v>32</v>
      </c>
      <c r="B40" s="267"/>
      <c r="C40" s="268"/>
      <c r="D40" s="267"/>
      <c r="E40" s="267"/>
      <c r="F40" s="267"/>
      <c r="G40" s="27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4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v>0</v>
      </c>
    </row>
    <row r="48" spans="1:83" x14ac:dyDescent="0.35">
      <c r="A48" s="28" t="s">
        <v>232</v>
      </c>
      <c r="B48" s="244">
        <v>3738500</v>
      </c>
      <c r="C48" s="28">
        <v>0</v>
      </c>
      <c r="D48" s="28">
        <v>0</v>
      </c>
      <c r="E48" s="28">
        <v>153317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527770</v>
      </c>
      <c r="L48" s="28">
        <v>318965</v>
      </c>
      <c r="M48" s="28">
        <v>0</v>
      </c>
      <c r="N48" s="28">
        <v>0</v>
      </c>
      <c r="O48" s="28">
        <v>0</v>
      </c>
      <c r="P48" s="28">
        <v>97323</v>
      </c>
      <c r="Q48" s="28">
        <v>3113</v>
      </c>
      <c r="R48" s="28">
        <v>0</v>
      </c>
      <c r="S48" s="28">
        <v>25495</v>
      </c>
      <c r="T48" s="28">
        <v>0</v>
      </c>
      <c r="U48" s="28">
        <v>144707</v>
      </c>
      <c r="V48" s="28">
        <v>0</v>
      </c>
      <c r="W48" s="28">
        <v>9368</v>
      </c>
      <c r="X48" s="28">
        <v>47751</v>
      </c>
      <c r="Y48" s="28">
        <v>127518</v>
      </c>
      <c r="Z48" s="28">
        <v>0</v>
      </c>
      <c r="AA48" s="28">
        <v>0</v>
      </c>
      <c r="AB48" s="28">
        <v>16541</v>
      </c>
      <c r="AC48" s="28">
        <v>29477</v>
      </c>
      <c r="AD48" s="28">
        <v>0</v>
      </c>
      <c r="AE48" s="28">
        <v>304818</v>
      </c>
      <c r="AF48" s="28">
        <v>0</v>
      </c>
      <c r="AG48" s="28">
        <v>225105</v>
      </c>
      <c r="AH48" s="28">
        <v>0</v>
      </c>
      <c r="AI48" s="28">
        <v>0</v>
      </c>
      <c r="AJ48" s="28">
        <v>324044</v>
      </c>
      <c r="AK48" s="28">
        <v>0</v>
      </c>
      <c r="AL48" s="28">
        <v>0</v>
      </c>
      <c r="AM48" s="28">
        <v>0</v>
      </c>
      <c r="AN48" s="28">
        <v>0</v>
      </c>
      <c r="AO48" s="28">
        <v>30015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167201</v>
      </c>
      <c r="AZ48" s="28">
        <v>35503</v>
      </c>
      <c r="BA48" s="28">
        <v>85485</v>
      </c>
      <c r="BB48" s="28">
        <v>16208</v>
      </c>
      <c r="BC48" s="28">
        <v>0</v>
      </c>
      <c r="BD48" s="28">
        <v>0</v>
      </c>
      <c r="BE48" s="28">
        <v>90809</v>
      </c>
      <c r="BF48" s="28">
        <v>97727</v>
      </c>
      <c r="BG48" s="28">
        <v>0</v>
      </c>
      <c r="BH48" s="28">
        <v>60693</v>
      </c>
      <c r="BI48" s="28">
        <v>0</v>
      </c>
      <c r="BJ48" s="28">
        <v>235788</v>
      </c>
      <c r="BK48" s="28">
        <v>0</v>
      </c>
      <c r="BL48" s="28">
        <v>113524</v>
      </c>
      <c r="BM48" s="28">
        <v>0</v>
      </c>
      <c r="BN48" s="28">
        <v>101393</v>
      </c>
      <c r="BO48" s="28">
        <v>0</v>
      </c>
      <c r="BP48" s="28">
        <v>0</v>
      </c>
      <c r="BQ48" s="28">
        <v>0</v>
      </c>
      <c r="BR48" s="28">
        <v>59887</v>
      </c>
      <c r="BS48" s="28">
        <v>0</v>
      </c>
      <c r="BT48" s="28">
        <v>0</v>
      </c>
      <c r="BU48" s="28">
        <v>0</v>
      </c>
      <c r="BV48" s="28">
        <v>153172</v>
      </c>
      <c r="BW48" s="28">
        <v>0</v>
      </c>
      <c r="BX48" s="28">
        <v>0</v>
      </c>
      <c r="BY48" s="28">
        <v>135784</v>
      </c>
      <c r="BZ48" s="28">
        <v>0</v>
      </c>
      <c r="CA48" s="28">
        <v>0</v>
      </c>
      <c r="CB48" s="28">
        <v>0</v>
      </c>
      <c r="CC48" s="28">
        <v>0</v>
      </c>
      <c r="CD48" s="28" t="s">
        <v>1055</v>
      </c>
      <c r="CE48" s="28" t="s">
        <v>1055</v>
      </c>
    </row>
    <row r="49" spans="1:83" x14ac:dyDescent="0.35">
      <c r="A49" s="16" t="s">
        <v>233</v>
      </c>
      <c r="B49" s="28">
        <v>3738500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4">
        <v>1336134</v>
      </c>
      <c r="C52" s="28">
        <v>0</v>
      </c>
      <c r="D52" s="28">
        <v>0</v>
      </c>
      <c r="E52" s="28">
        <v>41252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245731</v>
      </c>
      <c r="L52" s="28">
        <v>85820</v>
      </c>
      <c r="M52" s="28">
        <v>0</v>
      </c>
      <c r="N52" s="28">
        <v>0</v>
      </c>
      <c r="O52" s="28">
        <v>0</v>
      </c>
      <c r="P52" s="28">
        <v>39341</v>
      </c>
      <c r="Q52" s="28">
        <v>10367</v>
      </c>
      <c r="R52" s="28">
        <v>9021</v>
      </c>
      <c r="S52" s="28">
        <v>11352</v>
      </c>
      <c r="T52" s="28">
        <v>0</v>
      </c>
      <c r="U52" s="28">
        <v>31058</v>
      </c>
      <c r="V52" s="28">
        <v>0</v>
      </c>
      <c r="W52" s="28">
        <v>2664</v>
      </c>
      <c r="X52" s="28">
        <v>13553</v>
      </c>
      <c r="Y52" s="28">
        <v>36184</v>
      </c>
      <c r="Z52" s="28">
        <v>0</v>
      </c>
      <c r="AA52" s="28">
        <v>0</v>
      </c>
      <c r="AB52" s="28">
        <v>13640</v>
      </c>
      <c r="AC52" s="28">
        <v>2505</v>
      </c>
      <c r="AD52" s="28">
        <v>0</v>
      </c>
      <c r="AE52" s="28">
        <v>112563</v>
      </c>
      <c r="AF52" s="28">
        <v>0</v>
      </c>
      <c r="AG52" s="28">
        <v>102920</v>
      </c>
      <c r="AH52" s="28">
        <v>0</v>
      </c>
      <c r="AI52" s="28">
        <v>0</v>
      </c>
      <c r="AJ52" s="28">
        <v>92133</v>
      </c>
      <c r="AK52" s="28">
        <v>0</v>
      </c>
      <c r="AL52" s="28">
        <v>0</v>
      </c>
      <c r="AM52" s="28">
        <v>0</v>
      </c>
      <c r="AN52" s="28">
        <v>0</v>
      </c>
      <c r="AO52" s="28">
        <v>8080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12945</v>
      </c>
      <c r="AW52" s="28">
        <v>0</v>
      </c>
      <c r="AX52" s="28">
        <v>0</v>
      </c>
      <c r="AY52" s="28">
        <v>54254</v>
      </c>
      <c r="AZ52" s="28">
        <v>0</v>
      </c>
      <c r="BA52" s="28">
        <v>31174</v>
      </c>
      <c r="BB52" s="28">
        <v>0</v>
      </c>
      <c r="BC52" s="28">
        <v>0</v>
      </c>
      <c r="BD52" s="28">
        <v>0</v>
      </c>
      <c r="BE52" s="28">
        <v>136194</v>
      </c>
      <c r="BF52" s="28">
        <v>21705</v>
      </c>
      <c r="BG52" s="28">
        <v>10715</v>
      </c>
      <c r="BH52" s="28">
        <v>21068</v>
      </c>
      <c r="BI52" s="28">
        <v>0</v>
      </c>
      <c r="BJ52" s="28">
        <v>35272</v>
      </c>
      <c r="BK52" s="28">
        <v>0</v>
      </c>
      <c r="BL52" s="28">
        <v>32970</v>
      </c>
      <c r="BM52" s="28">
        <v>0</v>
      </c>
      <c r="BN52" s="28">
        <v>46334</v>
      </c>
      <c r="BO52" s="28">
        <v>0</v>
      </c>
      <c r="BP52" s="28">
        <v>0</v>
      </c>
      <c r="BQ52" s="28">
        <v>0</v>
      </c>
      <c r="BR52" s="28">
        <v>38327</v>
      </c>
      <c r="BS52" s="28">
        <v>0</v>
      </c>
      <c r="BT52" s="28">
        <v>0</v>
      </c>
      <c r="BU52" s="28">
        <v>0</v>
      </c>
      <c r="BV52" s="28">
        <v>18780</v>
      </c>
      <c r="BW52" s="28">
        <v>0</v>
      </c>
      <c r="BX52" s="28">
        <v>0</v>
      </c>
      <c r="BY52" s="28">
        <v>18215</v>
      </c>
      <c r="BZ52" s="28">
        <v>0</v>
      </c>
      <c r="CA52" s="28">
        <v>0</v>
      </c>
      <c r="CB52" s="28">
        <v>0</v>
      </c>
      <c r="CC52" s="28">
        <v>0</v>
      </c>
      <c r="CD52" s="28" t="s">
        <v>1055</v>
      </c>
      <c r="CE52" s="28" t="s">
        <v>1055</v>
      </c>
    </row>
    <row r="53" spans="1:83" x14ac:dyDescent="0.35">
      <c r="A53" s="16" t="s">
        <v>233</v>
      </c>
      <c r="B53" s="28">
        <v>1336134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0</v>
      </c>
      <c r="D59" s="20">
        <v>0</v>
      </c>
      <c r="E59" s="20">
        <v>945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13283</v>
      </c>
      <c r="L59" s="20">
        <v>1966</v>
      </c>
      <c r="M59" s="20">
        <v>0</v>
      </c>
      <c r="N59" s="20">
        <v>0</v>
      </c>
      <c r="O59" s="20">
        <v>0</v>
      </c>
      <c r="P59" s="247">
        <v>6217</v>
      </c>
      <c r="Q59" s="26">
        <v>5002</v>
      </c>
      <c r="R59" s="26">
        <v>2265</v>
      </c>
      <c r="S59" s="245">
        <v>0</v>
      </c>
      <c r="T59" s="245">
        <v>0</v>
      </c>
      <c r="U59" s="27">
        <v>62693</v>
      </c>
      <c r="V59" s="26">
        <v>3029</v>
      </c>
      <c r="W59" s="26">
        <v>462</v>
      </c>
      <c r="X59" s="26">
        <v>2355</v>
      </c>
      <c r="Y59" s="26">
        <v>6289</v>
      </c>
      <c r="Z59" s="26">
        <v>0</v>
      </c>
      <c r="AA59" s="26">
        <v>0</v>
      </c>
      <c r="AB59" s="245">
        <v>0</v>
      </c>
      <c r="AC59" s="26">
        <v>2561</v>
      </c>
      <c r="AD59" s="26">
        <v>0</v>
      </c>
      <c r="AE59" s="26">
        <v>25452</v>
      </c>
      <c r="AF59" s="26">
        <v>0</v>
      </c>
      <c r="AG59" s="26">
        <v>5265</v>
      </c>
      <c r="AH59" s="26">
        <v>0</v>
      </c>
      <c r="AI59" s="26">
        <v>0</v>
      </c>
      <c r="AJ59" s="26">
        <v>3186</v>
      </c>
      <c r="AK59" s="26">
        <v>0</v>
      </c>
      <c r="AL59" s="26">
        <v>0</v>
      </c>
      <c r="AM59" s="26">
        <v>0</v>
      </c>
      <c r="AN59" s="26">
        <v>0</v>
      </c>
      <c r="AO59" s="26">
        <v>4431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5">
        <v>0</v>
      </c>
      <c r="AW59" s="245">
        <v>0</v>
      </c>
      <c r="AX59" s="245">
        <v>0</v>
      </c>
      <c r="AY59" s="26">
        <v>48522</v>
      </c>
      <c r="AZ59" s="26">
        <v>0</v>
      </c>
      <c r="BA59" s="245">
        <v>0</v>
      </c>
      <c r="BB59" s="245">
        <v>0</v>
      </c>
      <c r="BC59" s="245">
        <v>0</v>
      </c>
      <c r="BD59" s="245">
        <v>0</v>
      </c>
      <c r="BE59" s="26">
        <v>92278</v>
      </c>
      <c r="BF59" s="245">
        <v>0</v>
      </c>
      <c r="BG59" s="245">
        <v>0</v>
      </c>
      <c r="BH59" s="245">
        <v>0</v>
      </c>
      <c r="BI59" s="245">
        <v>0</v>
      </c>
      <c r="BJ59" s="245">
        <v>0</v>
      </c>
      <c r="BK59" s="245">
        <v>0</v>
      </c>
      <c r="BL59" s="245">
        <v>0</v>
      </c>
      <c r="BM59" s="245">
        <v>0</v>
      </c>
      <c r="BN59" s="245">
        <v>0</v>
      </c>
      <c r="BO59" s="245">
        <v>0</v>
      </c>
      <c r="BP59" s="245">
        <v>0</v>
      </c>
      <c r="BQ59" s="245">
        <v>0</v>
      </c>
      <c r="BR59" s="245">
        <v>0</v>
      </c>
      <c r="BS59" s="245">
        <v>0</v>
      </c>
      <c r="BT59" s="245">
        <v>0</v>
      </c>
      <c r="BU59" s="245">
        <v>0</v>
      </c>
      <c r="BV59" s="245">
        <v>0</v>
      </c>
      <c r="BW59" s="245">
        <v>0</v>
      </c>
      <c r="BX59" s="245">
        <v>0</v>
      </c>
      <c r="BY59" s="245">
        <v>0</v>
      </c>
      <c r="BZ59" s="245">
        <v>0</v>
      </c>
      <c r="CA59" s="245">
        <v>0</v>
      </c>
      <c r="CB59" s="245">
        <v>0</v>
      </c>
      <c r="CC59" s="245">
        <v>0</v>
      </c>
      <c r="CD59" s="236">
        <v>0</v>
      </c>
      <c r="CE59" s="28">
        <v>0</v>
      </c>
    </row>
    <row r="60" spans="1:83" x14ac:dyDescent="0.35">
      <c r="A60" s="219" t="s">
        <v>262</v>
      </c>
      <c r="B60" s="220"/>
      <c r="C60" s="246">
        <v>0</v>
      </c>
      <c r="D60" s="246">
        <v>0</v>
      </c>
      <c r="E60" s="246">
        <v>6.75</v>
      </c>
      <c r="F60" s="246">
        <v>0</v>
      </c>
      <c r="G60" s="246">
        <v>0</v>
      </c>
      <c r="H60" s="246">
        <v>0</v>
      </c>
      <c r="I60" s="246">
        <v>0</v>
      </c>
      <c r="J60" s="246">
        <v>0</v>
      </c>
      <c r="K60" s="246">
        <v>28.79</v>
      </c>
      <c r="L60" s="246">
        <v>14.05</v>
      </c>
      <c r="M60" s="246">
        <v>0</v>
      </c>
      <c r="N60" s="246">
        <v>0</v>
      </c>
      <c r="O60" s="246">
        <v>0</v>
      </c>
      <c r="P60" s="247">
        <v>3.22</v>
      </c>
      <c r="Q60" s="247">
        <v>0.11</v>
      </c>
      <c r="R60" s="247">
        <v>0</v>
      </c>
      <c r="S60" s="248">
        <v>2.19</v>
      </c>
      <c r="T60" s="248">
        <v>0</v>
      </c>
      <c r="U60" s="249">
        <v>8.23</v>
      </c>
      <c r="V60" s="247">
        <v>0</v>
      </c>
      <c r="W60" s="247">
        <v>0.33</v>
      </c>
      <c r="X60" s="247">
        <v>1.68</v>
      </c>
      <c r="Y60" s="247">
        <v>4.4800000000000004</v>
      </c>
      <c r="Z60" s="247">
        <v>0</v>
      </c>
      <c r="AA60" s="247">
        <v>0</v>
      </c>
      <c r="AB60" s="248">
        <v>0.9</v>
      </c>
      <c r="AC60" s="247">
        <v>0.98</v>
      </c>
      <c r="AD60" s="247">
        <v>0</v>
      </c>
      <c r="AE60" s="247">
        <v>13.12</v>
      </c>
      <c r="AF60" s="247">
        <v>0</v>
      </c>
      <c r="AG60" s="247">
        <v>11.4</v>
      </c>
      <c r="AH60" s="247">
        <v>0</v>
      </c>
      <c r="AI60" s="247">
        <v>0</v>
      </c>
      <c r="AJ60" s="247">
        <v>12.59</v>
      </c>
      <c r="AK60" s="247">
        <v>0</v>
      </c>
      <c r="AL60" s="247">
        <v>0</v>
      </c>
      <c r="AM60" s="247">
        <v>0</v>
      </c>
      <c r="AN60" s="247">
        <v>0</v>
      </c>
      <c r="AO60" s="247">
        <v>1.33</v>
      </c>
      <c r="AP60" s="247">
        <v>0</v>
      </c>
      <c r="AQ60" s="247">
        <v>0</v>
      </c>
      <c r="AR60" s="247">
        <v>0</v>
      </c>
      <c r="AS60" s="247">
        <v>0</v>
      </c>
      <c r="AT60" s="247">
        <v>0</v>
      </c>
      <c r="AU60" s="247">
        <v>0</v>
      </c>
      <c r="AV60" s="248">
        <v>0</v>
      </c>
      <c r="AW60" s="248">
        <v>0</v>
      </c>
      <c r="AX60" s="248">
        <v>0</v>
      </c>
      <c r="AY60" s="247">
        <v>0.02</v>
      </c>
      <c r="AZ60" s="247">
        <v>0.02</v>
      </c>
      <c r="BA60" s="248">
        <v>0.16</v>
      </c>
      <c r="BB60" s="248">
        <v>0</v>
      </c>
      <c r="BC60" s="248">
        <v>0</v>
      </c>
      <c r="BD60" s="248">
        <v>0</v>
      </c>
      <c r="BE60" s="247">
        <v>5.7</v>
      </c>
      <c r="BF60" s="248">
        <v>7.75</v>
      </c>
      <c r="BG60" s="248">
        <v>0</v>
      </c>
      <c r="BH60" s="248">
        <v>2.17</v>
      </c>
      <c r="BI60" s="248">
        <v>0</v>
      </c>
      <c r="BJ60" s="248">
        <v>12.64</v>
      </c>
      <c r="BK60" s="248">
        <v>0</v>
      </c>
      <c r="BL60" s="248">
        <v>9.15</v>
      </c>
      <c r="BM60" s="248">
        <v>0</v>
      </c>
      <c r="BN60" s="248">
        <v>2.66</v>
      </c>
      <c r="BO60" s="248">
        <v>0</v>
      </c>
      <c r="BP60" s="248">
        <v>0</v>
      </c>
      <c r="BQ60" s="248">
        <v>0</v>
      </c>
      <c r="BR60" s="248">
        <v>2.57</v>
      </c>
      <c r="BS60" s="248">
        <v>0</v>
      </c>
      <c r="BT60" s="248">
        <v>0</v>
      </c>
      <c r="BU60" s="248">
        <v>0</v>
      </c>
      <c r="BV60" s="248">
        <v>10.78</v>
      </c>
      <c r="BW60" s="248">
        <v>0</v>
      </c>
      <c r="BX60" s="248">
        <v>0</v>
      </c>
      <c r="BY60" s="248">
        <v>3.74</v>
      </c>
      <c r="BZ60" s="248">
        <v>0</v>
      </c>
      <c r="CA60" s="248">
        <v>0</v>
      </c>
      <c r="CB60" s="248">
        <v>0</v>
      </c>
      <c r="CC60" s="248">
        <v>0</v>
      </c>
      <c r="CD60" s="221" t="s">
        <v>248</v>
      </c>
      <c r="CE60" s="239">
        <v>167.51000000000002</v>
      </c>
    </row>
    <row r="61" spans="1:83" s="211" customFormat="1" x14ac:dyDescent="0.35">
      <c r="A61" s="35" t="s">
        <v>263</v>
      </c>
      <c r="B61" s="16"/>
      <c r="C61" s="20">
        <v>0</v>
      </c>
      <c r="D61" s="20">
        <v>0</v>
      </c>
      <c r="E61" s="20">
        <v>568619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1957377</v>
      </c>
      <c r="L61" s="20">
        <v>1182967</v>
      </c>
      <c r="M61" s="20">
        <v>0</v>
      </c>
      <c r="N61" s="20">
        <v>0</v>
      </c>
      <c r="O61" s="20">
        <v>0</v>
      </c>
      <c r="P61" s="26">
        <v>360949</v>
      </c>
      <c r="Q61" s="26">
        <v>11547</v>
      </c>
      <c r="R61" s="26">
        <v>0</v>
      </c>
      <c r="S61" s="250">
        <v>94554</v>
      </c>
      <c r="T61" s="250">
        <v>0</v>
      </c>
      <c r="U61" s="27">
        <v>536686</v>
      </c>
      <c r="V61" s="26">
        <v>0</v>
      </c>
      <c r="W61" s="26">
        <v>34742</v>
      </c>
      <c r="X61" s="26">
        <v>177096</v>
      </c>
      <c r="Y61" s="26">
        <v>472934</v>
      </c>
      <c r="Z61" s="26">
        <v>0</v>
      </c>
      <c r="AA61" s="26">
        <v>0</v>
      </c>
      <c r="AB61" s="251">
        <v>61346</v>
      </c>
      <c r="AC61" s="26">
        <v>109324</v>
      </c>
      <c r="AD61" s="26">
        <v>0</v>
      </c>
      <c r="AE61" s="26">
        <v>1130502</v>
      </c>
      <c r="AF61" s="26">
        <v>0</v>
      </c>
      <c r="AG61" s="26">
        <v>834864</v>
      </c>
      <c r="AH61" s="26">
        <v>0</v>
      </c>
      <c r="AI61" s="26">
        <v>0</v>
      </c>
      <c r="AJ61" s="26">
        <v>1201806</v>
      </c>
      <c r="AK61" s="26">
        <v>0</v>
      </c>
      <c r="AL61" s="26">
        <v>0</v>
      </c>
      <c r="AM61" s="26">
        <v>0</v>
      </c>
      <c r="AN61" s="26">
        <v>0</v>
      </c>
      <c r="AO61" s="26">
        <v>111317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50">
        <v>0</v>
      </c>
      <c r="AW61" s="250">
        <v>0</v>
      </c>
      <c r="AX61" s="250">
        <v>0</v>
      </c>
      <c r="AY61" s="26">
        <v>620111</v>
      </c>
      <c r="AZ61" s="26">
        <v>131673</v>
      </c>
      <c r="BA61" s="250">
        <v>317046</v>
      </c>
      <c r="BB61" s="250">
        <v>60110</v>
      </c>
      <c r="BC61" s="250">
        <v>0</v>
      </c>
      <c r="BD61" s="250">
        <v>0</v>
      </c>
      <c r="BE61" s="26">
        <v>336788</v>
      </c>
      <c r="BF61" s="250">
        <v>362446</v>
      </c>
      <c r="BG61" s="250">
        <v>0</v>
      </c>
      <c r="BH61" s="250">
        <v>225097</v>
      </c>
      <c r="BI61" s="250">
        <v>0</v>
      </c>
      <c r="BJ61" s="250">
        <v>874483</v>
      </c>
      <c r="BK61" s="250">
        <v>0</v>
      </c>
      <c r="BL61" s="250">
        <v>421035</v>
      </c>
      <c r="BM61" s="250">
        <v>0</v>
      </c>
      <c r="BN61" s="250">
        <v>376045</v>
      </c>
      <c r="BO61" s="250">
        <v>0</v>
      </c>
      <c r="BP61" s="250">
        <v>0</v>
      </c>
      <c r="BQ61" s="250">
        <v>0</v>
      </c>
      <c r="BR61" s="250">
        <v>222106</v>
      </c>
      <c r="BS61" s="250">
        <v>0</v>
      </c>
      <c r="BT61" s="250">
        <v>0</v>
      </c>
      <c r="BU61" s="250">
        <v>0</v>
      </c>
      <c r="BV61" s="250">
        <v>568080</v>
      </c>
      <c r="BW61" s="250">
        <v>0</v>
      </c>
      <c r="BX61" s="250">
        <v>0</v>
      </c>
      <c r="BY61" s="250">
        <v>503591</v>
      </c>
      <c r="BZ61" s="250">
        <v>0</v>
      </c>
      <c r="CA61" s="250">
        <v>0</v>
      </c>
      <c r="CB61" s="250">
        <v>0</v>
      </c>
      <c r="CC61" s="250">
        <v>0</v>
      </c>
      <c r="CD61" s="25" t="s">
        <v>248</v>
      </c>
      <c r="CE61" s="28">
        <v>13865241</v>
      </c>
    </row>
    <row r="62" spans="1:83" x14ac:dyDescent="0.35">
      <c r="A62" s="35" t="s">
        <v>11</v>
      </c>
      <c r="B62" s="16"/>
      <c r="C62" s="28">
        <v>0</v>
      </c>
      <c r="D62" s="28">
        <v>0</v>
      </c>
      <c r="E62" s="28">
        <v>153317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527770</v>
      </c>
      <c r="L62" s="28">
        <v>318965</v>
      </c>
      <c r="M62" s="28">
        <v>0</v>
      </c>
      <c r="N62" s="28">
        <v>0</v>
      </c>
      <c r="O62" s="28">
        <v>0</v>
      </c>
      <c r="P62" s="28">
        <v>97323</v>
      </c>
      <c r="Q62" s="28">
        <v>3113</v>
      </c>
      <c r="R62" s="28">
        <v>0</v>
      </c>
      <c r="S62" s="28">
        <v>25495</v>
      </c>
      <c r="T62" s="28">
        <v>0</v>
      </c>
      <c r="U62" s="28">
        <v>144707</v>
      </c>
      <c r="V62" s="28">
        <v>0</v>
      </c>
      <c r="W62" s="28">
        <v>9368</v>
      </c>
      <c r="X62" s="28">
        <v>47751</v>
      </c>
      <c r="Y62" s="28">
        <v>127518</v>
      </c>
      <c r="Z62" s="28">
        <v>0</v>
      </c>
      <c r="AA62" s="28">
        <v>0</v>
      </c>
      <c r="AB62" s="28">
        <v>16541</v>
      </c>
      <c r="AC62" s="28">
        <v>29477</v>
      </c>
      <c r="AD62" s="28">
        <v>0</v>
      </c>
      <c r="AE62" s="28">
        <v>304818</v>
      </c>
      <c r="AF62" s="28">
        <v>0</v>
      </c>
      <c r="AG62" s="28">
        <v>225105</v>
      </c>
      <c r="AH62" s="28">
        <v>0</v>
      </c>
      <c r="AI62" s="28">
        <v>0</v>
      </c>
      <c r="AJ62" s="28">
        <v>324044</v>
      </c>
      <c r="AK62" s="28">
        <v>0</v>
      </c>
      <c r="AL62" s="28">
        <v>0</v>
      </c>
      <c r="AM62" s="28">
        <v>0</v>
      </c>
      <c r="AN62" s="28">
        <v>0</v>
      </c>
      <c r="AO62" s="28">
        <v>30015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0</v>
      </c>
      <c r="AW62" s="28">
        <v>0</v>
      </c>
      <c r="AX62" s="28">
        <v>0</v>
      </c>
      <c r="AY62" s="28">
        <v>167201</v>
      </c>
      <c r="AZ62" s="28">
        <v>35503</v>
      </c>
      <c r="BA62" s="28">
        <v>85485</v>
      </c>
      <c r="BB62" s="28">
        <v>16208</v>
      </c>
      <c r="BC62" s="28">
        <v>0</v>
      </c>
      <c r="BD62" s="28">
        <v>0</v>
      </c>
      <c r="BE62" s="28">
        <v>90809</v>
      </c>
      <c r="BF62" s="28">
        <v>97727</v>
      </c>
      <c r="BG62" s="28">
        <v>0</v>
      </c>
      <c r="BH62" s="28">
        <v>60693</v>
      </c>
      <c r="BI62" s="28">
        <v>0</v>
      </c>
      <c r="BJ62" s="28">
        <v>235788</v>
      </c>
      <c r="BK62" s="28">
        <v>0</v>
      </c>
      <c r="BL62" s="28">
        <v>113524</v>
      </c>
      <c r="BM62" s="28">
        <v>0</v>
      </c>
      <c r="BN62" s="28">
        <v>101393</v>
      </c>
      <c r="BO62" s="28">
        <v>0</v>
      </c>
      <c r="BP62" s="28">
        <v>0</v>
      </c>
      <c r="BQ62" s="28">
        <v>0</v>
      </c>
      <c r="BR62" s="28">
        <v>59887</v>
      </c>
      <c r="BS62" s="28">
        <v>0</v>
      </c>
      <c r="BT62" s="28">
        <v>0</v>
      </c>
      <c r="BU62" s="28">
        <v>0</v>
      </c>
      <c r="BV62" s="28">
        <v>153172</v>
      </c>
      <c r="BW62" s="28">
        <v>0</v>
      </c>
      <c r="BX62" s="28">
        <v>0</v>
      </c>
      <c r="BY62" s="28">
        <v>135784</v>
      </c>
      <c r="BZ62" s="28">
        <v>0</v>
      </c>
      <c r="CA62" s="28">
        <v>0</v>
      </c>
      <c r="CB62" s="28">
        <v>0</v>
      </c>
      <c r="CC62" s="28">
        <v>0</v>
      </c>
      <c r="CD62" s="25" t="s">
        <v>248</v>
      </c>
      <c r="CE62" s="28">
        <v>3738501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1668</v>
      </c>
      <c r="L63" s="20">
        <v>0</v>
      </c>
      <c r="M63" s="20">
        <v>0</v>
      </c>
      <c r="N63" s="20">
        <v>0</v>
      </c>
      <c r="O63" s="20">
        <v>0</v>
      </c>
      <c r="P63" s="26">
        <v>204833</v>
      </c>
      <c r="Q63" s="26">
        <v>0</v>
      </c>
      <c r="R63" s="26">
        <v>516800</v>
      </c>
      <c r="S63" s="250">
        <v>0</v>
      </c>
      <c r="T63" s="250">
        <v>0</v>
      </c>
      <c r="U63" s="27">
        <v>9934</v>
      </c>
      <c r="V63" s="26">
        <v>0</v>
      </c>
      <c r="W63" s="26">
        <v>33091</v>
      </c>
      <c r="X63" s="26">
        <v>168680</v>
      </c>
      <c r="Y63" s="26">
        <v>450457</v>
      </c>
      <c r="Z63" s="26">
        <v>0</v>
      </c>
      <c r="AA63" s="26">
        <v>0</v>
      </c>
      <c r="AB63" s="251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2220705</v>
      </c>
      <c r="AH63" s="26">
        <v>0</v>
      </c>
      <c r="AI63" s="26">
        <v>0</v>
      </c>
      <c r="AJ63" s="26">
        <v>-11850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50">
        <v>49490</v>
      </c>
      <c r="AW63" s="250">
        <v>0</v>
      </c>
      <c r="AX63" s="250">
        <v>0</v>
      </c>
      <c r="AY63" s="26">
        <v>0</v>
      </c>
      <c r="AZ63" s="26">
        <v>0</v>
      </c>
      <c r="BA63" s="250">
        <v>0</v>
      </c>
      <c r="BB63" s="250">
        <v>0</v>
      </c>
      <c r="BC63" s="250">
        <v>0</v>
      </c>
      <c r="BD63" s="250">
        <v>0</v>
      </c>
      <c r="BE63" s="26">
        <v>0</v>
      </c>
      <c r="BF63" s="250">
        <v>0</v>
      </c>
      <c r="BG63" s="250">
        <v>0</v>
      </c>
      <c r="BH63" s="250">
        <v>159089</v>
      </c>
      <c r="BI63" s="250">
        <v>0</v>
      </c>
      <c r="BJ63" s="250">
        <v>81402</v>
      </c>
      <c r="BK63" s="250">
        <v>0</v>
      </c>
      <c r="BL63" s="250">
        <v>0</v>
      </c>
      <c r="BM63" s="250">
        <v>0</v>
      </c>
      <c r="BN63" s="250">
        <v>123682</v>
      </c>
      <c r="BO63" s="250">
        <v>0</v>
      </c>
      <c r="BP63" s="250">
        <v>0</v>
      </c>
      <c r="BQ63" s="250">
        <v>0</v>
      </c>
      <c r="BR63" s="250">
        <v>57724</v>
      </c>
      <c r="BS63" s="250">
        <v>0</v>
      </c>
      <c r="BT63" s="250">
        <v>0</v>
      </c>
      <c r="BU63" s="250">
        <v>0</v>
      </c>
      <c r="BV63" s="250">
        <v>95600</v>
      </c>
      <c r="BW63" s="250">
        <v>0</v>
      </c>
      <c r="BX63" s="250">
        <v>0</v>
      </c>
      <c r="BY63" s="250">
        <v>0</v>
      </c>
      <c r="BZ63" s="250">
        <v>0</v>
      </c>
      <c r="CA63" s="250">
        <v>0</v>
      </c>
      <c r="CB63" s="250">
        <v>0</v>
      </c>
      <c r="CC63" s="250">
        <v>0</v>
      </c>
      <c r="CD63" s="25" t="s">
        <v>248</v>
      </c>
      <c r="CE63" s="28">
        <v>4161305</v>
      </c>
    </row>
    <row r="64" spans="1:83" x14ac:dyDescent="0.35">
      <c r="A64" s="35" t="s">
        <v>265</v>
      </c>
      <c r="B64" s="16"/>
      <c r="C64" s="20">
        <v>0</v>
      </c>
      <c r="D64" s="20">
        <v>0</v>
      </c>
      <c r="E64" s="20">
        <v>16444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155326</v>
      </c>
      <c r="L64" s="20">
        <v>34211</v>
      </c>
      <c r="M64" s="20">
        <v>0</v>
      </c>
      <c r="N64" s="20">
        <v>0</v>
      </c>
      <c r="O64" s="20">
        <v>0</v>
      </c>
      <c r="P64" s="26">
        <v>21530</v>
      </c>
      <c r="Q64" s="26">
        <v>0</v>
      </c>
      <c r="R64" s="26">
        <v>2814</v>
      </c>
      <c r="S64" s="250">
        <v>225701</v>
      </c>
      <c r="T64" s="250">
        <v>0</v>
      </c>
      <c r="U64" s="27">
        <v>1080450</v>
      </c>
      <c r="V64" s="26">
        <v>0</v>
      </c>
      <c r="W64" s="26">
        <v>576</v>
      </c>
      <c r="X64" s="26">
        <v>2938</v>
      </c>
      <c r="Y64" s="26">
        <v>7846</v>
      </c>
      <c r="Z64" s="26">
        <v>0</v>
      </c>
      <c r="AA64" s="26">
        <v>0</v>
      </c>
      <c r="AB64" s="251">
        <v>1526990</v>
      </c>
      <c r="AC64" s="26">
        <v>4286</v>
      </c>
      <c r="AD64" s="26">
        <v>0</v>
      </c>
      <c r="AE64" s="26">
        <v>55871</v>
      </c>
      <c r="AF64" s="26">
        <v>0</v>
      </c>
      <c r="AG64" s="26">
        <v>86775</v>
      </c>
      <c r="AH64" s="26">
        <v>0</v>
      </c>
      <c r="AI64" s="26">
        <v>0</v>
      </c>
      <c r="AJ64" s="26">
        <v>32717</v>
      </c>
      <c r="AK64" s="26">
        <v>0</v>
      </c>
      <c r="AL64" s="26">
        <v>0</v>
      </c>
      <c r="AM64" s="26">
        <v>0</v>
      </c>
      <c r="AN64" s="26">
        <v>0</v>
      </c>
      <c r="AO64" s="26">
        <v>3220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50">
        <v>848</v>
      </c>
      <c r="AW64" s="250">
        <v>0</v>
      </c>
      <c r="AX64" s="250">
        <v>0</v>
      </c>
      <c r="AY64" s="26">
        <v>355418</v>
      </c>
      <c r="AZ64" s="26">
        <v>63030</v>
      </c>
      <c r="BA64" s="250">
        <v>15103</v>
      </c>
      <c r="BB64" s="250">
        <v>449</v>
      </c>
      <c r="BC64" s="250">
        <v>0</v>
      </c>
      <c r="BD64" s="250">
        <v>0</v>
      </c>
      <c r="BE64" s="26">
        <v>11809</v>
      </c>
      <c r="BF64" s="250">
        <v>62273</v>
      </c>
      <c r="BG64" s="250">
        <v>1187</v>
      </c>
      <c r="BH64" s="250">
        <v>23773</v>
      </c>
      <c r="BI64" s="250">
        <v>0</v>
      </c>
      <c r="BJ64" s="250">
        <v>31038</v>
      </c>
      <c r="BK64" s="250">
        <v>0</v>
      </c>
      <c r="BL64" s="250">
        <v>8186</v>
      </c>
      <c r="BM64" s="250">
        <v>0</v>
      </c>
      <c r="BN64" s="250">
        <v>10704</v>
      </c>
      <c r="BO64" s="250">
        <v>0</v>
      </c>
      <c r="BP64" s="250">
        <v>0</v>
      </c>
      <c r="BQ64" s="250">
        <v>0</v>
      </c>
      <c r="BR64" s="250">
        <v>8981</v>
      </c>
      <c r="BS64" s="250">
        <v>0</v>
      </c>
      <c r="BT64" s="250">
        <v>0</v>
      </c>
      <c r="BU64" s="250">
        <v>0</v>
      </c>
      <c r="BV64" s="250">
        <v>10860</v>
      </c>
      <c r="BW64" s="250">
        <v>0</v>
      </c>
      <c r="BX64" s="250">
        <v>0</v>
      </c>
      <c r="BY64" s="250">
        <v>4917</v>
      </c>
      <c r="BZ64" s="250">
        <v>0</v>
      </c>
      <c r="CA64" s="250">
        <v>0</v>
      </c>
      <c r="CB64" s="250">
        <v>0</v>
      </c>
      <c r="CC64" s="250">
        <v>0</v>
      </c>
      <c r="CD64" s="25" t="s">
        <v>248</v>
      </c>
      <c r="CE64" s="28">
        <v>3866271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30358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50">
        <v>0</v>
      </c>
      <c r="T65" s="250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51">
        <v>0</v>
      </c>
      <c r="AC65" s="26">
        <v>0</v>
      </c>
      <c r="AD65" s="26">
        <v>0</v>
      </c>
      <c r="AE65" s="26">
        <v>3575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50">
        <v>0</v>
      </c>
      <c r="AW65" s="250">
        <v>0</v>
      </c>
      <c r="AX65" s="250">
        <v>0</v>
      </c>
      <c r="AY65" s="26">
        <v>9600</v>
      </c>
      <c r="AZ65" s="26">
        <v>0</v>
      </c>
      <c r="BA65" s="250">
        <v>31818</v>
      </c>
      <c r="BB65" s="250">
        <v>0</v>
      </c>
      <c r="BC65" s="250">
        <v>0</v>
      </c>
      <c r="BD65" s="250">
        <v>0</v>
      </c>
      <c r="BE65" s="26">
        <v>354231</v>
      </c>
      <c r="BF65" s="250">
        <v>0</v>
      </c>
      <c r="BG65" s="250">
        <v>42904</v>
      </c>
      <c r="BH65" s="250">
        <v>0</v>
      </c>
      <c r="BI65" s="250">
        <v>0</v>
      </c>
      <c r="BJ65" s="250">
        <v>0</v>
      </c>
      <c r="BK65" s="250">
        <v>0</v>
      </c>
      <c r="BL65" s="250">
        <v>0</v>
      </c>
      <c r="BM65" s="250">
        <v>0</v>
      </c>
      <c r="BN65" s="250">
        <v>6783</v>
      </c>
      <c r="BO65" s="250">
        <v>0</v>
      </c>
      <c r="BP65" s="250">
        <v>0</v>
      </c>
      <c r="BQ65" s="250">
        <v>0</v>
      </c>
      <c r="BR65" s="250">
        <v>0</v>
      </c>
      <c r="BS65" s="250">
        <v>0</v>
      </c>
      <c r="BT65" s="250">
        <v>0</v>
      </c>
      <c r="BU65" s="250">
        <v>0</v>
      </c>
      <c r="BV65" s="250">
        <v>0</v>
      </c>
      <c r="BW65" s="250">
        <v>0</v>
      </c>
      <c r="BX65" s="250">
        <v>0</v>
      </c>
      <c r="BY65" s="250">
        <v>0</v>
      </c>
      <c r="BZ65" s="250">
        <v>0</v>
      </c>
      <c r="CA65" s="250">
        <v>0</v>
      </c>
      <c r="CB65" s="250">
        <v>0</v>
      </c>
      <c r="CC65" s="250">
        <v>0</v>
      </c>
      <c r="CD65" s="25" t="s">
        <v>248</v>
      </c>
      <c r="CE65" s="28">
        <v>479269</v>
      </c>
    </row>
    <row r="66" spans="1:83" x14ac:dyDescent="0.35">
      <c r="A66" s="35" t="s">
        <v>267</v>
      </c>
      <c r="B66" s="16"/>
      <c r="C66" s="20">
        <v>0</v>
      </c>
      <c r="D66" s="20">
        <v>0</v>
      </c>
      <c r="E66" s="20">
        <v>141728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394054</v>
      </c>
      <c r="L66" s="20">
        <v>294855</v>
      </c>
      <c r="M66" s="20">
        <v>0</v>
      </c>
      <c r="N66" s="20">
        <v>0</v>
      </c>
      <c r="O66" s="20">
        <v>0</v>
      </c>
      <c r="P66" s="26">
        <v>8372</v>
      </c>
      <c r="Q66" s="26">
        <v>0</v>
      </c>
      <c r="R66" s="26">
        <v>0</v>
      </c>
      <c r="S66" s="250">
        <v>0</v>
      </c>
      <c r="T66" s="250">
        <v>0</v>
      </c>
      <c r="U66" s="27">
        <v>115915</v>
      </c>
      <c r="V66" s="26">
        <v>0</v>
      </c>
      <c r="W66" s="26">
        <v>27828</v>
      </c>
      <c r="X66" s="26">
        <v>141850</v>
      </c>
      <c r="Y66" s="26">
        <v>378808</v>
      </c>
      <c r="Z66" s="26">
        <v>0</v>
      </c>
      <c r="AA66" s="26">
        <v>0</v>
      </c>
      <c r="AB66" s="251">
        <v>180761</v>
      </c>
      <c r="AC66" s="26">
        <v>0</v>
      </c>
      <c r="AD66" s="26">
        <v>0</v>
      </c>
      <c r="AE66" s="26">
        <v>65526</v>
      </c>
      <c r="AF66" s="26">
        <v>0</v>
      </c>
      <c r="AG66" s="26">
        <v>1097066</v>
      </c>
      <c r="AH66" s="26">
        <v>0</v>
      </c>
      <c r="AI66" s="26">
        <v>0</v>
      </c>
      <c r="AJ66" s="26">
        <v>34779</v>
      </c>
      <c r="AK66" s="26">
        <v>0</v>
      </c>
      <c r="AL66" s="26">
        <v>0</v>
      </c>
      <c r="AM66" s="26">
        <v>0</v>
      </c>
      <c r="AN66" s="26">
        <v>0</v>
      </c>
      <c r="AO66" s="26">
        <v>27746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50">
        <v>72391</v>
      </c>
      <c r="AW66" s="250">
        <v>0</v>
      </c>
      <c r="AX66" s="250">
        <v>0</v>
      </c>
      <c r="AY66" s="26">
        <v>0</v>
      </c>
      <c r="AZ66" s="26">
        <v>4323</v>
      </c>
      <c r="BA66" s="250">
        <v>0</v>
      </c>
      <c r="BB66" s="250">
        <v>0</v>
      </c>
      <c r="BC66" s="250">
        <v>0</v>
      </c>
      <c r="BD66" s="250">
        <v>0</v>
      </c>
      <c r="BE66" s="26">
        <v>44138</v>
      </c>
      <c r="BF66" s="250">
        <v>21276</v>
      </c>
      <c r="BG66" s="250">
        <v>14443</v>
      </c>
      <c r="BH66" s="250">
        <v>408566</v>
      </c>
      <c r="BI66" s="250">
        <v>0</v>
      </c>
      <c r="BJ66" s="250">
        <v>135207</v>
      </c>
      <c r="BK66" s="250">
        <v>0</v>
      </c>
      <c r="BL66" s="250">
        <v>0</v>
      </c>
      <c r="BM66" s="250">
        <v>0</v>
      </c>
      <c r="BN66" s="250">
        <v>71274</v>
      </c>
      <c r="BO66" s="250">
        <v>0</v>
      </c>
      <c r="BP66" s="250">
        <v>0</v>
      </c>
      <c r="BQ66" s="250">
        <v>0</v>
      </c>
      <c r="BR66" s="250">
        <v>27193</v>
      </c>
      <c r="BS66" s="250">
        <v>0</v>
      </c>
      <c r="BT66" s="250">
        <v>0</v>
      </c>
      <c r="BU66" s="250">
        <v>0</v>
      </c>
      <c r="BV66" s="250">
        <v>39996</v>
      </c>
      <c r="BW66" s="250">
        <v>0</v>
      </c>
      <c r="BX66" s="250">
        <v>0</v>
      </c>
      <c r="BY66" s="250">
        <v>8046</v>
      </c>
      <c r="BZ66" s="250">
        <v>0</v>
      </c>
      <c r="CA66" s="250">
        <v>0</v>
      </c>
      <c r="CB66" s="250">
        <v>0</v>
      </c>
      <c r="CC66" s="250">
        <v>0</v>
      </c>
      <c r="CD66" s="25" t="s">
        <v>248</v>
      </c>
      <c r="CE66" s="28">
        <v>3756141</v>
      </c>
    </row>
    <row r="67" spans="1:83" x14ac:dyDescent="0.35">
      <c r="A67" s="35" t="s">
        <v>16</v>
      </c>
      <c r="B67" s="16"/>
      <c r="C67" s="28">
        <v>0</v>
      </c>
      <c r="D67" s="28">
        <v>0</v>
      </c>
      <c r="E67" s="28">
        <v>41252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245731</v>
      </c>
      <c r="L67" s="28">
        <v>85820</v>
      </c>
      <c r="M67" s="28">
        <v>0</v>
      </c>
      <c r="N67" s="28">
        <v>0</v>
      </c>
      <c r="O67" s="28">
        <v>0</v>
      </c>
      <c r="P67" s="28">
        <v>39341</v>
      </c>
      <c r="Q67" s="28">
        <v>10367</v>
      </c>
      <c r="R67" s="28">
        <v>9021</v>
      </c>
      <c r="S67" s="28">
        <v>11352</v>
      </c>
      <c r="T67" s="28">
        <v>0</v>
      </c>
      <c r="U67" s="28">
        <v>31058</v>
      </c>
      <c r="V67" s="28">
        <v>0</v>
      </c>
      <c r="W67" s="28">
        <v>2664</v>
      </c>
      <c r="X67" s="28">
        <v>13553</v>
      </c>
      <c r="Y67" s="28">
        <v>36184</v>
      </c>
      <c r="Z67" s="28">
        <v>0</v>
      </c>
      <c r="AA67" s="28">
        <v>0</v>
      </c>
      <c r="AB67" s="28">
        <v>13640</v>
      </c>
      <c r="AC67" s="28">
        <v>2505</v>
      </c>
      <c r="AD67" s="28">
        <v>0</v>
      </c>
      <c r="AE67" s="28">
        <v>112563</v>
      </c>
      <c r="AF67" s="28">
        <v>0</v>
      </c>
      <c r="AG67" s="28">
        <v>102920</v>
      </c>
      <c r="AH67" s="28">
        <v>0</v>
      </c>
      <c r="AI67" s="28">
        <v>0</v>
      </c>
      <c r="AJ67" s="28">
        <v>92133</v>
      </c>
      <c r="AK67" s="28">
        <v>0</v>
      </c>
      <c r="AL67" s="28">
        <v>0</v>
      </c>
      <c r="AM67" s="28">
        <v>0</v>
      </c>
      <c r="AN67" s="28">
        <v>0</v>
      </c>
      <c r="AO67" s="28">
        <v>8080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12945</v>
      </c>
      <c r="AW67" s="28">
        <v>0</v>
      </c>
      <c r="AX67" s="28">
        <v>0</v>
      </c>
      <c r="AY67" s="28">
        <v>54254</v>
      </c>
      <c r="AZ67" s="28">
        <v>0</v>
      </c>
      <c r="BA67" s="28">
        <v>31174</v>
      </c>
      <c r="BB67" s="28">
        <v>0</v>
      </c>
      <c r="BC67" s="28">
        <v>0</v>
      </c>
      <c r="BD67" s="28">
        <v>0</v>
      </c>
      <c r="BE67" s="28">
        <v>136194</v>
      </c>
      <c r="BF67" s="28">
        <v>21705</v>
      </c>
      <c r="BG67" s="28">
        <v>10715</v>
      </c>
      <c r="BH67" s="28">
        <v>21068</v>
      </c>
      <c r="BI67" s="28">
        <v>0</v>
      </c>
      <c r="BJ67" s="28">
        <v>35272</v>
      </c>
      <c r="BK67" s="28">
        <v>0</v>
      </c>
      <c r="BL67" s="28">
        <v>32970</v>
      </c>
      <c r="BM67" s="28">
        <v>0</v>
      </c>
      <c r="BN67" s="28">
        <v>46334</v>
      </c>
      <c r="BO67" s="28">
        <v>0</v>
      </c>
      <c r="BP67" s="28">
        <v>0</v>
      </c>
      <c r="BQ67" s="28">
        <v>0</v>
      </c>
      <c r="BR67" s="28">
        <v>38327</v>
      </c>
      <c r="BS67" s="28">
        <v>0</v>
      </c>
      <c r="BT67" s="28">
        <v>0</v>
      </c>
      <c r="BU67" s="28">
        <v>0</v>
      </c>
      <c r="BV67" s="28">
        <v>18780</v>
      </c>
      <c r="BW67" s="28">
        <v>0</v>
      </c>
      <c r="BX67" s="28">
        <v>0</v>
      </c>
      <c r="BY67" s="28">
        <v>18215</v>
      </c>
      <c r="BZ67" s="28">
        <v>0</v>
      </c>
      <c r="CA67" s="28">
        <v>0</v>
      </c>
      <c r="CB67" s="28">
        <v>0</v>
      </c>
      <c r="CC67" s="28">
        <v>0</v>
      </c>
      <c r="CD67" s="25" t="s">
        <v>248</v>
      </c>
      <c r="CE67" s="28">
        <v>1336137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5182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600</v>
      </c>
      <c r="L68" s="20">
        <v>10780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50">
        <v>0</v>
      </c>
      <c r="T68" s="250">
        <v>0</v>
      </c>
      <c r="U68" s="27">
        <v>0</v>
      </c>
      <c r="V68" s="26">
        <v>0</v>
      </c>
      <c r="W68" s="26">
        <v>10490</v>
      </c>
      <c r="X68" s="26">
        <v>53470</v>
      </c>
      <c r="Y68" s="26">
        <v>142791</v>
      </c>
      <c r="Z68" s="26">
        <v>0</v>
      </c>
      <c r="AA68" s="26">
        <v>0</v>
      </c>
      <c r="AB68" s="251">
        <v>69892</v>
      </c>
      <c r="AC68" s="26">
        <v>0</v>
      </c>
      <c r="AD68" s="26">
        <v>0</v>
      </c>
      <c r="AE68" s="26">
        <v>37500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1014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50">
        <v>0</v>
      </c>
      <c r="AW68" s="250">
        <v>0</v>
      </c>
      <c r="AX68" s="250">
        <v>0</v>
      </c>
      <c r="AY68" s="26">
        <v>2304</v>
      </c>
      <c r="AZ68" s="26">
        <v>6744</v>
      </c>
      <c r="BA68" s="250">
        <v>0</v>
      </c>
      <c r="BB68" s="250">
        <v>0</v>
      </c>
      <c r="BC68" s="250">
        <v>0</v>
      </c>
      <c r="BD68" s="250">
        <v>0</v>
      </c>
      <c r="BE68" s="26">
        <v>379</v>
      </c>
      <c r="BF68" s="250">
        <v>0</v>
      </c>
      <c r="BG68" s="250">
        <v>565</v>
      </c>
      <c r="BH68" s="250">
        <v>0</v>
      </c>
      <c r="BI68" s="250">
        <v>0</v>
      </c>
      <c r="BJ68" s="250">
        <v>0</v>
      </c>
      <c r="BK68" s="250">
        <v>0</v>
      </c>
      <c r="BL68" s="250">
        <v>0</v>
      </c>
      <c r="BM68" s="250">
        <v>0</v>
      </c>
      <c r="BN68" s="250">
        <v>173643</v>
      </c>
      <c r="BO68" s="250">
        <v>0</v>
      </c>
      <c r="BP68" s="250">
        <v>0</v>
      </c>
      <c r="BQ68" s="250">
        <v>0</v>
      </c>
      <c r="BR68" s="250">
        <v>0</v>
      </c>
      <c r="BS68" s="250">
        <v>0</v>
      </c>
      <c r="BT68" s="250">
        <v>0</v>
      </c>
      <c r="BU68" s="250">
        <v>0</v>
      </c>
      <c r="BV68" s="250">
        <v>7206</v>
      </c>
      <c r="BW68" s="250">
        <v>0</v>
      </c>
      <c r="BX68" s="250">
        <v>0</v>
      </c>
      <c r="BY68" s="250">
        <v>0</v>
      </c>
      <c r="BZ68" s="250">
        <v>0</v>
      </c>
      <c r="CA68" s="250">
        <v>0</v>
      </c>
      <c r="CB68" s="250">
        <v>0</v>
      </c>
      <c r="CC68" s="250">
        <v>0</v>
      </c>
      <c r="CD68" s="25" t="s">
        <v>248</v>
      </c>
      <c r="CE68" s="28">
        <v>522560</v>
      </c>
    </row>
    <row r="69" spans="1:83" x14ac:dyDescent="0.35">
      <c r="A69" s="35" t="s">
        <v>269</v>
      </c>
      <c r="B69" s="16"/>
      <c r="C69" s="28">
        <v>0</v>
      </c>
      <c r="D69" s="28">
        <v>0</v>
      </c>
      <c r="E69" s="28">
        <v>12515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20785</v>
      </c>
      <c r="L69" s="28">
        <v>26037</v>
      </c>
      <c r="M69" s="28">
        <v>0</v>
      </c>
      <c r="N69" s="28">
        <v>0</v>
      </c>
      <c r="O69" s="28">
        <v>0</v>
      </c>
      <c r="P69" s="28">
        <v>24095</v>
      </c>
      <c r="Q69" s="28">
        <v>0</v>
      </c>
      <c r="R69" s="28">
        <v>5309</v>
      </c>
      <c r="S69" s="28">
        <v>3871</v>
      </c>
      <c r="T69" s="28">
        <v>0</v>
      </c>
      <c r="U69" s="28">
        <v>69981</v>
      </c>
      <c r="V69" s="28">
        <v>0</v>
      </c>
      <c r="W69" s="28">
        <v>8124</v>
      </c>
      <c r="X69" s="28">
        <v>41409</v>
      </c>
      <c r="Y69" s="28">
        <v>110582</v>
      </c>
      <c r="Z69" s="28">
        <v>0</v>
      </c>
      <c r="AA69" s="28">
        <v>0</v>
      </c>
      <c r="AB69" s="28">
        <v>22608</v>
      </c>
      <c r="AC69" s="28">
        <v>6356</v>
      </c>
      <c r="AD69" s="28">
        <v>0</v>
      </c>
      <c r="AE69" s="28">
        <v>18484</v>
      </c>
      <c r="AF69" s="28">
        <v>0</v>
      </c>
      <c r="AG69" s="28">
        <v>19224</v>
      </c>
      <c r="AH69" s="28">
        <v>0</v>
      </c>
      <c r="AI69" s="28">
        <v>0</v>
      </c>
      <c r="AJ69" s="28">
        <v>7279</v>
      </c>
      <c r="AK69" s="28">
        <v>0</v>
      </c>
      <c r="AL69" s="28">
        <v>0</v>
      </c>
      <c r="AM69" s="28">
        <v>0</v>
      </c>
      <c r="AN69" s="28">
        <v>0</v>
      </c>
      <c r="AO69" s="28">
        <v>2450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4860</v>
      </c>
      <c r="AW69" s="28">
        <v>0</v>
      </c>
      <c r="AX69" s="28">
        <v>0</v>
      </c>
      <c r="AY69" s="28">
        <v>1808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-6762</v>
      </c>
      <c r="BF69" s="28">
        <v>163</v>
      </c>
      <c r="BG69" s="28">
        <v>7151</v>
      </c>
      <c r="BH69" s="28">
        <v>23163</v>
      </c>
      <c r="BI69" s="28">
        <v>0</v>
      </c>
      <c r="BJ69" s="28">
        <v>27798</v>
      </c>
      <c r="BK69" s="28">
        <v>0</v>
      </c>
      <c r="BL69" s="28">
        <v>0</v>
      </c>
      <c r="BM69" s="28">
        <v>0</v>
      </c>
      <c r="BN69" s="28">
        <v>203423</v>
      </c>
      <c r="BO69" s="28">
        <v>0</v>
      </c>
      <c r="BP69" s="28">
        <v>0</v>
      </c>
      <c r="BQ69" s="28">
        <v>0</v>
      </c>
      <c r="BR69" s="28">
        <v>44955</v>
      </c>
      <c r="BS69" s="28">
        <v>0</v>
      </c>
      <c r="BT69" s="28">
        <v>0</v>
      </c>
      <c r="BU69" s="28">
        <v>0</v>
      </c>
      <c r="BV69" s="28">
        <v>8197</v>
      </c>
      <c r="BW69" s="28">
        <v>0</v>
      </c>
      <c r="BX69" s="28">
        <v>0</v>
      </c>
      <c r="BY69" s="28">
        <v>33848</v>
      </c>
      <c r="BZ69" s="28">
        <v>0</v>
      </c>
      <c r="CA69" s="28">
        <v>0</v>
      </c>
      <c r="CB69" s="28">
        <v>0</v>
      </c>
      <c r="CC69" s="28">
        <v>0</v>
      </c>
      <c r="CD69" s="28">
        <v>881613</v>
      </c>
      <c r="CE69" s="28">
        <v>1629326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v>0</v>
      </c>
    </row>
    <row r="71" spans="1:83" x14ac:dyDescent="0.35">
      <c r="A71" s="29" t="s">
        <v>271</v>
      </c>
      <c r="B71" s="30"/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0</v>
      </c>
      <c r="Z71" s="241">
        <v>0</v>
      </c>
      <c r="AA71" s="241">
        <v>0</v>
      </c>
      <c r="AB71" s="241">
        <v>0</v>
      </c>
      <c r="AC71" s="241">
        <v>0</v>
      </c>
      <c r="AD71" s="241">
        <v>0</v>
      </c>
      <c r="AE71" s="241">
        <v>0</v>
      </c>
      <c r="AF71" s="241">
        <v>0</v>
      </c>
      <c r="AG71" s="241">
        <v>0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0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0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0</v>
      </c>
      <c r="CA71" s="241">
        <v>0</v>
      </c>
      <c r="CB71" s="241">
        <v>0</v>
      </c>
      <c r="CC71" s="241">
        <v>0</v>
      </c>
      <c r="CD71" s="241">
        <v>0</v>
      </c>
      <c r="CE71" s="28">
        <v>0</v>
      </c>
    </row>
    <row r="72" spans="1:83" x14ac:dyDescent="0.35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v>0</v>
      </c>
    </row>
    <row r="73" spans="1:83" x14ac:dyDescent="0.35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0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v>0</v>
      </c>
    </row>
    <row r="74" spans="1:83" x14ac:dyDescent="0.35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0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v>0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v>0</v>
      </c>
    </row>
    <row r="76" spans="1:83" x14ac:dyDescent="0.3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v>0</v>
      </c>
    </row>
    <row r="77" spans="1:83" x14ac:dyDescent="0.35">
      <c r="A77" s="29" t="s">
        <v>277</v>
      </c>
      <c r="B77" s="30"/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1">
        <v>0</v>
      </c>
      <c r="Z77" s="241">
        <v>0</v>
      </c>
      <c r="AA77" s="241">
        <v>0</v>
      </c>
      <c r="AB77" s="241">
        <v>0</v>
      </c>
      <c r="AC77" s="241">
        <v>0</v>
      </c>
      <c r="AD77" s="241">
        <v>0</v>
      </c>
      <c r="AE77" s="241">
        <v>0</v>
      </c>
      <c r="AF77" s="241">
        <v>0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0</v>
      </c>
      <c r="AZ77" s="241">
        <v>0</v>
      </c>
      <c r="BA77" s="241">
        <v>0</v>
      </c>
      <c r="BB77" s="241">
        <v>0</v>
      </c>
      <c r="BC77" s="241">
        <v>0</v>
      </c>
      <c r="BD77" s="241">
        <v>0</v>
      </c>
      <c r="BE77" s="241">
        <v>0</v>
      </c>
      <c r="BF77" s="241">
        <v>0</v>
      </c>
      <c r="BG77" s="241">
        <v>0</v>
      </c>
      <c r="BH77" s="241">
        <v>0</v>
      </c>
      <c r="BI77" s="241">
        <v>0</v>
      </c>
      <c r="BJ77" s="241">
        <v>0</v>
      </c>
      <c r="BK77" s="241">
        <v>0</v>
      </c>
      <c r="BL77" s="241">
        <v>0</v>
      </c>
      <c r="BM77" s="241">
        <v>0</v>
      </c>
      <c r="BN77" s="241">
        <v>0</v>
      </c>
      <c r="BO77" s="241">
        <v>0</v>
      </c>
      <c r="BP77" s="241">
        <v>0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0</v>
      </c>
      <c r="BW77" s="241">
        <v>0</v>
      </c>
      <c r="BX77" s="241">
        <v>0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v>0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0</v>
      </c>
      <c r="BS79" s="241">
        <v>0</v>
      </c>
      <c r="BT79" s="241">
        <v>0</v>
      </c>
      <c r="BU79" s="241">
        <v>0</v>
      </c>
      <c r="BV79" s="241">
        <v>0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v>0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v>0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v>0</v>
      </c>
    </row>
    <row r="83" spans="1:84" x14ac:dyDescent="0.35">
      <c r="A83" s="29" t="s">
        <v>283</v>
      </c>
      <c r="B83" s="16"/>
      <c r="C83" s="20">
        <v>0</v>
      </c>
      <c r="D83" s="20">
        <v>0</v>
      </c>
      <c r="E83" s="26">
        <v>12515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20785</v>
      </c>
      <c r="L83" s="26">
        <v>26037</v>
      </c>
      <c r="M83" s="20">
        <v>0</v>
      </c>
      <c r="N83" s="20">
        <v>0</v>
      </c>
      <c r="O83" s="20">
        <v>0</v>
      </c>
      <c r="P83" s="26">
        <v>24095</v>
      </c>
      <c r="Q83" s="26">
        <v>0</v>
      </c>
      <c r="R83" s="27">
        <v>5309</v>
      </c>
      <c r="S83" s="26">
        <v>3871</v>
      </c>
      <c r="T83" s="20">
        <v>0</v>
      </c>
      <c r="U83" s="26">
        <v>69981</v>
      </c>
      <c r="V83" s="26">
        <v>0</v>
      </c>
      <c r="W83" s="20">
        <v>8124</v>
      </c>
      <c r="X83" s="26">
        <v>41409</v>
      </c>
      <c r="Y83" s="26">
        <v>110582</v>
      </c>
      <c r="Z83" s="26">
        <v>0</v>
      </c>
      <c r="AA83" s="26">
        <v>0</v>
      </c>
      <c r="AB83" s="26">
        <v>22608</v>
      </c>
      <c r="AC83" s="26">
        <v>6356</v>
      </c>
      <c r="AD83" s="26">
        <v>0</v>
      </c>
      <c r="AE83" s="26">
        <v>18484</v>
      </c>
      <c r="AF83" s="26">
        <v>0</v>
      </c>
      <c r="AG83" s="26">
        <v>19224</v>
      </c>
      <c r="AH83" s="26">
        <v>0</v>
      </c>
      <c r="AI83" s="26">
        <v>0</v>
      </c>
      <c r="AJ83" s="26">
        <v>7279</v>
      </c>
      <c r="AK83" s="26">
        <v>0</v>
      </c>
      <c r="AL83" s="26">
        <v>0</v>
      </c>
      <c r="AM83" s="26">
        <v>0</v>
      </c>
      <c r="AN83" s="26">
        <v>0</v>
      </c>
      <c r="AO83" s="20">
        <v>2450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4860</v>
      </c>
      <c r="AW83" s="26">
        <v>0</v>
      </c>
      <c r="AX83" s="26">
        <v>0</v>
      </c>
      <c r="AY83" s="26">
        <v>1808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-6762</v>
      </c>
      <c r="BF83" s="26">
        <v>163</v>
      </c>
      <c r="BG83" s="26">
        <v>7151</v>
      </c>
      <c r="BH83" s="27">
        <v>23163</v>
      </c>
      <c r="BI83" s="26">
        <v>0</v>
      </c>
      <c r="BJ83" s="26">
        <v>27798</v>
      </c>
      <c r="BK83" s="26">
        <v>0</v>
      </c>
      <c r="BL83" s="26">
        <v>0</v>
      </c>
      <c r="BM83" s="26">
        <v>0</v>
      </c>
      <c r="BN83" s="26">
        <v>203423</v>
      </c>
      <c r="BO83" s="26">
        <v>0</v>
      </c>
      <c r="BP83" s="26">
        <v>0</v>
      </c>
      <c r="BQ83" s="26">
        <v>0</v>
      </c>
      <c r="BR83" s="26">
        <v>44955</v>
      </c>
      <c r="BS83" s="26">
        <v>0</v>
      </c>
      <c r="BT83" s="26">
        <v>0</v>
      </c>
      <c r="BU83" s="26">
        <v>0</v>
      </c>
      <c r="BV83" s="26">
        <v>8197</v>
      </c>
      <c r="BW83" s="26">
        <v>0</v>
      </c>
      <c r="BX83" s="26">
        <v>0</v>
      </c>
      <c r="BY83" s="26">
        <v>33848</v>
      </c>
      <c r="BZ83" s="26">
        <v>0</v>
      </c>
      <c r="CA83" s="26">
        <v>0</v>
      </c>
      <c r="CB83" s="26">
        <v>0</v>
      </c>
      <c r="CC83" s="26">
        <v>0</v>
      </c>
      <c r="CD83" s="31">
        <v>881613</v>
      </c>
      <c r="CE83" s="28">
        <v>1629326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1741107</v>
      </c>
      <c r="CE84" s="28">
        <v>1741107</v>
      </c>
    </row>
    <row r="85" spans="1:84" x14ac:dyDescent="0.35">
      <c r="A85" s="35" t="s">
        <v>285</v>
      </c>
      <c r="B85" s="28"/>
      <c r="C85" s="28">
        <v>0</v>
      </c>
      <c r="D85" s="28">
        <v>0</v>
      </c>
      <c r="E85" s="28">
        <v>939057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3333669</v>
      </c>
      <c r="L85" s="28">
        <v>1953635</v>
      </c>
      <c r="M85" s="28">
        <v>0</v>
      </c>
      <c r="N85" s="28">
        <v>0</v>
      </c>
      <c r="O85" s="28">
        <v>0</v>
      </c>
      <c r="P85" s="28">
        <v>756443</v>
      </c>
      <c r="Q85" s="28">
        <v>25027</v>
      </c>
      <c r="R85" s="28">
        <v>533944</v>
      </c>
      <c r="S85" s="28">
        <v>360973</v>
      </c>
      <c r="T85" s="28">
        <v>0</v>
      </c>
      <c r="U85" s="28">
        <v>1988731</v>
      </c>
      <c r="V85" s="28">
        <v>0</v>
      </c>
      <c r="W85" s="28">
        <v>126883</v>
      </c>
      <c r="X85" s="28">
        <v>646747</v>
      </c>
      <c r="Y85" s="28">
        <v>1727120</v>
      </c>
      <c r="Z85" s="28">
        <v>0</v>
      </c>
      <c r="AA85" s="28">
        <v>0</v>
      </c>
      <c r="AB85" s="28">
        <v>1891778</v>
      </c>
      <c r="AC85" s="28">
        <v>151948</v>
      </c>
      <c r="AD85" s="28">
        <v>0</v>
      </c>
      <c r="AE85" s="28">
        <v>1728839</v>
      </c>
      <c r="AF85" s="28">
        <v>0</v>
      </c>
      <c r="AG85" s="28">
        <v>4586659</v>
      </c>
      <c r="AH85" s="28">
        <v>0</v>
      </c>
      <c r="AI85" s="28">
        <v>0</v>
      </c>
      <c r="AJ85" s="28">
        <v>1680908</v>
      </c>
      <c r="AK85" s="28">
        <v>0</v>
      </c>
      <c r="AL85" s="28">
        <v>0</v>
      </c>
      <c r="AM85" s="28">
        <v>0</v>
      </c>
      <c r="AN85" s="28">
        <v>0</v>
      </c>
      <c r="AO85" s="28">
        <v>183842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140534</v>
      </c>
      <c r="AW85" s="28">
        <v>0</v>
      </c>
      <c r="AX85" s="28">
        <v>0</v>
      </c>
      <c r="AY85" s="28">
        <v>1210696</v>
      </c>
      <c r="AZ85" s="28">
        <v>241273</v>
      </c>
      <c r="BA85" s="28">
        <v>480626</v>
      </c>
      <c r="BB85" s="28">
        <v>76767</v>
      </c>
      <c r="BC85" s="28">
        <v>0</v>
      </c>
      <c r="BD85" s="28">
        <v>0</v>
      </c>
      <c r="BE85" s="28">
        <v>967586</v>
      </c>
      <c r="BF85" s="28">
        <v>565590</v>
      </c>
      <c r="BG85" s="28">
        <v>76965</v>
      </c>
      <c r="BH85" s="28">
        <v>921449</v>
      </c>
      <c r="BI85" s="28">
        <v>0</v>
      </c>
      <c r="BJ85" s="28">
        <v>1420988</v>
      </c>
      <c r="BK85" s="28">
        <v>0</v>
      </c>
      <c r="BL85" s="28">
        <v>575715</v>
      </c>
      <c r="BM85" s="28">
        <v>0</v>
      </c>
      <c r="BN85" s="28">
        <v>1113281</v>
      </c>
      <c r="BO85" s="28">
        <v>0</v>
      </c>
      <c r="BP85" s="28">
        <v>0</v>
      </c>
      <c r="BQ85" s="28">
        <v>0</v>
      </c>
      <c r="BR85" s="28">
        <v>459173</v>
      </c>
      <c r="BS85" s="28">
        <v>0</v>
      </c>
      <c r="BT85" s="28">
        <v>0</v>
      </c>
      <c r="BU85" s="28">
        <v>0</v>
      </c>
      <c r="BV85" s="28">
        <v>901891</v>
      </c>
      <c r="BW85" s="28">
        <v>0</v>
      </c>
      <c r="BX85" s="28">
        <v>0</v>
      </c>
      <c r="BY85" s="28">
        <v>704401</v>
      </c>
      <c r="BZ85" s="28">
        <v>0</v>
      </c>
      <c r="CA85" s="28">
        <v>0</v>
      </c>
      <c r="CB85" s="28">
        <v>0</v>
      </c>
      <c r="CC85" s="28">
        <v>0</v>
      </c>
      <c r="CD85" s="28">
        <v>-859494</v>
      </c>
      <c r="CE85" s="28">
        <v>31613644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1309928</v>
      </c>
    </row>
    <row r="87" spans="1:84" x14ac:dyDescent="0.35">
      <c r="A87" s="35" t="s">
        <v>287</v>
      </c>
      <c r="B87" s="16"/>
      <c r="C87" s="20">
        <v>0</v>
      </c>
      <c r="D87" s="20">
        <v>0</v>
      </c>
      <c r="E87" s="20">
        <v>1808773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4613438</v>
      </c>
      <c r="L87" s="20">
        <v>2226124</v>
      </c>
      <c r="M87" s="20">
        <v>0</v>
      </c>
      <c r="N87" s="20">
        <v>0</v>
      </c>
      <c r="O87" s="20">
        <v>0</v>
      </c>
      <c r="P87" s="20">
        <v>4577</v>
      </c>
      <c r="Q87" s="20">
        <v>0</v>
      </c>
      <c r="R87" s="20">
        <v>0</v>
      </c>
      <c r="S87" s="20">
        <v>436587</v>
      </c>
      <c r="T87" s="20">
        <v>0</v>
      </c>
      <c r="U87" s="20">
        <v>619140</v>
      </c>
      <c r="V87" s="20">
        <v>11816</v>
      </c>
      <c r="W87" s="20">
        <v>10708</v>
      </c>
      <c r="X87" s="20">
        <v>54583</v>
      </c>
      <c r="Y87" s="20">
        <v>145766</v>
      </c>
      <c r="Z87" s="20">
        <v>0</v>
      </c>
      <c r="AA87" s="20">
        <v>0</v>
      </c>
      <c r="AB87" s="20">
        <v>750839</v>
      </c>
      <c r="AC87" s="20">
        <v>174372</v>
      </c>
      <c r="AD87" s="20">
        <v>0</v>
      </c>
      <c r="AE87" s="20">
        <v>931466</v>
      </c>
      <c r="AF87" s="20">
        <v>0</v>
      </c>
      <c r="AG87" s="20">
        <v>136145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66726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11991060</v>
      </c>
    </row>
    <row r="88" spans="1:84" x14ac:dyDescent="0.35">
      <c r="A88" s="35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1929837</v>
      </c>
      <c r="Q88" s="20">
        <v>0</v>
      </c>
      <c r="R88" s="20">
        <v>217853</v>
      </c>
      <c r="S88" s="20">
        <v>574781</v>
      </c>
      <c r="T88" s="20">
        <v>0</v>
      </c>
      <c r="U88" s="20">
        <v>4828423</v>
      </c>
      <c r="V88" s="20">
        <v>317326</v>
      </c>
      <c r="W88" s="20">
        <v>430640</v>
      </c>
      <c r="X88" s="20">
        <v>2195147</v>
      </c>
      <c r="Y88" s="20">
        <v>5862113</v>
      </c>
      <c r="Z88" s="20">
        <v>0</v>
      </c>
      <c r="AA88" s="20">
        <v>0</v>
      </c>
      <c r="AB88" s="20">
        <v>3609527</v>
      </c>
      <c r="AC88" s="20">
        <v>136240</v>
      </c>
      <c r="AD88" s="20">
        <v>0</v>
      </c>
      <c r="AE88" s="20">
        <v>2894841</v>
      </c>
      <c r="AF88" s="20">
        <v>0</v>
      </c>
      <c r="AG88" s="20">
        <v>12439156</v>
      </c>
      <c r="AH88" s="20">
        <v>0</v>
      </c>
      <c r="AI88" s="20">
        <v>0</v>
      </c>
      <c r="AJ88" s="20">
        <v>2358395</v>
      </c>
      <c r="AK88" s="20">
        <v>0</v>
      </c>
      <c r="AL88" s="20">
        <v>0</v>
      </c>
      <c r="AM88" s="20">
        <v>0</v>
      </c>
      <c r="AN88" s="20">
        <v>0</v>
      </c>
      <c r="AO88" s="20">
        <v>314810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456645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38565734</v>
      </c>
    </row>
    <row r="89" spans="1:84" x14ac:dyDescent="0.35">
      <c r="A89" s="22" t="s">
        <v>289</v>
      </c>
      <c r="B89" s="16"/>
      <c r="C89" s="28">
        <v>0</v>
      </c>
      <c r="D89" s="28">
        <v>0</v>
      </c>
      <c r="E89" s="28">
        <v>1808773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4613438</v>
      </c>
      <c r="L89" s="28">
        <v>2226124</v>
      </c>
      <c r="M89" s="28">
        <v>0</v>
      </c>
      <c r="N89" s="28">
        <v>0</v>
      </c>
      <c r="O89" s="28">
        <v>0</v>
      </c>
      <c r="P89" s="28">
        <v>1934414</v>
      </c>
      <c r="Q89" s="28">
        <v>0</v>
      </c>
      <c r="R89" s="28">
        <v>217853</v>
      </c>
      <c r="S89" s="28">
        <v>1011368</v>
      </c>
      <c r="T89" s="28">
        <v>0</v>
      </c>
      <c r="U89" s="28">
        <v>5447563</v>
      </c>
      <c r="V89" s="28">
        <v>329142</v>
      </c>
      <c r="W89" s="28">
        <v>441348</v>
      </c>
      <c r="X89" s="28">
        <v>2249730</v>
      </c>
      <c r="Y89" s="28">
        <v>6007879</v>
      </c>
      <c r="Z89" s="28">
        <v>0</v>
      </c>
      <c r="AA89" s="28">
        <v>0</v>
      </c>
      <c r="AB89" s="28">
        <v>4360366</v>
      </c>
      <c r="AC89" s="28">
        <v>310612</v>
      </c>
      <c r="AD89" s="28">
        <v>0</v>
      </c>
      <c r="AE89" s="28">
        <v>3826307</v>
      </c>
      <c r="AF89" s="28">
        <v>0</v>
      </c>
      <c r="AG89" s="28">
        <v>12575301</v>
      </c>
      <c r="AH89" s="28">
        <v>0</v>
      </c>
      <c r="AI89" s="28">
        <v>0</v>
      </c>
      <c r="AJ89" s="28">
        <v>2358395</v>
      </c>
      <c r="AK89" s="28">
        <v>0</v>
      </c>
      <c r="AL89" s="28">
        <v>0</v>
      </c>
      <c r="AM89" s="28">
        <v>0</v>
      </c>
      <c r="AN89" s="28">
        <v>0</v>
      </c>
      <c r="AO89" s="28">
        <v>381536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456645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50556794</v>
      </c>
    </row>
    <row r="90" spans="1:84" x14ac:dyDescent="0.35">
      <c r="A90" s="35" t="s">
        <v>290</v>
      </c>
      <c r="B90" s="28"/>
      <c r="C90" s="20">
        <v>0</v>
      </c>
      <c r="D90" s="20">
        <v>0</v>
      </c>
      <c r="E90" s="20">
        <v>2849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16971</v>
      </c>
      <c r="L90" s="20">
        <v>5927</v>
      </c>
      <c r="M90" s="20">
        <v>0</v>
      </c>
      <c r="N90" s="20">
        <v>0</v>
      </c>
      <c r="O90" s="20">
        <v>0</v>
      </c>
      <c r="P90" s="20">
        <v>2717</v>
      </c>
      <c r="Q90" s="20">
        <v>716</v>
      </c>
      <c r="R90" s="20">
        <v>623</v>
      </c>
      <c r="S90" s="20">
        <v>784</v>
      </c>
      <c r="T90" s="20">
        <v>0</v>
      </c>
      <c r="U90" s="20">
        <v>2145</v>
      </c>
      <c r="V90" s="20">
        <v>0</v>
      </c>
      <c r="W90" s="20">
        <v>184</v>
      </c>
      <c r="X90" s="20">
        <v>936</v>
      </c>
      <c r="Y90" s="20">
        <v>2499</v>
      </c>
      <c r="Z90" s="20">
        <v>0</v>
      </c>
      <c r="AA90" s="20">
        <v>0</v>
      </c>
      <c r="AB90" s="20">
        <v>942</v>
      </c>
      <c r="AC90" s="20">
        <v>173</v>
      </c>
      <c r="AD90" s="20">
        <v>0</v>
      </c>
      <c r="AE90" s="20">
        <v>7774</v>
      </c>
      <c r="AF90" s="20">
        <v>0</v>
      </c>
      <c r="AG90" s="20">
        <v>7108</v>
      </c>
      <c r="AH90" s="20">
        <v>0</v>
      </c>
      <c r="AI90" s="20">
        <v>0</v>
      </c>
      <c r="AJ90" s="20">
        <v>6363</v>
      </c>
      <c r="AK90" s="20">
        <v>0</v>
      </c>
      <c r="AL90" s="20">
        <v>0</v>
      </c>
      <c r="AM90" s="20">
        <v>0</v>
      </c>
      <c r="AN90" s="20">
        <v>0</v>
      </c>
      <c r="AO90" s="20">
        <v>558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894</v>
      </c>
      <c r="AW90" s="20">
        <v>0</v>
      </c>
      <c r="AX90" s="20">
        <v>0</v>
      </c>
      <c r="AY90" s="20">
        <v>3747</v>
      </c>
      <c r="AZ90" s="20">
        <v>0</v>
      </c>
      <c r="BA90" s="20">
        <v>2153</v>
      </c>
      <c r="BB90" s="20">
        <v>0</v>
      </c>
      <c r="BC90" s="20">
        <v>0</v>
      </c>
      <c r="BD90" s="20">
        <v>0</v>
      </c>
      <c r="BE90" s="20">
        <v>9406</v>
      </c>
      <c r="BF90" s="20">
        <v>1499</v>
      </c>
      <c r="BG90" s="20">
        <v>740</v>
      </c>
      <c r="BH90" s="20">
        <v>1455</v>
      </c>
      <c r="BI90" s="20">
        <v>0</v>
      </c>
      <c r="BJ90" s="20">
        <v>2436</v>
      </c>
      <c r="BK90" s="20">
        <v>0</v>
      </c>
      <c r="BL90" s="20">
        <v>2277</v>
      </c>
      <c r="BM90" s="20">
        <v>0</v>
      </c>
      <c r="BN90" s="20">
        <v>3200</v>
      </c>
      <c r="BO90" s="20">
        <v>0</v>
      </c>
      <c r="BP90" s="20">
        <v>0</v>
      </c>
      <c r="BQ90" s="20">
        <v>0</v>
      </c>
      <c r="BR90" s="20">
        <v>2647</v>
      </c>
      <c r="BS90" s="20">
        <v>0</v>
      </c>
      <c r="BT90" s="20">
        <v>0</v>
      </c>
      <c r="BU90" s="20">
        <v>0</v>
      </c>
      <c r="BV90" s="20">
        <v>1297</v>
      </c>
      <c r="BW90" s="20">
        <v>0</v>
      </c>
      <c r="BX90" s="20">
        <v>0</v>
      </c>
      <c r="BY90" s="20">
        <v>1258</v>
      </c>
      <c r="BZ90" s="20">
        <v>0</v>
      </c>
      <c r="CA90" s="20">
        <v>0</v>
      </c>
      <c r="CB90" s="20">
        <v>0</v>
      </c>
      <c r="CC90" s="20">
        <v>0</v>
      </c>
      <c r="CD90" s="236" t="s">
        <v>248</v>
      </c>
      <c r="CE90" s="28">
        <v>92278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3712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4485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692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2" t="s">
        <v>248</v>
      </c>
      <c r="AY91" s="252" t="s">
        <v>248</v>
      </c>
      <c r="AZ91" s="20">
        <v>1770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10659</v>
      </c>
      <c r="CF91" s="28">
        <v>37863</v>
      </c>
    </row>
    <row r="92" spans="1:84" x14ac:dyDescent="0.35">
      <c r="A92" s="22" t="s">
        <v>292</v>
      </c>
      <c r="B92" s="16"/>
      <c r="C92" s="20">
        <v>0</v>
      </c>
      <c r="D92" s="20">
        <v>0</v>
      </c>
      <c r="E92" s="20">
        <v>790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1643</v>
      </c>
      <c r="M92" s="20">
        <v>0</v>
      </c>
      <c r="N92" s="20">
        <v>0</v>
      </c>
      <c r="O92" s="20">
        <v>0</v>
      </c>
      <c r="P92" s="20">
        <v>296</v>
      </c>
      <c r="Q92" s="20">
        <v>56</v>
      </c>
      <c r="R92" s="20">
        <v>0</v>
      </c>
      <c r="S92" s="20">
        <v>69</v>
      </c>
      <c r="T92" s="20">
        <v>0</v>
      </c>
      <c r="U92" s="20">
        <v>145</v>
      </c>
      <c r="V92" s="20">
        <v>0</v>
      </c>
      <c r="W92" s="20">
        <v>14</v>
      </c>
      <c r="X92" s="20">
        <v>70</v>
      </c>
      <c r="Y92" s="20">
        <v>191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218</v>
      </c>
      <c r="AF92" s="20">
        <v>0</v>
      </c>
      <c r="AG92" s="20">
        <v>1252</v>
      </c>
      <c r="AH92" s="20">
        <v>0</v>
      </c>
      <c r="AI92" s="20">
        <v>0</v>
      </c>
      <c r="AJ92" s="20">
        <v>183</v>
      </c>
      <c r="AK92" s="20">
        <v>0</v>
      </c>
      <c r="AL92" s="20">
        <v>0</v>
      </c>
      <c r="AM92" s="20">
        <v>0</v>
      </c>
      <c r="AN92" s="20">
        <v>0</v>
      </c>
      <c r="AO92" s="20">
        <v>155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2" t="s">
        <v>248</v>
      </c>
      <c r="AY92" s="252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70</v>
      </c>
      <c r="BI92" s="20">
        <v>0</v>
      </c>
      <c r="BJ92" s="25" t="s">
        <v>248</v>
      </c>
      <c r="BK92" s="20">
        <v>0</v>
      </c>
      <c r="BL92" s="20">
        <v>268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45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5465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15940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144111</v>
      </c>
      <c r="L93" s="20">
        <v>33162</v>
      </c>
      <c r="M93" s="20">
        <v>0</v>
      </c>
      <c r="N93" s="20">
        <v>0</v>
      </c>
      <c r="O93" s="20">
        <v>0</v>
      </c>
      <c r="P93" s="20">
        <v>4651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590</v>
      </c>
      <c r="X93" s="20">
        <v>3008</v>
      </c>
      <c r="Y93" s="20">
        <v>8033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4018</v>
      </c>
      <c r="AF93" s="20">
        <v>0</v>
      </c>
      <c r="AG93" s="20">
        <v>17696</v>
      </c>
      <c r="AH93" s="20">
        <v>0</v>
      </c>
      <c r="AI93" s="20">
        <v>0</v>
      </c>
      <c r="AJ93" s="20">
        <v>624</v>
      </c>
      <c r="AK93" s="20">
        <v>0</v>
      </c>
      <c r="AL93" s="20">
        <v>0</v>
      </c>
      <c r="AM93" s="20">
        <v>0</v>
      </c>
      <c r="AN93" s="20">
        <v>0</v>
      </c>
      <c r="AO93" s="20">
        <v>3121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2" t="s">
        <v>248</v>
      </c>
      <c r="AY93" s="252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234954</v>
      </c>
      <c r="CF93" s="28">
        <v>0</v>
      </c>
    </row>
    <row r="94" spans="1:84" x14ac:dyDescent="0.35">
      <c r="A94" s="22" t="s">
        <v>294</v>
      </c>
      <c r="B94" s="16"/>
      <c r="C94" s="246">
        <v>0</v>
      </c>
      <c r="D94" s="246">
        <v>0</v>
      </c>
      <c r="E94" s="246">
        <v>5.31</v>
      </c>
      <c r="F94" s="246">
        <v>0</v>
      </c>
      <c r="G94" s="246">
        <v>0</v>
      </c>
      <c r="H94" s="246">
        <v>0</v>
      </c>
      <c r="I94" s="246">
        <v>0</v>
      </c>
      <c r="J94" s="246">
        <v>0</v>
      </c>
      <c r="K94" s="246">
        <v>15.49</v>
      </c>
      <c r="L94" s="246">
        <v>11.04</v>
      </c>
      <c r="M94" s="246">
        <v>0</v>
      </c>
      <c r="N94" s="246">
        <v>0</v>
      </c>
      <c r="O94" s="246">
        <v>0</v>
      </c>
      <c r="P94" s="247">
        <v>1.49</v>
      </c>
      <c r="Q94" s="247">
        <v>0.11</v>
      </c>
      <c r="R94" s="247">
        <v>0</v>
      </c>
      <c r="S94" s="248">
        <v>0</v>
      </c>
      <c r="T94" s="248">
        <v>0</v>
      </c>
      <c r="U94" s="249">
        <v>0.5</v>
      </c>
      <c r="V94" s="247">
        <v>0</v>
      </c>
      <c r="W94" s="247">
        <v>0</v>
      </c>
      <c r="X94" s="247">
        <v>0</v>
      </c>
      <c r="Y94" s="247">
        <v>0</v>
      </c>
      <c r="Z94" s="247">
        <v>0</v>
      </c>
      <c r="AA94" s="247">
        <v>0</v>
      </c>
      <c r="AB94" s="248">
        <v>0</v>
      </c>
      <c r="AC94" s="247">
        <v>0</v>
      </c>
      <c r="AD94" s="247">
        <v>0</v>
      </c>
      <c r="AE94" s="247">
        <v>0</v>
      </c>
      <c r="AF94" s="247">
        <v>0</v>
      </c>
      <c r="AG94" s="247">
        <v>6.78</v>
      </c>
      <c r="AH94" s="247">
        <v>0</v>
      </c>
      <c r="AI94" s="247">
        <v>0</v>
      </c>
      <c r="AJ94" s="247">
        <v>4.6399999999999997</v>
      </c>
      <c r="AK94" s="247">
        <v>0</v>
      </c>
      <c r="AL94" s="247">
        <v>0</v>
      </c>
      <c r="AM94" s="247">
        <v>0</v>
      </c>
      <c r="AN94" s="247">
        <v>0</v>
      </c>
      <c r="AO94" s="247">
        <v>1.04</v>
      </c>
      <c r="AP94" s="247">
        <v>0</v>
      </c>
      <c r="AQ94" s="247">
        <v>0</v>
      </c>
      <c r="AR94" s="247">
        <v>0</v>
      </c>
      <c r="AS94" s="247">
        <v>0</v>
      </c>
      <c r="AT94" s="247">
        <v>0</v>
      </c>
      <c r="AU94" s="247">
        <v>0</v>
      </c>
      <c r="AV94" s="248">
        <v>0</v>
      </c>
      <c r="AW94" s="252" t="s">
        <v>248</v>
      </c>
      <c r="AX94" s="252" t="s">
        <v>248</v>
      </c>
      <c r="AY94" s="252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3"/>
      <c r="BV94" s="253"/>
      <c r="BW94" s="253"/>
      <c r="BX94" s="253"/>
      <c r="BY94" s="253"/>
      <c r="BZ94" s="253"/>
      <c r="CA94" s="253"/>
      <c r="CB94" s="253"/>
      <c r="CC94" s="25" t="s">
        <v>248</v>
      </c>
      <c r="CD94" s="25" t="s">
        <v>248</v>
      </c>
      <c r="CE94" s="238">
        <v>46.4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4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5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61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6">
        <v>98855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7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7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60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60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0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215">
        <v>218</v>
      </c>
      <c r="D127" s="46">
        <v>945</v>
      </c>
      <c r="E127" s="16"/>
    </row>
    <row r="128" spans="1:5" x14ac:dyDescent="0.35">
      <c r="A128" s="16" t="s">
        <v>339</v>
      </c>
      <c r="B128" s="42" t="s">
        <v>299</v>
      </c>
      <c r="C128" s="215">
        <v>102</v>
      </c>
      <c r="D128" s="46">
        <v>15249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0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207">
        <v>18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0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215">
        <v>42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60</v>
      </c>
    </row>
    <row r="144" spans="1:5" x14ac:dyDescent="0.35">
      <c r="A144" s="16" t="s">
        <v>353</v>
      </c>
      <c r="B144" s="42" t="s">
        <v>299</v>
      </c>
      <c r="C144" s="215">
        <v>67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215">
        <v>502253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134</v>
      </c>
      <c r="C154" s="46">
        <v>31</v>
      </c>
      <c r="D154" s="46">
        <v>53</v>
      </c>
      <c r="E154" s="28">
        <v>218</v>
      </c>
    </row>
    <row r="155" spans="1:6" x14ac:dyDescent="0.35">
      <c r="A155" s="16" t="s">
        <v>242</v>
      </c>
      <c r="B155" s="46">
        <v>405</v>
      </c>
      <c r="C155" s="46">
        <v>176</v>
      </c>
      <c r="D155" s="46">
        <v>364</v>
      </c>
      <c r="E155" s="28">
        <v>945</v>
      </c>
    </row>
    <row r="156" spans="1:6" x14ac:dyDescent="0.35">
      <c r="A156" s="16" t="s">
        <v>360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2207785</v>
      </c>
      <c r="C157" s="46">
        <v>959432</v>
      </c>
      <c r="D157" s="46">
        <v>1984281</v>
      </c>
      <c r="E157" s="28">
        <v>5151498</v>
      </c>
      <c r="F157" s="14"/>
    </row>
    <row r="158" spans="1:6" x14ac:dyDescent="0.35">
      <c r="A158" s="16" t="s">
        <v>288</v>
      </c>
      <c r="B158" s="46">
        <v>16528172</v>
      </c>
      <c r="C158" s="46">
        <v>7182613</v>
      </c>
      <c r="D158" s="46">
        <v>14854949</v>
      </c>
      <c r="E158" s="28">
        <v>38565734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244">
        <v>86</v>
      </c>
      <c r="C160" s="244">
        <v>10</v>
      </c>
      <c r="D160" s="244">
        <v>6</v>
      </c>
      <c r="E160" s="28">
        <v>102</v>
      </c>
    </row>
    <row r="161" spans="1:5" x14ac:dyDescent="0.35">
      <c r="A161" s="16" t="s">
        <v>242</v>
      </c>
      <c r="B161" s="244">
        <v>1626</v>
      </c>
      <c r="C161" s="244">
        <v>10665</v>
      </c>
      <c r="D161" s="244">
        <v>2958</v>
      </c>
      <c r="E161" s="28">
        <v>15249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244">
        <v>2340887</v>
      </c>
      <c r="C163" s="244">
        <v>3285370</v>
      </c>
      <c r="D163" s="244">
        <v>1213305</v>
      </c>
      <c r="E163" s="28">
        <v>6839562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244">
        <v>5131271</v>
      </c>
      <c r="C173" s="244">
        <v>1798890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1016975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172493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211810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1877181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168160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291881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3738500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96648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425912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522560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212034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122720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334754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55058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183022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46433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284513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262347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262347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3">
        <v>358540</v>
      </c>
      <c r="C211" s="43">
        <v>0</v>
      </c>
      <c r="D211" s="46">
        <v>0</v>
      </c>
      <c r="E211" s="28">
        <v>358540</v>
      </c>
    </row>
    <row r="212" spans="1:5" x14ac:dyDescent="0.35">
      <c r="A212" s="16" t="s">
        <v>395</v>
      </c>
      <c r="B212" s="43">
        <v>719936</v>
      </c>
      <c r="C212" s="43">
        <v>0</v>
      </c>
      <c r="D212" s="46">
        <v>0</v>
      </c>
      <c r="E212" s="28">
        <v>719936</v>
      </c>
    </row>
    <row r="213" spans="1:5" x14ac:dyDescent="0.35">
      <c r="A213" s="16" t="s">
        <v>396</v>
      </c>
      <c r="B213" s="43">
        <v>14372998</v>
      </c>
      <c r="C213" s="43">
        <v>0</v>
      </c>
      <c r="D213" s="46">
        <v>0</v>
      </c>
      <c r="E213" s="28">
        <v>14372998</v>
      </c>
    </row>
    <row r="214" spans="1:5" x14ac:dyDescent="0.35">
      <c r="A214" s="16" t="s">
        <v>397</v>
      </c>
      <c r="B214" s="43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3">
        <v>7342811</v>
      </c>
      <c r="C215" s="43">
        <v>0</v>
      </c>
      <c r="D215" s="46">
        <v>0</v>
      </c>
      <c r="E215" s="28">
        <v>7342811</v>
      </c>
    </row>
    <row r="216" spans="1:5" x14ac:dyDescent="0.35">
      <c r="A216" s="16" t="s">
        <v>399</v>
      </c>
      <c r="B216" s="43">
        <v>8321944</v>
      </c>
      <c r="C216" s="43">
        <v>774231</v>
      </c>
      <c r="D216" s="46">
        <v>0</v>
      </c>
      <c r="E216" s="28">
        <v>9096175</v>
      </c>
    </row>
    <row r="217" spans="1:5" x14ac:dyDescent="0.35">
      <c r="A217" s="16" t="s">
        <v>400</v>
      </c>
      <c r="B217" s="43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3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3">
        <v>1350297</v>
      </c>
      <c r="C219" s="43">
        <v>154833</v>
      </c>
      <c r="D219" s="46">
        <v>0</v>
      </c>
      <c r="E219" s="28">
        <v>1505130</v>
      </c>
    </row>
    <row r="220" spans="1:5" x14ac:dyDescent="0.35">
      <c r="A220" s="16" t="s">
        <v>230</v>
      </c>
      <c r="B220" s="28">
        <v>32466526</v>
      </c>
      <c r="C220" s="237">
        <v>929064</v>
      </c>
      <c r="D220" s="28">
        <v>0</v>
      </c>
      <c r="E220" s="28">
        <v>33395590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5" x14ac:dyDescent="0.35">
      <c r="A225" s="16" t="s">
        <v>395</v>
      </c>
      <c r="B225" s="43">
        <v>717109</v>
      </c>
      <c r="C225" s="43">
        <v>500</v>
      </c>
      <c r="D225" s="46">
        <v>0</v>
      </c>
      <c r="E225" s="28">
        <v>717609</v>
      </c>
    </row>
    <row r="226" spans="1:5" x14ac:dyDescent="0.35">
      <c r="A226" s="16" t="s">
        <v>396</v>
      </c>
      <c r="B226" s="43">
        <v>6949346</v>
      </c>
      <c r="C226" s="43">
        <v>447990</v>
      </c>
      <c r="D226" s="46">
        <v>0</v>
      </c>
      <c r="E226" s="28">
        <v>7397336</v>
      </c>
    </row>
    <row r="227" spans="1:5" x14ac:dyDescent="0.35">
      <c r="A227" s="16" t="s">
        <v>397</v>
      </c>
      <c r="B227" s="43">
        <v>0</v>
      </c>
      <c r="C227" s="43">
        <v>0</v>
      </c>
      <c r="D227" s="46">
        <v>0</v>
      </c>
      <c r="E227" s="28">
        <v>0</v>
      </c>
    </row>
    <row r="228" spans="1:5" x14ac:dyDescent="0.35">
      <c r="A228" s="16" t="s">
        <v>398</v>
      </c>
      <c r="B228" s="43">
        <v>5283428</v>
      </c>
      <c r="C228" s="43">
        <v>215354</v>
      </c>
      <c r="D228" s="46">
        <v>0</v>
      </c>
      <c r="E228" s="28">
        <v>5498782</v>
      </c>
    </row>
    <row r="229" spans="1:5" x14ac:dyDescent="0.35">
      <c r="A229" s="16" t="s">
        <v>399</v>
      </c>
      <c r="B229" s="43">
        <v>6453982</v>
      </c>
      <c r="C229" s="43">
        <v>672293</v>
      </c>
      <c r="D229" s="46">
        <v>0</v>
      </c>
      <c r="E229" s="28">
        <v>7126275</v>
      </c>
    </row>
    <row r="230" spans="1:5" x14ac:dyDescent="0.35">
      <c r="A230" s="16" t="s">
        <v>400</v>
      </c>
      <c r="B230" s="43">
        <v>0</v>
      </c>
      <c r="C230" s="43">
        <v>0</v>
      </c>
      <c r="D230" s="46">
        <v>0</v>
      </c>
      <c r="E230" s="28">
        <v>0</v>
      </c>
    </row>
    <row r="231" spans="1:5" x14ac:dyDescent="0.35">
      <c r="A231" s="16" t="s">
        <v>401</v>
      </c>
      <c r="B231" s="43">
        <v>0</v>
      </c>
      <c r="C231" s="43">
        <v>0</v>
      </c>
      <c r="D231" s="46">
        <v>0</v>
      </c>
      <c r="E231" s="28">
        <v>0</v>
      </c>
    </row>
    <row r="232" spans="1:5" x14ac:dyDescent="0.35">
      <c r="A232" s="16" t="s">
        <v>402</v>
      </c>
      <c r="B232" s="43">
        <v>0</v>
      </c>
      <c r="C232" s="43">
        <v>0</v>
      </c>
      <c r="D232" s="46">
        <v>0</v>
      </c>
      <c r="E232" s="28">
        <v>0</v>
      </c>
    </row>
    <row r="233" spans="1:5" x14ac:dyDescent="0.35">
      <c r="A233" s="16" t="s">
        <v>230</v>
      </c>
      <c r="B233" s="28">
        <v>19403865</v>
      </c>
      <c r="C233" s="237">
        <v>1336137</v>
      </c>
      <c r="D233" s="28">
        <v>0</v>
      </c>
      <c r="E233" s="28">
        <v>20740002</v>
      </c>
    </row>
    <row r="234" spans="1:5" x14ac:dyDescent="0.35">
      <c r="A234" s="16"/>
      <c r="B234" s="16"/>
      <c r="C234" s="23"/>
      <c r="D234" s="16"/>
      <c r="E234" s="16"/>
    </row>
    <row r="235" spans="1:5" x14ac:dyDescent="0.35">
      <c r="A235" s="34" t="s">
        <v>404</v>
      </c>
      <c r="B235" s="34"/>
      <c r="C235" s="34"/>
      <c r="D235" s="34"/>
      <c r="E235" s="34"/>
    </row>
    <row r="236" spans="1:5" x14ac:dyDescent="0.35">
      <c r="A236" s="34"/>
      <c r="B236" s="352" t="s">
        <v>405</v>
      </c>
      <c r="C236" s="352"/>
      <c r="D236" s="34"/>
      <c r="E236" s="34"/>
    </row>
    <row r="237" spans="1:5" x14ac:dyDescent="0.35">
      <c r="A237" s="52" t="s">
        <v>405</v>
      </c>
      <c r="B237" s="34"/>
      <c r="C237" s="43">
        <v>1531049</v>
      </c>
      <c r="D237" s="36">
        <v>1531049</v>
      </c>
      <c r="E237" s="34"/>
    </row>
    <row r="238" spans="1:5" x14ac:dyDescent="0.35">
      <c r="A238" s="41" t="s">
        <v>406</v>
      </c>
      <c r="B238" s="41"/>
      <c r="C238" s="41"/>
      <c r="D238" s="41"/>
      <c r="E238" s="41"/>
    </row>
    <row r="239" spans="1:5" x14ac:dyDescent="0.35">
      <c r="A239" s="16" t="s">
        <v>407</v>
      </c>
      <c r="B239" s="42" t="s">
        <v>299</v>
      </c>
      <c r="C239" s="43">
        <v>9761526</v>
      </c>
      <c r="D239" s="16"/>
      <c r="E239" s="16"/>
    </row>
    <row r="240" spans="1:5" x14ac:dyDescent="0.35">
      <c r="A240" s="16" t="s">
        <v>408</v>
      </c>
      <c r="B240" s="42" t="s">
        <v>299</v>
      </c>
      <c r="C240" s="43">
        <v>5530076</v>
      </c>
      <c r="D240" s="16"/>
      <c r="E240" s="16"/>
    </row>
    <row r="241" spans="1:5" x14ac:dyDescent="0.35">
      <c r="A241" s="16" t="s">
        <v>409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410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411</v>
      </c>
      <c r="B243" s="42" t="s">
        <v>299</v>
      </c>
      <c r="C243" s="43">
        <v>0</v>
      </c>
      <c r="D243" s="16"/>
      <c r="E243" s="16"/>
    </row>
    <row r="244" spans="1:5" x14ac:dyDescent="0.35">
      <c r="A244" s="16" t="s">
        <v>412</v>
      </c>
      <c r="B244" s="42" t="s">
        <v>299</v>
      </c>
      <c r="C244" s="43">
        <v>3133412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18425014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299</v>
      </c>
      <c r="C247" s="215">
        <v>557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299</v>
      </c>
      <c r="C249" s="43">
        <v>75399.762794167662</v>
      </c>
      <c r="D249" s="16"/>
      <c r="E249" s="16"/>
    </row>
    <row r="250" spans="1:5" x14ac:dyDescent="0.35">
      <c r="A250" s="22" t="s">
        <v>417</v>
      </c>
      <c r="B250" s="42" t="s">
        <v>299</v>
      </c>
      <c r="C250" s="43">
        <v>394144.23720583232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469544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20425607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299</v>
      </c>
      <c r="C266" s="43">
        <v>6804703</v>
      </c>
      <c r="D266" s="16"/>
      <c r="E266" s="16"/>
    </row>
    <row r="267" spans="1:5" x14ac:dyDescent="0.35">
      <c r="A267" s="16" t="s">
        <v>426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299</v>
      </c>
      <c r="C268" s="43">
        <v>9716883</v>
      </c>
      <c r="D268" s="16"/>
      <c r="E268" s="16"/>
    </row>
    <row r="269" spans="1:5" x14ac:dyDescent="0.35">
      <c r="A269" s="16" t="s">
        <v>428</v>
      </c>
      <c r="B269" s="42" t="s">
        <v>299</v>
      </c>
      <c r="C269" s="43">
        <v>5252329</v>
      </c>
      <c r="D269" s="16"/>
      <c r="E269" s="16"/>
    </row>
    <row r="270" spans="1:5" x14ac:dyDescent="0.35">
      <c r="A270" s="16" t="s">
        <v>429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299</v>
      </c>
      <c r="C271" s="43">
        <v>595259</v>
      </c>
      <c r="D271" s="16"/>
      <c r="E271" s="16"/>
    </row>
    <row r="272" spans="1:5" x14ac:dyDescent="0.35">
      <c r="A272" s="16" t="s">
        <v>431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299</v>
      </c>
      <c r="C273" s="43">
        <v>563730</v>
      </c>
      <c r="D273" s="16"/>
      <c r="E273" s="16"/>
    </row>
    <row r="274" spans="1:5" x14ac:dyDescent="0.35">
      <c r="A274" s="16" t="s">
        <v>433</v>
      </c>
      <c r="B274" s="42" t="s">
        <v>299</v>
      </c>
      <c r="C274" s="43">
        <v>336076</v>
      </c>
      <c r="D274" s="16"/>
      <c r="E274" s="16"/>
    </row>
    <row r="275" spans="1:5" x14ac:dyDescent="0.35">
      <c r="A275" s="16" t="s">
        <v>434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12764322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299</v>
      </c>
      <c r="C278" s="43">
        <v>1089430</v>
      </c>
      <c r="D278" s="16"/>
      <c r="E278" s="16"/>
    </row>
    <row r="279" spans="1:5" x14ac:dyDescent="0.35">
      <c r="A279" s="16" t="s">
        <v>426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1089430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358540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719936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14372998</v>
      </c>
      <c r="D285" s="16"/>
      <c r="E285" s="16"/>
    </row>
    <row r="286" spans="1:5" x14ac:dyDescent="0.35">
      <c r="A286" s="16" t="s">
        <v>440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299</v>
      </c>
      <c r="C287" s="43">
        <v>7342811</v>
      </c>
      <c r="D287" s="16"/>
      <c r="E287" s="16"/>
    </row>
    <row r="288" spans="1:5" x14ac:dyDescent="0.35">
      <c r="A288" s="16" t="s">
        <v>442</v>
      </c>
      <c r="B288" s="42" t="s">
        <v>299</v>
      </c>
      <c r="C288" s="43">
        <v>9096175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1505130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33395590</v>
      </c>
      <c r="E291" s="16"/>
    </row>
    <row r="292" spans="1:5" x14ac:dyDescent="0.35">
      <c r="A292" s="16" t="s">
        <v>444</v>
      </c>
      <c r="B292" s="42" t="s">
        <v>299</v>
      </c>
      <c r="C292" s="43">
        <v>20740002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12655588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299</v>
      </c>
      <c r="C298" s="43">
        <v>5360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5360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299</v>
      </c>
      <c r="C304" s="43">
        <v>0</v>
      </c>
      <c r="D304" s="16"/>
      <c r="E304" s="16"/>
    </row>
    <row r="305" spans="1:5" x14ac:dyDescent="0.35">
      <c r="A305" s="16" t="s">
        <v>455</v>
      </c>
      <c r="B305" s="42" t="s">
        <v>299</v>
      </c>
      <c r="C305" s="43">
        <v>0</v>
      </c>
      <c r="D305" s="16"/>
      <c r="E305" s="16"/>
    </row>
    <row r="306" spans="1:5" x14ac:dyDescent="0.35">
      <c r="A306" s="16" t="s">
        <v>456</v>
      </c>
      <c r="B306" s="16"/>
      <c r="C306" s="23"/>
      <c r="D306" s="28">
        <v>0</v>
      </c>
      <c r="E306" s="16"/>
    </row>
    <row r="307" spans="1:5" x14ac:dyDescent="0.35">
      <c r="A307" s="16"/>
      <c r="B307" s="16"/>
      <c r="C307" s="23"/>
      <c r="D307" s="16"/>
      <c r="E307" s="16"/>
    </row>
    <row r="308" spans="1:5" x14ac:dyDescent="0.35">
      <c r="A308" s="16" t="s">
        <v>457</v>
      </c>
      <c r="B308" s="16"/>
      <c r="C308" s="23"/>
      <c r="D308" s="28">
        <v>26514700</v>
      </c>
      <c r="E308" s="16"/>
    </row>
    <row r="309" spans="1:5" x14ac:dyDescent="0.35">
      <c r="A309" s="16"/>
      <c r="B309" s="16"/>
      <c r="C309" s="23"/>
      <c r="D309" s="16"/>
      <c r="E309" s="16"/>
    </row>
    <row r="310" spans="1:5" x14ac:dyDescent="0.35">
      <c r="A310" s="16"/>
      <c r="B310" s="16"/>
      <c r="C310" s="23"/>
      <c r="D310" s="16"/>
      <c r="E310" s="16"/>
    </row>
    <row r="311" spans="1:5" x14ac:dyDescent="0.35">
      <c r="A311" s="16"/>
      <c r="B311" s="16"/>
      <c r="C311" s="23"/>
      <c r="D311" s="16"/>
      <c r="E311" s="16"/>
    </row>
    <row r="312" spans="1:5" x14ac:dyDescent="0.35">
      <c r="A312" s="34" t="s">
        <v>458</v>
      </c>
      <c r="B312" s="34"/>
      <c r="C312" s="34"/>
      <c r="D312" s="34"/>
      <c r="E312" s="34"/>
    </row>
    <row r="313" spans="1:5" x14ac:dyDescent="0.35">
      <c r="A313" s="41" t="s">
        <v>459</v>
      </c>
      <c r="B313" s="41"/>
      <c r="C313" s="41"/>
      <c r="D313" s="41"/>
      <c r="E313" s="41"/>
    </row>
    <row r="314" spans="1:5" x14ac:dyDescent="0.35">
      <c r="A314" s="16" t="s">
        <v>460</v>
      </c>
      <c r="B314" s="42" t="s">
        <v>299</v>
      </c>
      <c r="C314" s="43">
        <v>0</v>
      </c>
      <c r="D314" s="16"/>
      <c r="E314" s="16"/>
    </row>
    <row r="315" spans="1:5" x14ac:dyDescent="0.35">
      <c r="A315" s="16" t="s">
        <v>461</v>
      </c>
      <c r="B315" s="42" t="s">
        <v>299</v>
      </c>
      <c r="C315" s="43">
        <v>938800</v>
      </c>
      <c r="D315" s="16"/>
      <c r="E315" s="16"/>
    </row>
    <row r="316" spans="1:5" x14ac:dyDescent="0.35">
      <c r="A316" s="16" t="s">
        <v>462</v>
      </c>
      <c r="B316" s="42" t="s">
        <v>299</v>
      </c>
      <c r="C316" s="43">
        <v>1203209</v>
      </c>
      <c r="D316" s="16"/>
      <c r="E316" s="16"/>
    </row>
    <row r="317" spans="1:5" x14ac:dyDescent="0.35">
      <c r="A317" s="16" t="s">
        <v>463</v>
      </c>
      <c r="B317" s="42" t="s">
        <v>299</v>
      </c>
      <c r="C317" s="43">
        <v>18202</v>
      </c>
      <c r="D317" s="16"/>
      <c r="E317" s="16"/>
    </row>
    <row r="318" spans="1:5" x14ac:dyDescent="0.35">
      <c r="A318" s="16" t="s">
        <v>464</v>
      </c>
      <c r="B318" s="42" t="s">
        <v>299</v>
      </c>
      <c r="C318" s="43">
        <v>292336</v>
      </c>
      <c r="D318" s="16"/>
      <c r="E318" s="16"/>
    </row>
    <row r="319" spans="1:5" x14ac:dyDescent="0.35">
      <c r="A319" s="16" t="s">
        <v>465</v>
      </c>
      <c r="B319" s="42" t="s">
        <v>299</v>
      </c>
      <c r="C319" s="43">
        <v>326572</v>
      </c>
      <c r="D319" s="16"/>
      <c r="E319" s="16"/>
    </row>
    <row r="320" spans="1:5" x14ac:dyDescent="0.35">
      <c r="A320" s="16" t="s">
        <v>466</v>
      </c>
      <c r="B320" s="42" t="s">
        <v>299</v>
      </c>
      <c r="C320" s="43">
        <v>182912</v>
      </c>
      <c r="D320" s="16"/>
      <c r="E320" s="16"/>
    </row>
    <row r="321" spans="1:5" x14ac:dyDescent="0.35">
      <c r="A321" s="16" t="s">
        <v>467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299</v>
      </c>
      <c r="C322" s="43">
        <v>4946</v>
      </c>
      <c r="D322" s="16"/>
      <c r="E322" s="16"/>
    </row>
    <row r="323" spans="1:5" x14ac:dyDescent="0.35">
      <c r="A323" s="16" t="s">
        <v>469</v>
      </c>
      <c r="B323" s="42" t="s">
        <v>299</v>
      </c>
      <c r="C323" s="43">
        <v>515018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3481995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299</v>
      </c>
      <c r="C328" s="43">
        <v>883237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883237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299</v>
      </c>
      <c r="C333" s="43">
        <v>6753927</v>
      </c>
      <c r="D333" s="16"/>
      <c r="E333" s="16"/>
    </row>
    <row r="334" spans="1:5" x14ac:dyDescent="0.35">
      <c r="A334" s="22" t="s">
        <v>480</v>
      </c>
      <c r="B334" s="42" t="s">
        <v>299</v>
      </c>
      <c r="C334" s="43">
        <v>805982</v>
      </c>
      <c r="D334" s="16"/>
      <c r="E334" s="16"/>
    </row>
    <row r="335" spans="1:5" x14ac:dyDescent="0.35">
      <c r="A335" s="16" t="s">
        <v>481</v>
      </c>
      <c r="B335" s="42" t="s">
        <v>299</v>
      </c>
      <c r="C335" s="43">
        <v>0</v>
      </c>
      <c r="D335" s="16"/>
      <c r="E335" s="16"/>
    </row>
    <row r="336" spans="1:5" x14ac:dyDescent="0.35">
      <c r="A336" s="22" t="s">
        <v>482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299</v>
      </c>
      <c r="C337" s="278">
        <v>0</v>
      </c>
      <c r="D337" s="16"/>
      <c r="E337" s="16"/>
    </row>
    <row r="338" spans="1:5" x14ac:dyDescent="0.35">
      <c r="A338" s="16" t="s">
        <v>484</v>
      </c>
      <c r="B338" s="42" t="s">
        <v>299</v>
      </c>
      <c r="C338" s="43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7559909</v>
      </c>
      <c r="E339" s="16"/>
    </row>
    <row r="340" spans="1:5" x14ac:dyDescent="0.35">
      <c r="A340" s="16" t="s">
        <v>485</v>
      </c>
      <c r="B340" s="16"/>
      <c r="C340" s="23"/>
      <c r="D340" s="28">
        <v>515018</v>
      </c>
      <c r="E340" s="16"/>
    </row>
    <row r="341" spans="1:5" x14ac:dyDescent="0.35">
      <c r="A341" s="16" t="s">
        <v>486</v>
      </c>
      <c r="B341" s="16"/>
      <c r="C341" s="23"/>
      <c r="D341" s="28">
        <v>7044891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299</v>
      </c>
      <c r="C343" s="258">
        <v>14589559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489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490</v>
      </c>
      <c r="B347" s="42" t="s">
        <v>299</v>
      </c>
      <c r="C347" s="214">
        <v>0</v>
      </c>
      <c r="D347" s="16"/>
      <c r="E347" s="16"/>
    </row>
    <row r="348" spans="1:5" x14ac:dyDescent="0.35">
      <c r="A348" s="16" t="s">
        <v>491</v>
      </c>
      <c r="B348" s="42" t="s">
        <v>299</v>
      </c>
      <c r="C348" s="214">
        <v>0</v>
      </c>
      <c r="D348" s="16"/>
      <c r="E348" s="16"/>
    </row>
    <row r="349" spans="1:5" x14ac:dyDescent="0.35">
      <c r="A349" s="16" t="s">
        <v>492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25999682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26514700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299</v>
      </c>
      <c r="C358" s="43">
        <v>11991060</v>
      </c>
      <c r="D358" s="16"/>
      <c r="E358" s="16"/>
    </row>
    <row r="359" spans="1:5" x14ac:dyDescent="0.35">
      <c r="A359" s="16" t="s">
        <v>498</v>
      </c>
      <c r="B359" s="42" t="s">
        <v>299</v>
      </c>
      <c r="C359" s="43">
        <v>38565734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50556794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1531049</v>
      </c>
      <c r="D362" s="16"/>
      <c r="E362" s="41"/>
    </row>
    <row r="363" spans="1:5" x14ac:dyDescent="0.35">
      <c r="A363" s="16" t="s">
        <v>501</v>
      </c>
      <c r="B363" s="42" t="s">
        <v>299</v>
      </c>
      <c r="C363" s="43">
        <v>18425014</v>
      </c>
      <c r="D363" s="16"/>
      <c r="E363" s="16"/>
    </row>
    <row r="364" spans="1:5" x14ac:dyDescent="0.35">
      <c r="A364" s="16" t="s">
        <v>502</v>
      </c>
      <c r="B364" s="42" t="s">
        <v>299</v>
      </c>
      <c r="C364" s="43">
        <v>469544</v>
      </c>
      <c r="D364" s="16"/>
      <c r="E364" s="16"/>
    </row>
    <row r="365" spans="1:5" x14ac:dyDescent="0.35">
      <c r="A365" s="16" t="s">
        <v>503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20425607</v>
      </c>
      <c r="E366" s="16"/>
    </row>
    <row r="367" spans="1:5" x14ac:dyDescent="0.35">
      <c r="A367" s="16" t="s">
        <v>504</v>
      </c>
      <c r="B367" s="16"/>
      <c r="C367" s="23"/>
      <c r="D367" s="28">
        <v>30131187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299</v>
      </c>
      <c r="C370" s="240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299</v>
      </c>
      <c r="C371" s="240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299</v>
      </c>
      <c r="C374" s="240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299</v>
      </c>
      <c r="C378" s="240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299</v>
      </c>
      <c r="C379" s="240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299</v>
      </c>
      <c r="C380" s="215">
        <v>1625298</v>
      </c>
      <c r="D380" s="28">
        <v>0</v>
      </c>
      <c r="E380" s="216" t="s">
        <v>1056</v>
      </c>
      <c r="F380" s="56"/>
    </row>
    <row r="381" spans="1:6" x14ac:dyDescent="0.35">
      <c r="A381" s="57" t="s">
        <v>518</v>
      </c>
      <c r="B381" s="42"/>
      <c r="C381" s="42"/>
      <c r="D381" s="28">
        <v>1625298</v>
      </c>
      <c r="E381" s="28"/>
      <c r="F381" s="56"/>
    </row>
    <row r="382" spans="1:6" x14ac:dyDescent="0.35">
      <c r="A382" s="52" t="s">
        <v>519</v>
      </c>
      <c r="B382" s="42" t="s">
        <v>299</v>
      </c>
      <c r="C382" s="43">
        <v>1309928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2935226</v>
      </c>
      <c r="E383" s="16"/>
    </row>
    <row r="384" spans="1:6" x14ac:dyDescent="0.35">
      <c r="A384" s="16" t="s">
        <v>521</v>
      </c>
      <c r="B384" s="16"/>
      <c r="C384" s="23"/>
      <c r="D384" s="28">
        <v>33066413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299</v>
      </c>
      <c r="C389" s="43">
        <v>13865241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3738500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4161305</v>
      </c>
      <c r="D391" s="16"/>
      <c r="E391" s="16"/>
    </row>
    <row r="392" spans="1:5" x14ac:dyDescent="0.35">
      <c r="A392" s="16" t="s">
        <v>524</v>
      </c>
      <c r="B392" s="42" t="s">
        <v>299</v>
      </c>
      <c r="C392" s="43">
        <v>3866271</v>
      </c>
      <c r="D392" s="16"/>
      <c r="E392" s="16"/>
    </row>
    <row r="393" spans="1:5" x14ac:dyDescent="0.35">
      <c r="A393" s="16" t="s">
        <v>525</v>
      </c>
      <c r="B393" s="42" t="s">
        <v>299</v>
      </c>
      <c r="C393" s="43">
        <v>479269</v>
      </c>
      <c r="D393" s="16"/>
      <c r="E393" s="16"/>
    </row>
    <row r="394" spans="1:5" x14ac:dyDescent="0.35">
      <c r="A394" s="16" t="s">
        <v>526</v>
      </c>
      <c r="B394" s="42" t="s">
        <v>299</v>
      </c>
      <c r="C394" s="43">
        <v>3756141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1336134</v>
      </c>
      <c r="D395" s="16"/>
      <c r="E395" s="16"/>
    </row>
    <row r="396" spans="1:5" x14ac:dyDescent="0.35">
      <c r="A396" s="16" t="s">
        <v>527</v>
      </c>
      <c r="B396" s="42" t="s">
        <v>299</v>
      </c>
      <c r="C396" s="43">
        <v>522560</v>
      </c>
      <c r="D396" s="16"/>
      <c r="E396" s="16"/>
    </row>
    <row r="397" spans="1:5" x14ac:dyDescent="0.35">
      <c r="A397" s="16" t="s">
        <v>528</v>
      </c>
      <c r="B397" s="42" t="s">
        <v>299</v>
      </c>
      <c r="C397" s="215">
        <v>334754</v>
      </c>
      <c r="D397" s="16"/>
      <c r="E397" s="16"/>
    </row>
    <row r="398" spans="1:5" x14ac:dyDescent="0.35">
      <c r="A398" s="16" t="s">
        <v>529</v>
      </c>
      <c r="B398" s="42" t="s">
        <v>299</v>
      </c>
      <c r="C398" s="215">
        <v>284513</v>
      </c>
      <c r="D398" s="16"/>
      <c r="E398" s="16"/>
    </row>
    <row r="399" spans="1:5" x14ac:dyDescent="0.35">
      <c r="A399" s="16" t="s">
        <v>530</v>
      </c>
      <c r="B399" s="42" t="s">
        <v>299</v>
      </c>
      <c r="C399" s="215">
        <v>262347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299</v>
      </c>
      <c r="C403" s="240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398264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42299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66140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5">
        <v>241009</v>
      </c>
      <c r="D414" s="28">
        <v>0</v>
      </c>
      <c r="E414" s="216"/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747712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33354747</v>
      </c>
      <c r="E416" s="28"/>
    </row>
    <row r="417" spans="1:13" x14ac:dyDescent="0.35">
      <c r="A417" s="28" t="s">
        <v>535</v>
      </c>
      <c r="B417" s="16"/>
      <c r="C417" s="23"/>
      <c r="D417" s="28">
        <v>-288334</v>
      </c>
      <c r="E417" s="28"/>
    </row>
    <row r="418" spans="1:13" x14ac:dyDescent="0.35">
      <c r="A418" s="28" t="s">
        <v>536</v>
      </c>
      <c r="B418" s="16"/>
      <c r="C418" s="215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</row>
    <row r="421" spans="1:13" x14ac:dyDescent="0.35">
      <c r="A421" s="28" t="s">
        <v>539</v>
      </c>
      <c r="B421" s="16"/>
      <c r="C421" s="23"/>
      <c r="D421" s="28">
        <v>-288334</v>
      </c>
      <c r="E421" s="28"/>
      <c r="F421" s="59"/>
    </row>
    <row r="422" spans="1:13" x14ac:dyDescent="0.35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-288334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2" customFormat="1" ht="12.65" customHeight="1" x14ac:dyDescent="0.3">
      <c r="A613" s="224"/>
      <c r="C613" s="222" t="s">
        <v>543</v>
      </c>
      <c r="D613" s="229">
        <f>CE91-(BE91+CD91)</f>
        <v>10659</v>
      </c>
      <c r="E613" s="231">
        <f>SUM(C625:D648)+SUM(C669:D714)</f>
        <v>859493.99999999988</v>
      </c>
      <c r="F613" s="231">
        <f>CE65-(AX65+BD65+BE65+BG65+BJ65+BN65+BP65+BQ65+CB65+CC65+CD65)</f>
        <v>75351</v>
      </c>
      <c r="G613" s="229">
        <f>CE92-(AX92+AY92+BD92+BE92+BG92+BJ92+BN92+BP92+BQ92+CB92+CC92+CD92)</f>
        <v>5465</v>
      </c>
      <c r="H613" s="234">
        <f>CE61-(AX61+AY61+AZ61+BD61+BE61+BG61+BJ61+BN61+BO61+BP61+BQ61+BR61+CB61+CC61+CD61)</f>
        <v>11304035</v>
      </c>
      <c r="I613" s="229">
        <f>CE93-(AX93+AY93+AZ93+BD93+BE93+BF93+BG93+BJ93+BN93+BO93+BP93+BQ93+BR93+CB93+CC93+CD93)</f>
        <v>234954</v>
      </c>
      <c r="J613" s="229">
        <f>CE94-(AX94+AY94+AZ94+BA94+BD94+BE94+BF94+BG94+BJ94+BN94+BO94+BP94+BQ94+BR94+CB94+CC94+CD94)</f>
        <v>46.4</v>
      </c>
      <c r="K613" s="229">
        <f>CE90-(AW90+AX90+AY90+AZ90+BA90+BB90+BC90+BD90+BE90+BF90+BG90+BH90+BI90+BJ90+BK90+BL90+BM90+BN90+BO90+BP90+BQ90+BR90+BS90+BT90+BU90+BV90+BW90+BX90+CB90+CC90+CD90)</f>
        <v>61421</v>
      </c>
      <c r="L613" s="235">
        <f>CE95-(AW95+AX95+AY95+AZ95+BA95+BB95+BC95+BD95+BE95+BF95+BG95+BH95+BI95+BJ95+BK95+BL95+BM95+BN95+BO95+BP95+BQ95+BR95+BS95+BT95+BU95+BV95+BW95+BX95+BY95+BZ95+CA95+CB95+CC95+CD95)</f>
        <v>0</v>
      </c>
    </row>
    <row r="614" spans="1:14" s="212" customFormat="1" ht="12.65" customHeight="1" x14ac:dyDescent="0.3">
      <c r="A614" s="224"/>
      <c r="C614" s="222" t="s">
        <v>544</v>
      </c>
      <c r="D614" s="230" t="s">
        <v>545</v>
      </c>
      <c r="E614" s="232" t="s">
        <v>546</v>
      </c>
      <c r="F614" s="233" t="s">
        <v>547</v>
      </c>
      <c r="G614" s="230" t="s">
        <v>548</v>
      </c>
      <c r="H614" s="233" t="s">
        <v>549</v>
      </c>
      <c r="I614" s="230" t="s">
        <v>550</v>
      </c>
      <c r="J614" s="230" t="s">
        <v>551</v>
      </c>
      <c r="K614" s="222" t="s">
        <v>552</v>
      </c>
      <c r="L614" s="223" t="s">
        <v>553</v>
      </c>
    </row>
    <row r="615" spans="1:14" s="212" customFormat="1" ht="12.65" customHeight="1" x14ac:dyDescent="0.3">
      <c r="A615" s="224">
        <v>8430</v>
      </c>
      <c r="B615" s="223" t="s">
        <v>167</v>
      </c>
      <c r="C615" s="229" t="str">
        <f>BE86</f>
        <v>x</v>
      </c>
      <c r="D615" s="229"/>
      <c r="E615" s="231"/>
      <c r="F615" s="231"/>
      <c r="G615" s="229"/>
      <c r="H615" s="231"/>
      <c r="I615" s="229"/>
      <c r="J615" s="229"/>
      <c r="N615" s="225" t="s">
        <v>554</v>
      </c>
    </row>
    <row r="616" spans="1:14" s="212" customFormat="1" ht="12.65" customHeight="1" x14ac:dyDescent="0.3">
      <c r="A616" s="224"/>
      <c r="B616" s="223" t="s">
        <v>555</v>
      </c>
      <c r="C616" s="229">
        <f>CD70-CD85</f>
        <v>859494</v>
      </c>
      <c r="D616" s="229">
        <f>SUM(C615:C616)</f>
        <v>859494</v>
      </c>
      <c r="E616" s="231"/>
      <c r="F616" s="231"/>
      <c r="G616" s="229"/>
      <c r="H616" s="231"/>
      <c r="I616" s="229"/>
      <c r="J616" s="229"/>
      <c r="N616" s="225" t="s">
        <v>556</v>
      </c>
    </row>
    <row r="617" spans="1:14" s="212" customFormat="1" ht="12.65" customHeight="1" x14ac:dyDescent="0.3">
      <c r="A617" s="224">
        <v>8310</v>
      </c>
      <c r="B617" s="228" t="s">
        <v>557</v>
      </c>
      <c r="C617" s="229" t="str">
        <f>AX86</f>
        <v>x</v>
      </c>
      <c r="D617" s="229">
        <f>(D616/D613)*AX91</f>
        <v>0</v>
      </c>
      <c r="E617" s="231"/>
      <c r="F617" s="231"/>
      <c r="G617" s="229"/>
      <c r="H617" s="231"/>
      <c r="I617" s="229"/>
      <c r="J617" s="229"/>
      <c r="N617" s="225" t="s">
        <v>558</v>
      </c>
    </row>
    <row r="618" spans="1:14" s="212" customFormat="1" ht="12.65" customHeight="1" x14ac:dyDescent="0.3">
      <c r="A618" s="224">
        <v>8510</v>
      </c>
      <c r="B618" s="228" t="s">
        <v>172</v>
      </c>
      <c r="C618" s="229" t="str">
        <f>BJ86</f>
        <v>x</v>
      </c>
      <c r="D618" s="229">
        <f>(D616/D613)*BJ91</f>
        <v>0</v>
      </c>
      <c r="E618" s="231"/>
      <c r="F618" s="231"/>
      <c r="G618" s="229"/>
      <c r="H618" s="231"/>
      <c r="I618" s="229"/>
      <c r="J618" s="229"/>
      <c r="N618" s="225" t="s">
        <v>559</v>
      </c>
    </row>
    <row r="619" spans="1:14" s="212" customFormat="1" ht="12.65" customHeight="1" x14ac:dyDescent="0.3">
      <c r="A619" s="224">
        <v>8470</v>
      </c>
      <c r="B619" s="228" t="s">
        <v>560</v>
      </c>
      <c r="C619" s="229" t="str">
        <f>BG86</f>
        <v>x</v>
      </c>
      <c r="D619" s="229">
        <f>(D616/D613)*BG91</f>
        <v>0</v>
      </c>
      <c r="E619" s="231"/>
      <c r="F619" s="231"/>
      <c r="G619" s="229"/>
      <c r="H619" s="231"/>
      <c r="I619" s="229"/>
      <c r="J619" s="229"/>
      <c r="N619" s="225" t="s">
        <v>561</v>
      </c>
    </row>
    <row r="620" spans="1:14" s="212" customFormat="1" ht="12.65" customHeight="1" x14ac:dyDescent="0.3">
      <c r="A620" s="224">
        <v>8610</v>
      </c>
      <c r="B620" s="228" t="s">
        <v>562</v>
      </c>
      <c r="C620" s="229" t="str">
        <f>BN86</f>
        <v>x</v>
      </c>
      <c r="D620" s="229">
        <f>(D616/D613)*BN91</f>
        <v>0</v>
      </c>
      <c r="E620" s="231"/>
      <c r="F620" s="231"/>
      <c r="G620" s="229"/>
      <c r="H620" s="231"/>
      <c r="I620" s="229"/>
      <c r="J620" s="229"/>
      <c r="N620" s="225" t="s">
        <v>563</v>
      </c>
    </row>
    <row r="621" spans="1:14" s="212" customFormat="1" ht="12.65" customHeight="1" x14ac:dyDescent="0.3">
      <c r="A621" s="224">
        <v>8790</v>
      </c>
      <c r="B621" s="228" t="s">
        <v>564</v>
      </c>
      <c r="C621" s="229" t="str">
        <f>CC86</f>
        <v>x</v>
      </c>
      <c r="D621" s="229">
        <f>(D616/D613)*CC91</f>
        <v>0</v>
      </c>
      <c r="E621" s="231"/>
      <c r="F621" s="231"/>
      <c r="G621" s="229"/>
      <c r="H621" s="231"/>
      <c r="I621" s="229"/>
      <c r="J621" s="229"/>
      <c r="N621" s="225" t="s">
        <v>565</v>
      </c>
    </row>
    <row r="622" spans="1:14" s="212" customFormat="1" ht="12.65" customHeight="1" x14ac:dyDescent="0.3">
      <c r="A622" s="224">
        <v>8630</v>
      </c>
      <c r="B622" s="228" t="s">
        <v>566</v>
      </c>
      <c r="C622" s="229" t="str">
        <f>BP86</f>
        <v>x</v>
      </c>
      <c r="D622" s="229">
        <f>(D616/D613)*BP91</f>
        <v>0</v>
      </c>
      <c r="E622" s="231"/>
      <c r="F622" s="231"/>
      <c r="G622" s="229"/>
      <c r="H622" s="231"/>
      <c r="I622" s="229"/>
      <c r="J622" s="229"/>
      <c r="N622" s="225" t="s">
        <v>567</v>
      </c>
    </row>
    <row r="623" spans="1:14" s="212" customFormat="1" ht="12.65" customHeight="1" x14ac:dyDescent="0.3">
      <c r="A623" s="224">
        <v>8770</v>
      </c>
      <c r="B623" s="223" t="s">
        <v>568</v>
      </c>
      <c r="C623" s="229" t="str">
        <f>CB86</f>
        <v>x</v>
      </c>
      <c r="D623" s="229">
        <f>(D616/D613)*CB91</f>
        <v>0</v>
      </c>
      <c r="E623" s="231"/>
      <c r="F623" s="231"/>
      <c r="G623" s="229"/>
      <c r="H623" s="231"/>
      <c r="I623" s="229"/>
      <c r="J623" s="229"/>
      <c r="N623" s="225" t="s">
        <v>569</v>
      </c>
    </row>
    <row r="624" spans="1:14" s="212" customFormat="1" ht="12.65" customHeight="1" x14ac:dyDescent="0.3">
      <c r="A624" s="224">
        <v>8640</v>
      </c>
      <c r="B624" s="228" t="s">
        <v>570</v>
      </c>
      <c r="C624" s="229" t="str">
        <f>BQ86</f>
        <v>x</v>
      </c>
      <c r="D624" s="229">
        <f>(D616/D613)*BQ91</f>
        <v>0</v>
      </c>
      <c r="E624" s="231">
        <f>SUM(C617:D624)</f>
        <v>0</v>
      </c>
      <c r="F624" s="231"/>
      <c r="G624" s="229"/>
      <c r="H624" s="231"/>
      <c r="I624" s="229"/>
      <c r="J624" s="229"/>
      <c r="N624" s="225" t="s">
        <v>571</v>
      </c>
    </row>
    <row r="625" spans="1:14" s="212" customFormat="1" ht="12.65" customHeight="1" x14ac:dyDescent="0.3">
      <c r="A625" s="224">
        <v>8420</v>
      </c>
      <c r="B625" s="228" t="s">
        <v>166</v>
      </c>
      <c r="C625" s="229" t="str">
        <f>BD86</f>
        <v>x</v>
      </c>
      <c r="D625" s="229">
        <f>(D616/D613)*BD91</f>
        <v>0</v>
      </c>
      <c r="E625" s="231">
        <f>(E624/E613)*SUM(C625:D625)</f>
        <v>0</v>
      </c>
      <c r="F625" s="231">
        <f>SUM(C625:E625)</f>
        <v>0</v>
      </c>
      <c r="G625" s="229"/>
      <c r="H625" s="231"/>
      <c r="I625" s="229"/>
      <c r="J625" s="229"/>
      <c r="N625" s="225" t="s">
        <v>572</v>
      </c>
    </row>
    <row r="626" spans="1:14" s="212" customFormat="1" ht="12.65" customHeight="1" x14ac:dyDescent="0.3">
      <c r="A626" s="224">
        <v>8320</v>
      </c>
      <c r="B626" s="228" t="s">
        <v>162</v>
      </c>
      <c r="C626" s="229" t="str">
        <f>AY86</f>
        <v>x</v>
      </c>
      <c r="D626" s="229">
        <f>(D616/D613)*AY91</f>
        <v>0</v>
      </c>
      <c r="E626" s="231">
        <f>(E624/E613)*SUM(C626:D626)</f>
        <v>0</v>
      </c>
      <c r="F626" s="231">
        <f>(F625/F613)*AY65</f>
        <v>0</v>
      </c>
      <c r="G626" s="229">
        <f>SUM(C626:F626)</f>
        <v>0</v>
      </c>
      <c r="H626" s="231"/>
      <c r="I626" s="229"/>
      <c r="J626" s="229"/>
      <c r="N626" s="225" t="s">
        <v>573</v>
      </c>
    </row>
    <row r="627" spans="1:14" s="212" customFormat="1" ht="12.65" customHeight="1" x14ac:dyDescent="0.3">
      <c r="A627" s="224">
        <v>8650</v>
      </c>
      <c r="B627" s="228" t="s">
        <v>179</v>
      </c>
      <c r="C627" s="229" t="str">
        <f>BR86</f>
        <v>x</v>
      </c>
      <c r="D627" s="229">
        <f>(D616/D613)*BR91</f>
        <v>0</v>
      </c>
      <c r="E627" s="231">
        <f>(E624/E613)*SUM(C627:D627)</f>
        <v>0</v>
      </c>
      <c r="F627" s="231">
        <f>(F625/F613)*BR65</f>
        <v>0</v>
      </c>
      <c r="G627" s="229">
        <f>(G626/G613)*BR92</f>
        <v>0</v>
      </c>
      <c r="H627" s="231"/>
      <c r="I627" s="229"/>
      <c r="J627" s="229"/>
      <c r="N627" s="225" t="s">
        <v>574</v>
      </c>
    </row>
    <row r="628" spans="1:14" s="212" customFormat="1" ht="12.65" customHeight="1" x14ac:dyDescent="0.3">
      <c r="A628" s="224">
        <v>8620</v>
      </c>
      <c r="B628" s="223" t="s">
        <v>575</v>
      </c>
      <c r="C628" s="229" t="str">
        <f>BO86</f>
        <v>x</v>
      </c>
      <c r="D628" s="229">
        <f>(D616/D613)*BO91</f>
        <v>0</v>
      </c>
      <c r="E628" s="231">
        <f>(E624/E613)*SUM(C628:D628)</f>
        <v>0</v>
      </c>
      <c r="F628" s="231">
        <f>(F625/F613)*BO65</f>
        <v>0</v>
      </c>
      <c r="G628" s="229">
        <f>(G626/G613)*BO92</f>
        <v>0</v>
      </c>
      <c r="H628" s="231"/>
      <c r="I628" s="229"/>
      <c r="J628" s="229"/>
      <c r="N628" s="225" t="s">
        <v>576</v>
      </c>
    </row>
    <row r="629" spans="1:14" s="212" customFormat="1" ht="12.65" customHeight="1" x14ac:dyDescent="0.3">
      <c r="A629" s="224">
        <v>8330</v>
      </c>
      <c r="B629" s="228" t="s">
        <v>163</v>
      </c>
      <c r="C629" s="229" t="str">
        <f>AZ86</f>
        <v>x</v>
      </c>
      <c r="D629" s="229">
        <f>(D616/D613)*AZ91</f>
        <v>142724.86912468335</v>
      </c>
      <c r="E629" s="231">
        <f>(E624/E613)*SUM(C629:D629)</f>
        <v>0</v>
      </c>
      <c r="F629" s="231">
        <f>(F625/F613)*AZ65</f>
        <v>0</v>
      </c>
      <c r="G629" s="229">
        <f>(G626/G613)*AZ92</f>
        <v>0</v>
      </c>
      <c r="H629" s="231">
        <f>SUM(C627:G629)</f>
        <v>142724.86912468335</v>
      </c>
      <c r="I629" s="229"/>
      <c r="J629" s="229"/>
      <c r="N629" s="225" t="s">
        <v>577</v>
      </c>
    </row>
    <row r="630" spans="1:14" s="212" customFormat="1" ht="12.65" customHeight="1" x14ac:dyDescent="0.3">
      <c r="A630" s="224">
        <v>8460</v>
      </c>
      <c r="B630" s="228" t="s">
        <v>168</v>
      </c>
      <c r="C630" s="229" t="str">
        <f>BF86</f>
        <v>x</v>
      </c>
      <c r="D630" s="229">
        <f>(D616/D613)*BF91</f>
        <v>0</v>
      </c>
      <c r="E630" s="231">
        <f>(E624/E613)*SUM(C630:D630)</f>
        <v>0</v>
      </c>
      <c r="F630" s="231">
        <f>(F625/F613)*BF65</f>
        <v>0</v>
      </c>
      <c r="G630" s="229">
        <f>(G626/G613)*BF92</f>
        <v>0</v>
      </c>
      <c r="H630" s="231">
        <f>(H629/H613)*BF61</f>
        <v>4576.2471466839042</v>
      </c>
      <c r="I630" s="229">
        <f>SUM(C630:H630)</f>
        <v>4576.2471466839042</v>
      </c>
      <c r="J630" s="229"/>
      <c r="N630" s="225" t="s">
        <v>578</v>
      </c>
    </row>
    <row r="631" spans="1:14" s="212" customFormat="1" ht="12.65" customHeight="1" x14ac:dyDescent="0.3">
      <c r="A631" s="224">
        <v>8350</v>
      </c>
      <c r="B631" s="228" t="s">
        <v>579</v>
      </c>
      <c r="C631" s="229" t="str">
        <f>BA86</f>
        <v>x</v>
      </c>
      <c r="D631" s="229">
        <f>(D616/D613)*BA91</f>
        <v>0</v>
      </c>
      <c r="E631" s="231">
        <f>(E624/E613)*SUM(C631:D631)</f>
        <v>0</v>
      </c>
      <c r="F631" s="231">
        <f>(F625/F613)*BA65</f>
        <v>0</v>
      </c>
      <c r="G631" s="229">
        <f>(G626/G613)*BA92</f>
        <v>0</v>
      </c>
      <c r="H631" s="231">
        <f>(H629/H613)*BA61</f>
        <v>4003.0262518210852</v>
      </c>
      <c r="I631" s="229">
        <f>(I630/I613)*BA93</f>
        <v>0</v>
      </c>
      <c r="J631" s="229">
        <f>SUM(C631:I631)</f>
        <v>4003.0262518210852</v>
      </c>
      <c r="N631" s="225" t="s">
        <v>580</v>
      </c>
    </row>
    <row r="632" spans="1:14" s="212" customFormat="1" ht="12.65" customHeight="1" x14ac:dyDescent="0.3">
      <c r="A632" s="224">
        <v>8200</v>
      </c>
      <c r="B632" s="228" t="s">
        <v>581</v>
      </c>
      <c r="C632" s="229" t="str">
        <f>AW86</f>
        <v>x</v>
      </c>
      <c r="D632" s="229">
        <f>(D616/D613)*AW91</f>
        <v>0</v>
      </c>
      <c r="E632" s="231">
        <f>(E624/E613)*SUM(C632:D632)</f>
        <v>0</v>
      </c>
      <c r="F632" s="231">
        <f>(F625/F613)*AW65</f>
        <v>0</v>
      </c>
      <c r="G632" s="229">
        <f>(G626/G613)*AW92</f>
        <v>0</v>
      </c>
      <c r="H632" s="231">
        <f>(H629/H613)*AW61</f>
        <v>0</v>
      </c>
      <c r="I632" s="229">
        <f>(I630/I613)*AW93</f>
        <v>0</v>
      </c>
      <c r="J632" s="229">
        <f>(J631/J613)*AW94</f>
        <v>0</v>
      </c>
      <c r="N632" s="225" t="s">
        <v>582</v>
      </c>
    </row>
    <row r="633" spans="1:14" s="212" customFormat="1" ht="12.65" customHeight="1" x14ac:dyDescent="0.3">
      <c r="A633" s="224">
        <v>8360</v>
      </c>
      <c r="B633" s="228" t="s">
        <v>583</v>
      </c>
      <c r="C633" s="229" t="str">
        <f>BB86</f>
        <v>x</v>
      </c>
      <c r="D633" s="229">
        <f>(D616/D613)*BB91</f>
        <v>0</v>
      </c>
      <c r="E633" s="231">
        <f>(E624/E613)*SUM(C633:D633)</f>
        <v>0</v>
      </c>
      <c r="F633" s="231">
        <f>(F625/F613)*BB65</f>
        <v>0</v>
      </c>
      <c r="G633" s="229">
        <f>(G626/G613)*BB92</f>
        <v>0</v>
      </c>
      <c r="H633" s="231">
        <f>(H629/H613)*BB61</f>
        <v>758.94951520273219</v>
      </c>
      <c r="I633" s="229">
        <f>(I630/I613)*BB93</f>
        <v>0</v>
      </c>
      <c r="J633" s="229">
        <f>(J631/J613)*BB94</f>
        <v>0</v>
      </c>
      <c r="N633" s="225" t="s">
        <v>584</v>
      </c>
    </row>
    <row r="634" spans="1:14" s="212" customFormat="1" ht="12.65" customHeight="1" x14ac:dyDescent="0.3">
      <c r="A634" s="224">
        <v>8370</v>
      </c>
      <c r="B634" s="228" t="s">
        <v>585</v>
      </c>
      <c r="C634" s="229" t="str">
        <f>BC86</f>
        <v>x</v>
      </c>
      <c r="D634" s="229">
        <f>(D616/D613)*BC91</f>
        <v>0</v>
      </c>
      <c r="E634" s="231">
        <f>(E624/E613)*SUM(C634:D634)</f>
        <v>0</v>
      </c>
      <c r="F634" s="231">
        <f>(F625/F613)*BC65</f>
        <v>0</v>
      </c>
      <c r="G634" s="229">
        <f>(G626/G613)*BC92</f>
        <v>0</v>
      </c>
      <c r="H634" s="231">
        <f>(H629/H613)*BC61</f>
        <v>0</v>
      </c>
      <c r="I634" s="229">
        <f>(I630/I613)*BC93</f>
        <v>0</v>
      </c>
      <c r="J634" s="229">
        <f>(J631/J613)*BC94</f>
        <v>0</v>
      </c>
      <c r="N634" s="225" t="s">
        <v>586</v>
      </c>
    </row>
    <row r="635" spans="1:14" s="212" customFormat="1" ht="12.65" customHeight="1" x14ac:dyDescent="0.3">
      <c r="A635" s="224">
        <v>8490</v>
      </c>
      <c r="B635" s="228" t="s">
        <v>587</v>
      </c>
      <c r="C635" s="229" t="str">
        <f>BI86</f>
        <v>x</v>
      </c>
      <c r="D635" s="229">
        <f>(D616/D613)*BI91</f>
        <v>0</v>
      </c>
      <c r="E635" s="231">
        <f>(E624/E613)*SUM(C635:D635)</f>
        <v>0</v>
      </c>
      <c r="F635" s="231">
        <f>(F625/F613)*BI65</f>
        <v>0</v>
      </c>
      <c r="G635" s="229">
        <f>(G626/G613)*BI92</f>
        <v>0</v>
      </c>
      <c r="H635" s="231">
        <f>(H629/H613)*BI61</f>
        <v>0</v>
      </c>
      <c r="I635" s="229">
        <f>(I630/I613)*BI93</f>
        <v>0</v>
      </c>
      <c r="J635" s="229">
        <f>(J631/J613)*BI94</f>
        <v>0</v>
      </c>
      <c r="N635" s="225" t="s">
        <v>588</v>
      </c>
    </row>
    <row r="636" spans="1:14" s="212" customFormat="1" ht="12.65" customHeight="1" x14ac:dyDescent="0.3">
      <c r="A636" s="224">
        <v>8530</v>
      </c>
      <c r="B636" s="228" t="s">
        <v>589</v>
      </c>
      <c r="C636" s="229" t="str">
        <f>BK86</f>
        <v>x</v>
      </c>
      <c r="D636" s="229">
        <f>(D616/D613)*BK91</f>
        <v>0</v>
      </c>
      <c r="E636" s="231">
        <f>(E624/E613)*SUM(C636:D636)</f>
        <v>0</v>
      </c>
      <c r="F636" s="231">
        <f>(F625/F613)*BK65</f>
        <v>0</v>
      </c>
      <c r="G636" s="229">
        <f>(G626/G613)*BK92</f>
        <v>0</v>
      </c>
      <c r="H636" s="231">
        <f>(H629/H613)*BK61</f>
        <v>0</v>
      </c>
      <c r="I636" s="229">
        <f>(I630/I613)*BK93</f>
        <v>0</v>
      </c>
      <c r="J636" s="229">
        <f>(J631/J613)*BK94</f>
        <v>0</v>
      </c>
      <c r="N636" s="225" t="s">
        <v>590</v>
      </c>
    </row>
    <row r="637" spans="1:14" s="212" customFormat="1" ht="12.65" customHeight="1" x14ac:dyDescent="0.3">
      <c r="A637" s="224">
        <v>8480</v>
      </c>
      <c r="B637" s="228" t="s">
        <v>591</v>
      </c>
      <c r="C637" s="229" t="str">
        <f>BH86</f>
        <v>x</v>
      </c>
      <c r="D637" s="229">
        <f>(D616/D613)*BH91</f>
        <v>0</v>
      </c>
      <c r="E637" s="231">
        <f>(E624/E613)*SUM(C637:D637)</f>
        <v>0</v>
      </c>
      <c r="F637" s="231">
        <f>(F625/F613)*BH65</f>
        <v>0</v>
      </c>
      <c r="G637" s="229">
        <f>(G626/G613)*BH92</f>
        <v>0</v>
      </c>
      <c r="H637" s="231">
        <f>(H629/H613)*BH61</f>
        <v>2842.0771755712763</v>
      </c>
      <c r="I637" s="229">
        <f>(I630/I613)*BH93</f>
        <v>0</v>
      </c>
      <c r="J637" s="229">
        <f>(J631/J613)*BH94</f>
        <v>0</v>
      </c>
      <c r="N637" s="225" t="s">
        <v>592</v>
      </c>
    </row>
    <row r="638" spans="1:14" s="212" customFormat="1" ht="12.65" customHeight="1" x14ac:dyDescent="0.3">
      <c r="A638" s="224">
        <v>8560</v>
      </c>
      <c r="B638" s="228" t="s">
        <v>174</v>
      </c>
      <c r="C638" s="229" t="str">
        <f>BL86</f>
        <v>x</v>
      </c>
      <c r="D638" s="229">
        <f>(D616/D613)*BL91</f>
        <v>0</v>
      </c>
      <c r="E638" s="231">
        <f>(E624/E613)*SUM(C638:D638)</f>
        <v>0</v>
      </c>
      <c r="F638" s="231">
        <f>(F625/F613)*BL65</f>
        <v>0</v>
      </c>
      <c r="G638" s="229">
        <f>(G626/G613)*BL92</f>
        <v>0</v>
      </c>
      <c r="H638" s="231">
        <f>(H629/H613)*BL61</f>
        <v>5315.992499307642</v>
      </c>
      <c r="I638" s="229">
        <f>(I630/I613)*BL93</f>
        <v>0</v>
      </c>
      <c r="J638" s="229">
        <f>(J631/J613)*BL94</f>
        <v>0</v>
      </c>
      <c r="N638" s="225" t="s">
        <v>593</v>
      </c>
    </row>
    <row r="639" spans="1:14" s="212" customFormat="1" ht="12.65" customHeight="1" x14ac:dyDescent="0.3">
      <c r="A639" s="224">
        <v>8590</v>
      </c>
      <c r="B639" s="228" t="s">
        <v>594</v>
      </c>
      <c r="C639" s="229" t="str">
        <f>BM86</f>
        <v>x</v>
      </c>
      <c r="D639" s="229">
        <f>(D616/D613)*BM91</f>
        <v>0</v>
      </c>
      <c r="E639" s="231">
        <f>(E624/E613)*SUM(C639:D639)</f>
        <v>0</v>
      </c>
      <c r="F639" s="231">
        <f>(F625/F613)*BM65</f>
        <v>0</v>
      </c>
      <c r="G639" s="229">
        <f>(G626/G613)*BM92</f>
        <v>0</v>
      </c>
      <c r="H639" s="231">
        <f>(H629/H613)*BM61</f>
        <v>0</v>
      </c>
      <c r="I639" s="229">
        <f>(I630/I613)*BM93</f>
        <v>0</v>
      </c>
      <c r="J639" s="229">
        <f>(J631/J613)*BM94</f>
        <v>0</v>
      </c>
      <c r="N639" s="225" t="s">
        <v>595</v>
      </c>
    </row>
    <row r="640" spans="1:14" s="212" customFormat="1" ht="12.65" customHeight="1" x14ac:dyDescent="0.3">
      <c r="A640" s="224">
        <v>8660</v>
      </c>
      <c r="B640" s="228" t="s">
        <v>596</v>
      </c>
      <c r="C640" s="229" t="str">
        <f>BS86</f>
        <v>x</v>
      </c>
      <c r="D640" s="229">
        <f>(D616/D613)*BS91</f>
        <v>0</v>
      </c>
      <c r="E640" s="231">
        <f>(E624/E613)*SUM(C640:D640)</f>
        <v>0</v>
      </c>
      <c r="F640" s="231">
        <f>(F625/F613)*BS65</f>
        <v>0</v>
      </c>
      <c r="G640" s="229">
        <f>(G626/G613)*BS92</f>
        <v>0</v>
      </c>
      <c r="H640" s="231">
        <f>(H629/H613)*BS61</f>
        <v>0</v>
      </c>
      <c r="I640" s="229">
        <f>(I630/I613)*BS93</f>
        <v>0</v>
      </c>
      <c r="J640" s="229">
        <f>(J631/J613)*BS94</f>
        <v>0</v>
      </c>
      <c r="N640" s="225" t="s">
        <v>597</v>
      </c>
    </row>
    <row r="641" spans="1:14" s="212" customFormat="1" ht="12.65" customHeight="1" x14ac:dyDescent="0.3">
      <c r="A641" s="224">
        <v>8670</v>
      </c>
      <c r="B641" s="228" t="s">
        <v>598</v>
      </c>
      <c r="C641" s="229" t="str">
        <f>BT86</f>
        <v>x</v>
      </c>
      <c r="D641" s="229">
        <f>(D616/D613)*BT91</f>
        <v>0</v>
      </c>
      <c r="E641" s="231">
        <f>(E624/E613)*SUM(C641:D641)</f>
        <v>0</v>
      </c>
      <c r="F641" s="231">
        <f>(F625/F613)*BT65</f>
        <v>0</v>
      </c>
      <c r="G641" s="229">
        <f>(G626/G613)*BT92</f>
        <v>0</v>
      </c>
      <c r="H641" s="231">
        <f>(H629/H613)*BT61</f>
        <v>0</v>
      </c>
      <c r="I641" s="229">
        <f>(I630/I613)*BT93</f>
        <v>0</v>
      </c>
      <c r="J641" s="229">
        <f>(J631/J613)*BT94</f>
        <v>0</v>
      </c>
      <c r="N641" s="225" t="s">
        <v>599</v>
      </c>
    </row>
    <row r="642" spans="1:14" s="212" customFormat="1" ht="12.65" customHeight="1" x14ac:dyDescent="0.3">
      <c r="A642" s="224">
        <v>8680</v>
      </c>
      <c r="B642" s="228" t="s">
        <v>600</v>
      </c>
      <c r="C642" s="229" t="str">
        <f>BU86</f>
        <v>x</v>
      </c>
      <c r="D642" s="229">
        <f>(D616/D613)*BU91</f>
        <v>0</v>
      </c>
      <c r="E642" s="231">
        <f>(E624/E613)*SUM(C642:D642)</f>
        <v>0</v>
      </c>
      <c r="F642" s="231">
        <f>(F625/F613)*BU65</f>
        <v>0</v>
      </c>
      <c r="G642" s="229">
        <f>(G626/G613)*BU92</f>
        <v>0</v>
      </c>
      <c r="H642" s="231">
        <f>(H629/H613)*BU61</f>
        <v>0</v>
      </c>
      <c r="I642" s="229">
        <f>(I630/I613)*BU93</f>
        <v>0</v>
      </c>
      <c r="J642" s="229">
        <f>(J631/J613)*BU94</f>
        <v>0</v>
      </c>
      <c r="N642" s="225" t="s">
        <v>601</v>
      </c>
    </row>
    <row r="643" spans="1:14" s="212" customFormat="1" ht="12.65" customHeight="1" x14ac:dyDescent="0.3">
      <c r="A643" s="224">
        <v>8690</v>
      </c>
      <c r="B643" s="228" t="s">
        <v>602</v>
      </c>
      <c r="C643" s="229" t="str">
        <f>BV86</f>
        <v>x</v>
      </c>
      <c r="D643" s="229">
        <f>(D616/D613)*BV91</f>
        <v>0</v>
      </c>
      <c r="E643" s="231">
        <f>(E624/E613)*SUM(C643:D643)</f>
        <v>0</v>
      </c>
      <c r="F643" s="231">
        <f>(F625/F613)*BV65</f>
        <v>0</v>
      </c>
      <c r="G643" s="229">
        <f>(G626/G613)*BV92</f>
        <v>0</v>
      </c>
      <c r="H643" s="231">
        <f>(H629/H613)*BV61</f>
        <v>7172.5842721072713</v>
      </c>
      <c r="I643" s="229">
        <f>(I630/I613)*BV93</f>
        <v>0</v>
      </c>
      <c r="J643" s="229">
        <f>(J631/J613)*BV94</f>
        <v>0</v>
      </c>
      <c r="N643" s="225" t="s">
        <v>603</v>
      </c>
    </row>
    <row r="644" spans="1:14" s="212" customFormat="1" ht="12.65" customHeight="1" x14ac:dyDescent="0.3">
      <c r="A644" s="224">
        <v>8700</v>
      </c>
      <c r="B644" s="228" t="s">
        <v>604</v>
      </c>
      <c r="C644" s="229" t="str">
        <f>BW86</f>
        <v>x</v>
      </c>
      <c r="D644" s="229">
        <f>(D616/D613)*BW91</f>
        <v>0</v>
      </c>
      <c r="E644" s="231">
        <f>(E624/E613)*SUM(C644:D644)</f>
        <v>0</v>
      </c>
      <c r="F644" s="231">
        <f>(F625/F613)*BW65</f>
        <v>0</v>
      </c>
      <c r="G644" s="229">
        <f>(G626/G613)*BW92</f>
        <v>0</v>
      </c>
      <c r="H644" s="231">
        <f>(H629/H613)*BW61</f>
        <v>0</v>
      </c>
      <c r="I644" s="229">
        <f>(I630/I613)*BW93</f>
        <v>0</v>
      </c>
      <c r="J644" s="229">
        <f>(J631/J613)*BW94</f>
        <v>0</v>
      </c>
      <c r="N644" s="225" t="s">
        <v>605</v>
      </c>
    </row>
    <row r="645" spans="1:14" s="212" customFormat="1" ht="12.65" customHeight="1" x14ac:dyDescent="0.3">
      <c r="A645" s="224">
        <v>8710</v>
      </c>
      <c r="B645" s="228" t="s">
        <v>606</v>
      </c>
      <c r="C645" s="229" t="str">
        <f>BX86</f>
        <v>x</v>
      </c>
      <c r="D645" s="229">
        <f>(D616/D613)*BX91</f>
        <v>0</v>
      </c>
      <c r="E645" s="231">
        <f>(E624/E613)*SUM(C645:D645)</f>
        <v>0</v>
      </c>
      <c r="F645" s="231">
        <f>(F625/F613)*BX65</f>
        <v>0</v>
      </c>
      <c r="G645" s="229">
        <f>(G626/G613)*BX92</f>
        <v>0</v>
      </c>
      <c r="H645" s="231">
        <f>(H629/H613)*BX61</f>
        <v>0</v>
      </c>
      <c r="I645" s="229">
        <f>(I630/I613)*BX93</f>
        <v>0</v>
      </c>
      <c r="J645" s="229">
        <f>(J631/J613)*BX94</f>
        <v>0</v>
      </c>
      <c r="K645" s="231">
        <f>SUM(C632:J645)</f>
        <v>16089.603462188921</v>
      </c>
      <c r="L645" s="231"/>
      <c r="N645" s="225" t="s">
        <v>607</v>
      </c>
    </row>
    <row r="646" spans="1:14" s="212" customFormat="1" ht="12.65" customHeight="1" x14ac:dyDescent="0.3">
      <c r="A646" s="224">
        <v>8720</v>
      </c>
      <c r="B646" s="228" t="s">
        <v>608</v>
      </c>
      <c r="C646" s="229" t="str">
        <f>BY86</f>
        <v>x</v>
      </c>
      <c r="D646" s="229">
        <f>(D616/D613)*BY91</f>
        <v>0</v>
      </c>
      <c r="E646" s="231">
        <f>(E624/E613)*SUM(C646:D646)</f>
        <v>0</v>
      </c>
      <c r="F646" s="231">
        <f>(F625/F613)*BY65</f>
        <v>0</v>
      </c>
      <c r="G646" s="229">
        <f>(G626/G613)*BY92</f>
        <v>0</v>
      </c>
      <c r="H646" s="231">
        <f>(H629/H613)*BY61</f>
        <v>6358.3454551731675</v>
      </c>
      <c r="I646" s="229">
        <f>(I630/I613)*BY93</f>
        <v>0</v>
      </c>
      <c r="J646" s="229">
        <f>(J631/J613)*BY94</f>
        <v>0</v>
      </c>
      <c r="K646" s="231">
        <v>0</v>
      </c>
      <c r="L646" s="231"/>
      <c r="N646" s="225" t="s">
        <v>609</v>
      </c>
    </row>
    <row r="647" spans="1:14" s="212" customFormat="1" ht="12.65" customHeight="1" x14ac:dyDescent="0.3">
      <c r="A647" s="224">
        <v>8730</v>
      </c>
      <c r="B647" s="228" t="s">
        <v>610</v>
      </c>
      <c r="C647" s="229" t="str">
        <f>BZ86</f>
        <v>x</v>
      </c>
      <c r="D647" s="229">
        <f>(D616/D613)*BZ91</f>
        <v>0</v>
      </c>
      <c r="E647" s="231">
        <f>(E624/E613)*SUM(C647:D647)</f>
        <v>0</v>
      </c>
      <c r="F647" s="231">
        <f>(F625/F613)*BZ65</f>
        <v>0</v>
      </c>
      <c r="G647" s="229">
        <f>(G626/G613)*BZ92</f>
        <v>0</v>
      </c>
      <c r="H647" s="231">
        <f>(H629/H613)*BZ61</f>
        <v>0</v>
      </c>
      <c r="I647" s="229">
        <f>(I630/I613)*BZ93</f>
        <v>0</v>
      </c>
      <c r="J647" s="229">
        <f>(J631/J613)*BZ94</f>
        <v>0</v>
      </c>
      <c r="K647" s="231">
        <v>0</v>
      </c>
      <c r="L647" s="231"/>
      <c r="N647" s="225" t="s">
        <v>611</v>
      </c>
    </row>
    <row r="648" spans="1:14" s="212" customFormat="1" ht="12.65" customHeight="1" x14ac:dyDescent="0.3">
      <c r="A648" s="224">
        <v>8740</v>
      </c>
      <c r="B648" s="228" t="s">
        <v>612</v>
      </c>
      <c r="C648" s="229" t="str">
        <f>CA86</f>
        <v>x</v>
      </c>
      <c r="D648" s="229">
        <f>(D616/D613)*CA91</f>
        <v>0</v>
      </c>
      <c r="E648" s="231">
        <f>(E624/E613)*SUM(C648:D648)</f>
        <v>0</v>
      </c>
      <c r="F648" s="231">
        <f>(F625/F613)*CA65</f>
        <v>0</v>
      </c>
      <c r="G648" s="229">
        <f>(G626/G613)*CA92</f>
        <v>0</v>
      </c>
      <c r="H648" s="231">
        <f>(H629/H613)*CA61</f>
        <v>0</v>
      </c>
      <c r="I648" s="229">
        <f>(I630/I613)*CA93</f>
        <v>0</v>
      </c>
      <c r="J648" s="229">
        <f>(J631/J613)*CA94</f>
        <v>0</v>
      </c>
      <c r="K648" s="231">
        <v>0</v>
      </c>
      <c r="L648" s="231">
        <f>SUM(C646:K648)</f>
        <v>6358.3454551731675</v>
      </c>
      <c r="N648" s="225" t="s">
        <v>613</v>
      </c>
    </row>
    <row r="649" spans="1:14" s="212" customFormat="1" ht="12.65" customHeight="1" x14ac:dyDescent="0.3">
      <c r="A649" s="224"/>
      <c r="B649" s="224"/>
      <c r="C649" s="212">
        <f>SUM(C615:C648)</f>
        <v>859494</v>
      </c>
      <c r="L649" s="227"/>
    </row>
    <row r="667" spans="1:14" s="212" customFormat="1" ht="12.65" customHeight="1" x14ac:dyDescent="0.3">
      <c r="C667" s="222" t="s">
        <v>614</v>
      </c>
      <c r="M667" s="222" t="s">
        <v>615</v>
      </c>
    </row>
    <row r="668" spans="1:14" s="212" customFormat="1" ht="12.65" customHeight="1" x14ac:dyDescent="0.3">
      <c r="C668" s="222" t="s">
        <v>544</v>
      </c>
      <c r="D668" s="222" t="s">
        <v>545</v>
      </c>
      <c r="E668" s="223" t="s">
        <v>546</v>
      </c>
      <c r="F668" s="222" t="s">
        <v>547</v>
      </c>
      <c r="G668" s="222" t="s">
        <v>548</v>
      </c>
      <c r="H668" s="222" t="s">
        <v>549</v>
      </c>
      <c r="I668" s="222" t="s">
        <v>550</v>
      </c>
      <c r="J668" s="222" t="s">
        <v>551</v>
      </c>
      <c r="K668" s="222" t="s">
        <v>552</v>
      </c>
      <c r="L668" s="223" t="s">
        <v>553</v>
      </c>
      <c r="M668" s="222" t="s">
        <v>616</v>
      </c>
    </row>
    <row r="669" spans="1:14" s="212" customFormat="1" ht="12.65" customHeight="1" x14ac:dyDescent="0.3">
      <c r="A669" s="224">
        <v>6010</v>
      </c>
      <c r="B669" s="223" t="s">
        <v>343</v>
      </c>
      <c r="C669" s="229" t="str">
        <f>C86</f>
        <v>x</v>
      </c>
      <c r="D669" s="229">
        <f>(D616/D613)*C91</f>
        <v>0</v>
      </c>
      <c r="E669" s="231">
        <f>(E624/E613)*SUM(C669:D669)</f>
        <v>0</v>
      </c>
      <c r="F669" s="231">
        <f>(F625/F613)*C65</f>
        <v>0</v>
      </c>
      <c r="G669" s="229">
        <f>(G626/G613)*C92</f>
        <v>0</v>
      </c>
      <c r="H669" s="231">
        <f>(H629/H613)*C61</f>
        <v>0</v>
      </c>
      <c r="I669" s="229">
        <f>(I630/I613)*C93</f>
        <v>0</v>
      </c>
      <c r="J669" s="229">
        <f>(J631/J613)*C94</f>
        <v>0</v>
      </c>
      <c r="K669" s="229">
        <f>(K645/K613)*C90</f>
        <v>0</v>
      </c>
      <c r="L669" s="229" t="e">
        <f>(L648/L613)*C95</f>
        <v>#DIV/0!</v>
      </c>
      <c r="M669" s="212" t="e">
        <f t="shared" ref="M669:M714" si="0">ROUND(SUM(D669:L669),0)</f>
        <v>#DIV/0!</v>
      </c>
      <c r="N669" s="223" t="s">
        <v>617</v>
      </c>
    </row>
    <row r="670" spans="1:14" s="212" customFormat="1" ht="12.65" customHeight="1" x14ac:dyDescent="0.3">
      <c r="A670" s="224">
        <v>6030</v>
      </c>
      <c r="B670" s="223" t="s">
        <v>344</v>
      </c>
      <c r="C670" s="229" t="str">
        <f>D86</f>
        <v>x</v>
      </c>
      <c r="D670" s="229">
        <f>(D616/D613)*D91</f>
        <v>0</v>
      </c>
      <c r="E670" s="231">
        <f>(E624/E613)*SUM(C670:D670)</f>
        <v>0</v>
      </c>
      <c r="F670" s="231">
        <f>(F625/F613)*D65</f>
        <v>0</v>
      </c>
      <c r="G670" s="229">
        <f>(G626/G613)*D92</f>
        <v>0</v>
      </c>
      <c r="H670" s="231">
        <f>(H629/H613)*D61</f>
        <v>0</v>
      </c>
      <c r="I670" s="229">
        <f>(I630/I613)*D93</f>
        <v>0</v>
      </c>
      <c r="J670" s="229">
        <f>(J631/J613)*D94</f>
        <v>0</v>
      </c>
      <c r="K670" s="229">
        <f>(K645/K613)*D90</f>
        <v>0</v>
      </c>
      <c r="L670" s="229" t="e">
        <f>(L648/L613)*D95</f>
        <v>#DIV/0!</v>
      </c>
      <c r="M670" s="212" t="e">
        <f t="shared" si="0"/>
        <v>#DIV/0!</v>
      </c>
      <c r="N670" s="223" t="s">
        <v>618</v>
      </c>
    </row>
    <row r="671" spans="1:14" s="212" customFormat="1" ht="12.65" customHeight="1" x14ac:dyDescent="0.3">
      <c r="A671" s="224">
        <v>6070</v>
      </c>
      <c r="B671" s="223" t="s">
        <v>619</v>
      </c>
      <c r="C671" s="229" t="str">
        <f>E86</f>
        <v>x</v>
      </c>
      <c r="D671" s="229">
        <f>(D616/D613)*E91</f>
        <v>299319.04756543762</v>
      </c>
      <c r="E671" s="231">
        <f>(E624/E613)*SUM(C671:D671)</f>
        <v>0</v>
      </c>
      <c r="F671" s="231">
        <f>(F625/F613)*E65</f>
        <v>0</v>
      </c>
      <c r="G671" s="229">
        <f>(G626/G613)*E92</f>
        <v>0</v>
      </c>
      <c r="H671" s="231">
        <f>(H629/H613)*E61</f>
        <v>7179.3896919824047</v>
      </c>
      <c r="I671" s="229">
        <f>(I630/I613)*E93</f>
        <v>310.46664248381148</v>
      </c>
      <c r="J671" s="229">
        <f>(J631/J613)*E94</f>
        <v>458.10494390452499</v>
      </c>
      <c r="K671" s="229">
        <f>(K645/K613)*E90</f>
        <v>746.31282889852389</v>
      </c>
      <c r="L671" s="229" t="e">
        <f>(L648/L613)*E95</f>
        <v>#DIV/0!</v>
      </c>
      <c r="M671" s="212" t="e">
        <f t="shared" si="0"/>
        <v>#DIV/0!</v>
      </c>
      <c r="N671" s="223" t="s">
        <v>620</v>
      </c>
    </row>
    <row r="672" spans="1:14" s="212" customFormat="1" ht="12.65" customHeight="1" x14ac:dyDescent="0.3">
      <c r="A672" s="224">
        <v>6100</v>
      </c>
      <c r="B672" s="223" t="s">
        <v>621</v>
      </c>
      <c r="C672" s="229" t="str">
        <f>F86</f>
        <v>x</v>
      </c>
      <c r="D672" s="229">
        <f>(D616/D613)*F91</f>
        <v>0</v>
      </c>
      <c r="E672" s="231">
        <f>(E624/E613)*SUM(C672:D672)</f>
        <v>0</v>
      </c>
      <c r="F672" s="231">
        <f>(F625/F613)*F65</f>
        <v>0</v>
      </c>
      <c r="G672" s="229">
        <f>(G626/G613)*F92</f>
        <v>0</v>
      </c>
      <c r="H672" s="231">
        <f>(H629/H613)*F61</f>
        <v>0</v>
      </c>
      <c r="I672" s="229">
        <f>(I630/I613)*F93</f>
        <v>0</v>
      </c>
      <c r="J672" s="229">
        <f>(J631/J613)*F94</f>
        <v>0</v>
      </c>
      <c r="K672" s="229">
        <f>(K645/K613)*F90</f>
        <v>0</v>
      </c>
      <c r="L672" s="229" t="e">
        <f>(L648/L613)*F95</f>
        <v>#DIV/0!</v>
      </c>
      <c r="M672" s="212" t="e">
        <f t="shared" si="0"/>
        <v>#DIV/0!</v>
      </c>
      <c r="N672" s="223" t="s">
        <v>622</v>
      </c>
    </row>
    <row r="673" spans="1:14" s="212" customFormat="1" ht="12.65" customHeight="1" x14ac:dyDescent="0.3">
      <c r="A673" s="224">
        <v>6120</v>
      </c>
      <c r="B673" s="223" t="s">
        <v>623</v>
      </c>
      <c r="C673" s="229" t="str">
        <f>G86</f>
        <v>x</v>
      </c>
      <c r="D673" s="229">
        <f>(D616/D613)*G91</f>
        <v>0</v>
      </c>
      <c r="E673" s="231">
        <f>(E624/E613)*SUM(C673:D673)</f>
        <v>0</v>
      </c>
      <c r="F673" s="231">
        <f>(F625/F613)*G65</f>
        <v>0</v>
      </c>
      <c r="G673" s="229">
        <f>(G626/G613)*G92</f>
        <v>0</v>
      </c>
      <c r="H673" s="231">
        <f>(H629/H613)*G61</f>
        <v>0</v>
      </c>
      <c r="I673" s="229">
        <f>(I630/I613)*G93</f>
        <v>0</v>
      </c>
      <c r="J673" s="229">
        <f>(J631/J613)*G94</f>
        <v>0</v>
      </c>
      <c r="K673" s="229">
        <f>(K645/K613)*G90</f>
        <v>0</v>
      </c>
      <c r="L673" s="229" t="e">
        <f>(L648/L613)*G95</f>
        <v>#DIV/0!</v>
      </c>
      <c r="M673" s="212" t="e">
        <f t="shared" si="0"/>
        <v>#DIV/0!</v>
      </c>
      <c r="N673" s="223" t="s">
        <v>624</v>
      </c>
    </row>
    <row r="674" spans="1:14" s="212" customFormat="1" ht="12.65" customHeight="1" x14ac:dyDescent="0.3">
      <c r="A674" s="224">
        <v>6140</v>
      </c>
      <c r="B674" s="223" t="s">
        <v>625</v>
      </c>
      <c r="C674" s="229" t="str">
        <f>H86</f>
        <v>x</v>
      </c>
      <c r="D674" s="229">
        <f>(D616/D613)*H91</f>
        <v>0</v>
      </c>
      <c r="E674" s="231">
        <f>(E624/E613)*SUM(C674:D674)</f>
        <v>0</v>
      </c>
      <c r="F674" s="231">
        <f>(F625/F613)*H65</f>
        <v>0</v>
      </c>
      <c r="G674" s="229">
        <f>(G626/G613)*H92</f>
        <v>0</v>
      </c>
      <c r="H674" s="231">
        <f>(H629/H613)*H61</f>
        <v>0</v>
      </c>
      <c r="I674" s="229">
        <f>(I630/I613)*H93</f>
        <v>0</v>
      </c>
      <c r="J674" s="229">
        <f>(J631/J613)*H94</f>
        <v>0</v>
      </c>
      <c r="K674" s="229">
        <f>(K645/K613)*H90</f>
        <v>0</v>
      </c>
      <c r="L674" s="229" t="e">
        <f>(L648/L613)*H95</f>
        <v>#DIV/0!</v>
      </c>
      <c r="M674" s="212" t="e">
        <f t="shared" si="0"/>
        <v>#DIV/0!</v>
      </c>
      <c r="N674" s="223" t="s">
        <v>626</v>
      </c>
    </row>
    <row r="675" spans="1:14" s="212" customFormat="1" ht="12.65" customHeight="1" x14ac:dyDescent="0.3">
      <c r="A675" s="224">
        <v>6150</v>
      </c>
      <c r="B675" s="223" t="s">
        <v>627</v>
      </c>
      <c r="C675" s="229" t="str">
        <f>I86</f>
        <v>x</v>
      </c>
      <c r="D675" s="229">
        <f>(D616/D613)*I91</f>
        <v>0</v>
      </c>
      <c r="E675" s="231">
        <f>(E624/E613)*SUM(C675:D675)</f>
        <v>0</v>
      </c>
      <c r="F675" s="231">
        <f>(F625/F613)*I65</f>
        <v>0</v>
      </c>
      <c r="G675" s="229">
        <f>(G626/G613)*I92</f>
        <v>0</v>
      </c>
      <c r="H675" s="231">
        <f>(H629/H613)*I61</f>
        <v>0</v>
      </c>
      <c r="I675" s="229">
        <f>(I630/I613)*I93</f>
        <v>0</v>
      </c>
      <c r="J675" s="229">
        <f>(J631/J613)*I94</f>
        <v>0</v>
      </c>
      <c r="K675" s="229">
        <f>(K645/K613)*I90</f>
        <v>0</v>
      </c>
      <c r="L675" s="229" t="e">
        <f>(L648/L613)*I95</f>
        <v>#DIV/0!</v>
      </c>
      <c r="M675" s="212" t="e">
        <f t="shared" si="0"/>
        <v>#DIV/0!</v>
      </c>
      <c r="N675" s="223" t="s">
        <v>628</v>
      </c>
    </row>
    <row r="676" spans="1:14" s="212" customFormat="1" ht="12.65" customHeight="1" x14ac:dyDescent="0.3">
      <c r="A676" s="224">
        <v>6170</v>
      </c>
      <c r="B676" s="223" t="s">
        <v>125</v>
      </c>
      <c r="C676" s="229" t="str">
        <f>J86</f>
        <v>x</v>
      </c>
      <c r="D676" s="229">
        <f>(D616/D613)*J91</f>
        <v>0</v>
      </c>
      <c r="E676" s="231">
        <f>(E624/E613)*SUM(C676:D676)</f>
        <v>0</v>
      </c>
      <c r="F676" s="231">
        <f>(F625/F613)*J65</f>
        <v>0</v>
      </c>
      <c r="G676" s="229">
        <f>(G626/G613)*J92</f>
        <v>0</v>
      </c>
      <c r="H676" s="231">
        <f>(H629/H613)*J61</f>
        <v>0</v>
      </c>
      <c r="I676" s="229">
        <f>(I630/I613)*J93</f>
        <v>0</v>
      </c>
      <c r="J676" s="229">
        <f>(J631/J613)*J94</f>
        <v>0</v>
      </c>
      <c r="K676" s="229">
        <f>(K645/K613)*J90</f>
        <v>0</v>
      </c>
      <c r="L676" s="229" t="e">
        <f>(L648/L613)*J95</f>
        <v>#DIV/0!</v>
      </c>
      <c r="M676" s="212" t="e">
        <f t="shared" si="0"/>
        <v>#DIV/0!</v>
      </c>
      <c r="N676" s="223" t="s">
        <v>629</v>
      </c>
    </row>
    <row r="677" spans="1:14" s="212" customFormat="1" ht="12.65" customHeight="1" x14ac:dyDescent="0.3">
      <c r="A677" s="224">
        <v>6200</v>
      </c>
      <c r="B677" s="223" t="s">
        <v>349</v>
      </c>
      <c r="C677" s="229" t="str">
        <f>K86</f>
        <v>x</v>
      </c>
      <c r="D677" s="229">
        <f>(D616/D613)*K91</f>
        <v>0</v>
      </c>
      <c r="E677" s="231">
        <f>(E624/E613)*SUM(C677:D677)</f>
        <v>0</v>
      </c>
      <c r="F677" s="231">
        <f>(F625/F613)*K65</f>
        <v>0</v>
      </c>
      <c r="G677" s="229">
        <f>(G626/G613)*K92</f>
        <v>0</v>
      </c>
      <c r="H677" s="231">
        <f>(H629/H613)*K61</f>
        <v>24713.863337530831</v>
      </c>
      <c r="I677" s="229">
        <f>(I630/I613)*K93</f>
        <v>2806.8794425962706</v>
      </c>
      <c r="J677" s="229">
        <f>(J631/J613)*K94</f>
        <v>1336.3551000152718</v>
      </c>
      <c r="K677" s="229">
        <f>(K645/K613)*K90</f>
        <v>4445.6563774085116</v>
      </c>
      <c r="L677" s="229" t="e">
        <f>(L648/L613)*K95</f>
        <v>#DIV/0!</v>
      </c>
      <c r="M677" s="212" t="e">
        <f t="shared" si="0"/>
        <v>#DIV/0!</v>
      </c>
      <c r="N677" s="223" t="s">
        <v>630</v>
      </c>
    </row>
    <row r="678" spans="1:14" s="212" customFormat="1" ht="12.65" customHeight="1" x14ac:dyDescent="0.3">
      <c r="A678" s="224">
        <v>6210</v>
      </c>
      <c r="B678" s="223" t="s">
        <v>350</v>
      </c>
      <c r="C678" s="229" t="str">
        <f>L86</f>
        <v>x</v>
      </c>
      <c r="D678" s="229">
        <f>(D616/D613)*L91</f>
        <v>361650.30396847735</v>
      </c>
      <c r="E678" s="231">
        <f>(E624/E613)*SUM(C678:D678)</f>
        <v>0</v>
      </c>
      <c r="F678" s="231">
        <f>(F625/F613)*L65</f>
        <v>0</v>
      </c>
      <c r="G678" s="229">
        <f>(G626/G613)*L92</f>
        <v>0</v>
      </c>
      <c r="H678" s="231">
        <f>(H629/H613)*L61</f>
        <v>14936.154236413749</v>
      </c>
      <c r="I678" s="229">
        <f>(I630/I613)*L93</f>
        <v>645.9030613581026</v>
      </c>
      <c r="J678" s="229">
        <f>(J631/J613)*L94</f>
        <v>952.44417715743054</v>
      </c>
      <c r="K678" s="229">
        <f>(K645/K613)*L90</f>
        <v>1552.6135966590211</v>
      </c>
      <c r="L678" s="229" t="e">
        <f>(L648/L613)*L95</f>
        <v>#DIV/0!</v>
      </c>
      <c r="M678" s="212" t="e">
        <f t="shared" si="0"/>
        <v>#DIV/0!</v>
      </c>
      <c r="N678" s="223" t="s">
        <v>631</v>
      </c>
    </row>
    <row r="679" spans="1:14" s="212" customFormat="1" ht="12.65" customHeight="1" x14ac:dyDescent="0.3">
      <c r="A679" s="224">
        <v>6330</v>
      </c>
      <c r="B679" s="223" t="s">
        <v>632</v>
      </c>
      <c r="C679" s="229" t="str">
        <f>M86</f>
        <v>x</v>
      </c>
      <c r="D679" s="229">
        <f>(D616/D613)*M91</f>
        <v>0</v>
      </c>
      <c r="E679" s="231">
        <f>(E624/E613)*SUM(C679:D679)</f>
        <v>0</v>
      </c>
      <c r="F679" s="231">
        <f>(F625/F613)*M65</f>
        <v>0</v>
      </c>
      <c r="G679" s="229">
        <f>(G626/G613)*M92</f>
        <v>0</v>
      </c>
      <c r="H679" s="231">
        <f>(H629/H613)*M61</f>
        <v>0</v>
      </c>
      <c r="I679" s="229">
        <f>(I630/I613)*M93</f>
        <v>0</v>
      </c>
      <c r="J679" s="229">
        <f>(J631/J613)*M94</f>
        <v>0</v>
      </c>
      <c r="K679" s="229">
        <f>(K645/K613)*M90</f>
        <v>0</v>
      </c>
      <c r="L679" s="229" t="e">
        <f>(L648/L613)*M95</f>
        <v>#DIV/0!</v>
      </c>
      <c r="M679" s="212" t="e">
        <f t="shared" si="0"/>
        <v>#DIV/0!</v>
      </c>
      <c r="N679" s="223" t="s">
        <v>633</v>
      </c>
    </row>
    <row r="680" spans="1:14" s="212" customFormat="1" ht="12.65" customHeight="1" x14ac:dyDescent="0.3">
      <c r="A680" s="224">
        <v>6400</v>
      </c>
      <c r="B680" s="223" t="s">
        <v>634</v>
      </c>
      <c r="C680" s="229" t="str">
        <f>N86</f>
        <v>x</v>
      </c>
      <c r="D680" s="229">
        <f>(D616/D613)*N91</f>
        <v>0</v>
      </c>
      <c r="E680" s="231">
        <f>(E624/E613)*SUM(C680:D680)</f>
        <v>0</v>
      </c>
      <c r="F680" s="231">
        <f>(F625/F613)*N65</f>
        <v>0</v>
      </c>
      <c r="G680" s="229">
        <f>(G626/G613)*N92</f>
        <v>0</v>
      </c>
      <c r="H680" s="231">
        <f>(H629/H613)*N61</f>
        <v>0</v>
      </c>
      <c r="I680" s="229">
        <f>(I630/I613)*N93</f>
        <v>0</v>
      </c>
      <c r="J680" s="229">
        <f>(J631/J613)*N94</f>
        <v>0</v>
      </c>
      <c r="K680" s="229">
        <f>(K645/K613)*N90</f>
        <v>0</v>
      </c>
      <c r="L680" s="229" t="e">
        <f>(L648/L613)*N95</f>
        <v>#DIV/0!</v>
      </c>
      <c r="M680" s="212" t="e">
        <f t="shared" si="0"/>
        <v>#DIV/0!</v>
      </c>
      <c r="N680" s="223" t="s">
        <v>635</v>
      </c>
    </row>
    <row r="681" spans="1:14" s="212" customFormat="1" ht="12.65" customHeight="1" x14ac:dyDescent="0.3">
      <c r="A681" s="224">
        <v>7010</v>
      </c>
      <c r="B681" s="223" t="s">
        <v>636</v>
      </c>
      <c r="C681" s="229" t="str">
        <f>O86</f>
        <v>x</v>
      </c>
      <c r="D681" s="229">
        <f>(D616/D613)*O91</f>
        <v>0</v>
      </c>
      <c r="E681" s="231">
        <f>(E624/E613)*SUM(C681:D681)</f>
        <v>0</v>
      </c>
      <c r="F681" s="231">
        <f>(F625/F613)*O65</f>
        <v>0</v>
      </c>
      <c r="G681" s="229">
        <f>(G626/G613)*O92</f>
        <v>0</v>
      </c>
      <c r="H681" s="231">
        <f>(H629/H613)*O61</f>
        <v>0</v>
      </c>
      <c r="I681" s="229">
        <f>(I630/I613)*O93</f>
        <v>0</v>
      </c>
      <c r="J681" s="229">
        <f>(J631/J613)*O94</f>
        <v>0</v>
      </c>
      <c r="K681" s="229">
        <f>(K645/K613)*O90</f>
        <v>0</v>
      </c>
      <c r="L681" s="229" t="e">
        <f>(L648/L613)*O95</f>
        <v>#DIV/0!</v>
      </c>
      <c r="M681" s="212" t="e">
        <f t="shared" si="0"/>
        <v>#DIV/0!</v>
      </c>
      <c r="N681" s="223" t="s">
        <v>637</v>
      </c>
    </row>
    <row r="682" spans="1:14" s="212" customFormat="1" ht="12.65" customHeight="1" x14ac:dyDescent="0.3">
      <c r="A682" s="224">
        <v>7020</v>
      </c>
      <c r="B682" s="223" t="s">
        <v>638</v>
      </c>
      <c r="C682" s="229" t="str">
        <f>P86</f>
        <v>x</v>
      </c>
      <c r="D682" s="229">
        <f>(D616/D613)*P91</f>
        <v>0</v>
      </c>
      <c r="E682" s="231">
        <f>(E624/E613)*SUM(C682:D682)</f>
        <v>0</v>
      </c>
      <c r="F682" s="231">
        <f>(F625/F613)*P65</f>
        <v>0</v>
      </c>
      <c r="G682" s="229">
        <f>(G626/G613)*P92</f>
        <v>0</v>
      </c>
      <c r="H682" s="231">
        <f>(H629/H613)*P61</f>
        <v>4557.3460083665113</v>
      </c>
      <c r="I682" s="229">
        <f>(I630/I613)*P93</f>
        <v>90.588478933011743</v>
      </c>
      <c r="J682" s="229">
        <f>(J631/J613)*P94</f>
        <v>128.54545506925467</v>
      </c>
      <c r="K682" s="229">
        <f>(K645/K613)*P90</f>
        <v>711.7346283317969</v>
      </c>
      <c r="L682" s="229" t="e">
        <f>(L648/L613)*P95</f>
        <v>#DIV/0!</v>
      </c>
      <c r="M682" s="212" t="e">
        <f t="shared" si="0"/>
        <v>#DIV/0!</v>
      </c>
      <c r="N682" s="223" t="s">
        <v>639</v>
      </c>
    </row>
    <row r="683" spans="1:14" s="212" customFormat="1" ht="12.65" customHeight="1" x14ac:dyDescent="0.3">
      <c r="A683" s="224">
        <v>7030</v>
      </c>
      <c r="B683" s="223" t="s">
        <v>640</v>
      </c>
      <c r="C683" s="229" t="str">
        <f>Q86</f>
        <v>x</v>
      </c>
      <c r="D683" s="229">
        <f>(D616/D613)*Q91</f>
        <v>0</v>
      </c>
      <c r="E683" s="231">
        <f>(E624/E613)*SUM(C683:D683)</f>
        <v>0</v>
      </c>
      <c r="F683" s="231">
        <f>(F625/F613)*Q65</f>
        <v>0</v>
      </c>
      <c r="G683" s="229">
        <f>(G626/G613)*Q92</f>
        <v>0</v>
      </c>
      <c r="H683" s="231">
        <f>(H629/H613)*Q61</f>
        <v>145.79254786301695</v>
      </c>
      <c r="I683" s="229">
        <f>(I630/I613)*Q93</f>
        <v>0</v>
      </c>
      <c r="J683" s="229">
        <f>(J631/J613)*Q94</f>
        <v>9.4899329245758484</v>
      </c>
      <c r="K683" s="229">
        <f>(K645/K613)*Q90</f>
        <v>187.56054246800389</v>
      </c>
      <c r="L683" s="229" t="e">
        <f>(L648/L613)*Q95</f>
        <v>#DIV/0!</v>
      </c>
      <c r="M683" s="212" t="e">
        <f t="shared" si="0"/>
        <v>#DIV/0!</v>
      </c>
      <c r="N683" s="223" t="s">
        <v>641</v>
      </c>
    </row>
    <row r="684" spans="1:14" s="212" customFormat="1" ht="12.65" customHeight="1" x14ac:dyDescent="0.3">
      <c r="A684" s="224">
        <v>7040</v>
      </c>
      <c r="B684" s="223" t="s">
        <v>133</v>
      </c>
      <c r="C684" s="229" t="str">
        <f>R86</f>
        <v>x</v>
      </c>
      <c r="D684" s="229">
        <f>(D616/D613)*R91</f>
        <v>0</v>
      </c>
      <c r="E684" s="231">
        <f>(E624/E613)*SUM(C684:D684)</f>
        <v>0</v>
      </c>
      <c r="F684" s="231">
        <f>(F625/F613)*R65</f>
        <v>0</v>
      </c>
      <c r="G684" s="229">
        <f>(G626/G613)*R92</f>
        <v>0</v>
      </c>
      <c r="H684" s="231">
        <f>(H629/H613)*R61</f>
        <v>0</v>
      </c>
      <c r="I684" s="229">
        <f>(I630/I613)*R93</f>
        <v>0</v>
      </c>
      <c r="J684" s="229">
        <f>(J631/J613)*R94</f>
        <v>0</v>
      </c>
      <c r="K684" s="229">
        <f>(K645/K613)*R90</f>
        <v>163.19862843235535</v>
      </c>
      <c r="L684" s="229" t="e">
        <f>(L648/L613)*R95</f>
        <v>#DIV/0!</v>
      </c>
      <c r="M684" s="212" t="e">
        <f t="shared" si="0"/>
        <v>#DIV/0!</v>
      </c>
      <c r="N684" s="223" t="s">
        <v>642</v>
      </c>
    </row>
    <row r="685" spans="1:14" s="212" customFormat="1" ht="12.65" customHeight="1" x14ac:dyDescent="0.3">
      <c r="A685" s="224">
        <v>7050</v>
      </c>
      <c r="B685" s="223" t="s">
        <v>643</v>
      </c>
      <c r="C685" s="229" t="str">
        <f>S86</f>
        <v>x</v>
      </c>
      <c r="D685" s="229">
        <f>(D616/D613)*S91</f>
        <v>0</v>
      </c>
      <c r="E685" s="231">
        <f>(E624/E613)*SUM(C685:D685)</f>
        <v>0</v>
      </c>
      <c r="F685" s="231">
        <f>(F625/F613)*S65</f>
        <v>0</v>
      </c>
      <c r="G685" s="229">
        <f>(G626/G613)*S92</f>
        <v>0</v>
      </c>
      <c r="H685" s="231">
        <f>(H629/H613)*S61</f>
        <v>1193.8398346444708</v>
      </c>
      <c r="I685" s="229">
        <f>(I630/I613)*S93</f>
        <v>0</v>
      </c>
      <c r="J685" s="229">
        <f>(J631/J613)*S94</f>
        <v>0</v>
      </c>
      <c r="K685" s="229">
        <f>(K645/K613)*S90</f>
        <v>205.37355488116629</v>
      </c>
      <c r="L685" s="229" t="e">
        <f>(L648/L613)*S95</f>
        <v>#DIV/0!</v>
      </c>
      <c r="M685" s="212" t="e">
        <f t="shared" si="0"/>
        <v>#DIV/0!</v>
      </c>
      <c r="N685" s="223" t="s">
        <v>644</v>
      </c>
    </row>
    <row r="686" spans="1:14" s="212" customFormat="1" ht="12.65" customHeight="1" x14ac:dyDescent="0.3">
      <c r="A686" s="224">
        <v>7060</v>
      </c>
      <c r="B686" s="223" t="s">
        <v>645</v>
      </c>
      <c r="C686" s="229" t="str">
        <f>T86</f>
        <v>x</v>
      </c>
      <c r="D686" s="229">
        <f>(D616/D613)*T91</f>
        <v>0</v>
      </c>
      <c r="E686" s="231">
        <f>(E624/E613)*SUM(C686:D686)</f>
        <v>0</v>
      </c>
      <c r="F686" s="231">
        <f>(F625/F613)*T65</f>
        <v>0</v>
      </c>
      <c r="G686" s="229">
        <f>(G626/G613)*T92</f>
        <v>0</v>
      </c>
      <c r="H686" s="231">
        <f>(H629/H613)*T61</f>
        <v>0</v>
      </c>
      <c r="I686" s="229">
        <f>(I630/I613)*T93</f>
        <v>0</v>
      </c>
      <c r="J686" s="229">
        <f>(J631/J613)*T94</f>
        <v>0</v>
      </c>
      <c r="K686" s="229">
        <f>(K645/K613)*T90</f>
        <v>0</v>
      </c>
      <c r="L686" s="229" t="e">
        <f>(L648/L613)*T95</f>
        <v>#DIV/0!</v>
      </c>
      <c r="M686" s="212" t="e">
        <f t="shared" si="0"/>
        <v>#DIV/0!</v>
      </c>
      <c r="N686" s="223" t="s">
        <v>646</v>
      </c>
    </row>
    <row r="687" spans="1:14" s="212" customFormat="1" ht="12.65" customHeight="1" x14ac:dyDescent="0.3">
      <c r="A687" s="224">
        <v>7070</v>
      </c>
      <c r="B687" s="223" t="s">
        <v>136</v>
      </c>
      <c r="C687" s="229" t="str">
        <f>U86</f>
        <v>x</v>
      </c>
      <c r="D687" s="229">
        <f>(D616/D613)*U91</f>
        <v>0</v>
      </c>
      <c r="E687" s="231">
        <f>(E624/E613)*SUM(C687:D687)</f>
        <v>0</v>
      </c>
      <c r="F687" s="231">
        <f>(F625/F613)*U65</f>
        <v>0</v>
      </c>
      <c r="G687" s="229">
        <f>(G626/G613)*U92</f>
        <v>0</v>
      </c>
      <c r="H687" s="231">
        <f>(H629/H613)*U61</f>
        <v>6776.2032859107221</v>
      </c>
      <c r="I687" s="229">
        <f>(I630/I613)*U93</f>
        <v>0</v>
      </c>
      <c r="J687" s="229">
        <f>(J631/J613)*U94</f>
        <v>43.136058748072038</v>
      </c>
      <c r="K687" s="229">
        <f>(K645/K613)*U90</f>
        <v>561.89575920931338</v>
      </c>
      <c r="L687" s="229" t="e">
        <f>(L648/L613)*U95</f>
        <v>#DIV/0!</v>
      </c>
      <c r="M687" s="212" t="e">
        <f t="shared" si="0"/>
        <v>#DIV/0!</v>
      </c>
      <c r="N687" s="223" t="s">
        <v>647</v>
      </c>
    </row>
    <row r="688" spans="1:14" s="212" customFormat="1" ht="12.65" customHeight="1" x14ac:dyDescent="0.3">
      <c r="A688" s="224">
        <v>7110</v>
      </c>
      <c r="B688" s="223" t="s">
        <v>648</v>
      </c>
      <c r="C688" s="229" t="str">
        <f>V86</f>
        <v>x</v>
      </c>
      <c r="D688" s="229">
        <f>(D616/D613)*V91</f>
        <v>0</v>
      </c>
      <c r="E688" s="231">
        <f>(E624/E613)*SUM(C688:D688)</f>
        <v>0</v>
      </c>
      <c r="F688" s="231">
        <f>(F625/F613)*V65</f>
        <v>0</v>
      </c>
      <c r="G688" s="229">
        <f>(G626/G613)*V92</f>
        <v>0</v>
      </c>
      <c r="H688" s="231">
        <f>(H629/H613)*V61</f>
        <v>0</v>
      </c>
      <c r="I688" s="229">
        <f>(I630/I613)*V93</f>
        <v>0</v>
      </c>
      <c r="J688" s="229">
        <f>(J631/J613)*V94</f>
        <v>0</v>
      </c>
      <c r="K688" s="229">
        <f>(K645/K613)*V90</f>
        <v>0</v>
      </c>
      <c r="L688" s="229" t="e">
        <f>(L648/L613)*V95</f>
        <v>#DIV/0!</v>
      </c>
      <c r="M688" s="212" t="e">
        <f t="shared" si="0"/>
        <v>#DIV/0!</v>
      </c>
      <c r="N688" s="223" t="s">
        <v>649</v>
      </c>
    </row>
    <row r="689" spans="1:14" s="212" customFormat="1" ht="12.65" customHeight="1" x14ac:dyDescent="0.3">
      <c r="A689" s="224">
        <v>7120</v>
      </c>
      <c r="B689" s="223" t="s">
        <v>650</v>
      </c>
      <c r="C689" s="229" t="str">
        <f>W86</f>
        <v>x</v>
      </c>
      <c r="D689" s="229">
        <f>(D616/D613)*W91</f>
        <v>0</v>
      </c>
      <c r="E689" s="231">
        <f>(E624/E613)*SUM(C689:D689)</f>
        <v>0</v>
      </c>
      <c r="F689" s="231">
        <f>(F625/F613)*W65</f>
        <v>0</v>
      </c>
      <c r="G689" s="229">
        <f>(G626/G613)*W92</f>
        <v>0</v>
      </c>
      <c r="H689" s="231">
        <f>(H629/H613)*W61</f>
        <v>438.65287068995713</v>
      </c>
      <c r="I689" s="229">
        <f>(I630/I613)*W93</f>
        <v>11.491550756929032</v>
      </c>
      <c r="J689" s="229">
        <f>(J631/J613)*W94</f>
        <v>0</v>
      </c>
      <c r="K689" s="229">
        <f>(K645/K613)*W90</f>
        <v>48.199915941498205</v>
      </c>
      <c r="L689" s="229" t="e">
        <f>(L648/L613)*W95</f>
        <v>#DIV/0!</v>
      </c>
      <c r="M689" s="212" t="e">
        <f t="shared" si="0"/>
        <v>#DIV/0!</v>
      </c>
      <c r="N689" s="223" t="s">
        <v>651</v>
      </c>
    </row>
    <row r="690" spans="1:14" s="212" customFormat="1" ht="12.65" customHeight="1" x14ac:dyDescent="0.3">
      <c r="A690" s="224">
        <v>7130</v>
      </c>
      <c r="B690" s="223" t="s">
        <v>652</v>
      </c>
      <c r="C690" s="229" t="str">
        <f>X86</f>
        <v>x</v>
      </c>
      <c r="D690" s="229">
        <f>(D616/D613)*X91</f>
        <v>0</v>
      </c>
      <c r="E690" s="231">
        <f>(E624/E613)*SUM(C690:D690)</f>
        <v>0</v>
      </c>
      <c r="F690" s="231">
        <f>(F625/F613)*X65</f>
        <v>0</v>
      </c>
      <c r="G690" s="229">
        <f>(G626/G613)*X92</f>
        <v>0</v>
      </c>
      <c r="H690" s="231">
        <f>(H629/H613)*X61</f>
        <v>2236.0160263573957</v>
      </c>
      <c r="I690" s="229">
        <f>(I630/I613)*X93</f>
        <v>58.587431655665299</v>
      </c>
      <c r="J690" s="229">
        <f>(J631/J613)*X94</f>
        <v>0</v>
      </c>
      <c r="K690" s="229">
        <f>(K645/K613)*X90</f>
        <v>245.19087674588218</v>
      </c>
      <c r="L690" s="229" t="e">
        <f>(L648/L613)*X95</f>
        <v>#DIV/0!</v>
      </c>
      <c r="M690" s="212" t="e">
        <f t="shared" si="0"/>
        <v>#DIV/0!</v>
      </c>
      <c r="N690" s="223" t="s">
        <v>653</v>
      </c>
    </row>
    <row r="691" spans="1:14" s="212" customFormat="1" ht="12.65" customHeight="1" x14ac:dyDescent="0.3">
      <c r="A691" s="224">
        <v>7140</v>
      </c>
      <c r="B691" s="223" t="s">
        <v>654</v>
      </c>
      <c r="C691" s="229" t="str">
        <f>Y86</f>
        <v>x</v>
      </c>
      <c r="D691" s="229">
        <f>(D616/D613)*Y91</f>
        <v>0</v>
      </c>
      <c r="E691" s="231">
        <f>(E624/E613)*SUM(C691:D691)</f>
        <v>0</v>
      </c>
      <c r="F691" s="231">
        <f>(F625/F613)*Y65</f>
        <v>0</v>
      </c>
      <c r="G691" s="229">
        <f>(G626/G613)*Y92</f>
        <v>0</v>
      </c>
      <c r="H691" s="231">
        <f>(H629/H613)*Y61</f>
        <v>5971.269839009964</v>
      </c>
      <c r="I691" s="229">
        <f>(I630/I613)*Y93</f>
        <v>156.46038513628969</v>
      </c>
      <c r="J691" s="229">
        <f>(J631/J613)*Y94</f>
        <v>0</v>
      </c>
      <c r="K691" s="229">
        <f>(K645/K613)*Y90</f>
        <v>654.62820618371757</v>
      </c>
      <c r="L691" s="229" t="e">
        <f>(L648/L613)*Y95</f>
        <v>#DIV/0!</v>
      </c>
      <c r="M691" s="212" t="e">
        <f t="shared" si="0"/>
        <v>#DIV/0!</v>
      </c>
      <c r="N691" s="223" t="s">
        <v>655</v>
      </c>
    </row>
    <row r="692" spans="1:14" s="212" customFormat="1" ht="12.65" customHeight="1" x14ac:dyDescent="0.3">
      <c r="A692" s="224">
        <v>7150</v>
      </c>
      <c r="B692" s="223" t="s">
        <v>656</v>
      </c>
      <c r="C692" s="229" t="str">
        <f>Z86</f>
        <v>x</v>
      </c>
      <c r="D692" s="229">
        <f>(D616/D613)*Z91</f>
        <v>0</v>
      </c>
      <c r="E692" s="231">
        <f>(E624/E613)*SUM(C692:D692)</f>
        <v>0</v>
      </c>
      <c r="F692" s="231">
        <f>(F625/F613)*Z65</f>
        <v>0</v>
      </c>
      <c r="G692" s="229">
        <f>(G626/G613)*Z92</f>
        <v>0</v>
      </c>
      <c r="H692" s="231">
        <f>(H629/H613)*Z61</f>
        <v>0</v>
      </c>
      <c r="I692" s="229">
        <f>(I630/I613)*Z93</f>
        <v>0</v>
      </c>
      <c r="J692" s="229">
        <f>(J631/J613)*Z94</f>
        <v>0</v>
      </c>
      <c r="K692" s="229">
        <f>(K645/K613)*Z90</f>
        <v>0</v>
      </c>
      <c r="L692" s="229" t="e">
        <f>(L648/L613)*Z95</f>
        <v>#DIV/0!</v>
      </c>
      <c r="M692" s="212" t="e">
        <f t="shared" si="0"/>
        <v>#DIV/0!</v>
      </c>
      <c r="N692" s="223" t="s">
        <v>657</v>
      </c>
    </row>
    <row r="693" spans="1:14" s="212" customFormat="1" ht="12.65" customHeight="1" x14ac:dyDescent="0.3">
      <c r="A693" s="224">
        <v>7160</v>
      </c>
      <c r="B693" s="223" t="s">
        <v>658</v>
      </c>
      <c r="C693" s="229" t="str">
        <f>AA86</f>
        <v>x</v>
      </c>
      <c r="D693" s="229">
        <f>(D616/D613)*AA91</f>
        <v>0</v>
      </c>
      <c r="E693" s="231">
        <f>(E624/E613)*SUM(C693:D693)</f>
        <v>0</v>
      </c>
      <c r="F693" s="231">
        <f>(F625/F613)*AA65</f>
        <v>0</v>
      </c>
      <c r="G693" s="229">
        <f>(G626/G613)*AA92</f>
        <v>0</v>
      </c>
      <c r="H693" s="231">
        <f>(H629/H613)*AA61</f>
        <v>0</v>
      </c>
      <c r="I693" s="229">
        <f>(I630/I613)*AA93</f>
        <v>0</v>
      </c>
      <c r="J693" s="229">
        <f>(J631/J613)*AA94</f>
        <v>0</v>
      </c>
      <c r="K693" s="229">
        <f>(K645/K613)*AA90</f>
        <v>0</v>
      </c>
      <c r="L693" s="229" t="e">
        <f>(L648/L613)*AA95</f>
        <v>#DIV/0!</v>
      </c>
      <c r="M693" s="212" t="e">
        <f t="shared" si="0"/>
        <v>#DIV/0!</v>
      </c>
      <c r="N693" s="223" t="s">
        <v>659</v>
      </c>
    </row>
    <row r="694" spans="1:14" s="212" customFormat="1" ht="12.65" customHeight="1" x14ac:dyDescent="0.3">
      <c r="A694" s="224">
        <v>7170</v>
      </c>
      <c r="B694" s="223" t="s">
        <v>142</v>
      </c>
      <c r="C694" s="229" t="str">
        <f>AB86</f>
        <v>x</v>
      </c>
      <c r="D694" s="229">
        <f>(D616/D613)*AB91</f>
        <v>0</v>
      </c>
      <c r="E694" s="231">
        <f>(E624/E613)*SUM(C694:D694)</f>
        <v>0</v>
      </c>
      <c r="F694" s="231">
        <f>(F625/F613)*AB65</f>
        <v>0</v>
      </c>
      <c r="G694" s="229">
        <f>(G626/G613)*AB92</f>
        <v>0</v>
      </c>
      <c r="H694" s="231">
        <f>(H629/H613)*AB61</f>
        <v>774.55526467520895</v>
      </c>
      <c r="I694" s="229">
        <f>(I630/I613)*AB93</f>
        <v>0</v>
      </c>
      <c r="J694" s="229">
        <f>(J631/J613)*AB94</f>
        <v>0</v>
      </c>
      <c r="K694" s="229">
        <f>(K645/K613)*AB90</f>
        <v>246.76261313527888</v>
      </c>
      <c r="L694" s="229" t="e">
        <f>(L648/L613)*AB95</f>
        <v>#DIV/0!</v>
      </c>
      <c r="M694" s="212" t="e">
        <f t="shared" si="0"/>
        <v>#DIV/0!</v>
      </c>
      <c r="N694" s="223" t="s">
        <v>660</v>
      </c>
    </row>
    <row r="695" spans="1:14" s="212" customFormat="1" ht="12.65" customHeight="1" x14ac:dyDescent="0.3">
      <c r="A695" s="224">
        <v>7180</v>
      </c>
      <c r="B695" s="223" t="s">
        <v>661</v>
      </c>
      <c r="C695" s="229" t="str">
        <f>AC86</f>
        <v>x</v>
      </c>
      <c r="D695" s="229">
        <f>(D616/D613)*AC91</f>
        <v>0</v>
      </c>
      <c r="E695" s="231">
        <f>(E624/E613)*SUM(C695:D695)</f>
        <v>0</v>
      </c>
      <c r="F695" s="231">
        <f>(F625/F613)*AC65</f>
        <v>0</v>
      </c>
      <c r="G695" s="229">
        <f>(G626/G613)*AC92</f>
        <v>0</v>
      </c>
      <c r="H695" s="231">
        <f>(H629/H613)*AC61</f>
        <v>1380.3260156383878</v>
      </c>
      <c r="I695" s="229">
        <f>(I630/I613)*AC93</f>
        <v>0</v>
      </c>
      <c r="J695" s="229">
        <f>(J631/J613)*AC94</f>
        <v>0</v>
      </c>
      <c r="K695" s="229">
        <f>(K645/K613)*AC90</f>
        <v>45.318399227604296</v>
      </c>
      <c r="L695" s="229" t="e">
        <f>(L648/L613)*AC95</f>
        <v>#DIV/0!</v>
      </c>
      <c r="M695" s="212" t="e">
        <f t="shared" si="0"/>
        <v>#DIV/0!</v>
      </c>
      <c r="N695" s="223" t="s">
        <v>662</v>
      </c>
    </row>
    <row r="696" spans="1:14" s="212" customFormat="1" ht="12.65" customHeight="1" x14ac:dyDescent="0.3">
      <c r="A696" s="224">
        <v>7190</v>
      </c>
      <c r="B696" s="223" t="s">
        <v>144</v>
      </c>
      <c r="C696" s="229" t="str">
        <f>AD86</f>
        <v>x</v>
      </c>
      <c r="D696" s="229">
        <f>(D616/D613)*AD91</f>
        <v>0</v>
      </c>
      <c r="E696" s="231">
        <f>(E624/E613)*SUM(C696:D696)</f>
        <v>0</v>
      </c>
      <c r="F696" s="231">
        <f>(F625/F613)*AD65</f>
        <v>0</v>
      </c>
      <c r="G696" s="229">
        <f>(G626/G613)*AD92</f>
        <v>0</v>
      </c>
      <c r="H696" s="231">
        <f>(H629/H613)*AD61</f>
        <v>0</v>
      </c>
      <c r="I696" s="229">
        <f>(I630/I613)*AD93</f>
        <v>0</v>
      </c>
      <c r="J696" s="229">
        <f>(J631/J613)*AD94</f>
        <v>0</v>
      </c>
      <c r="K696" s="229">
        <f>(K645/K613)*AD90</f>
        <v>0</v>
      </c>
      <c r="L696" s="229" t="e">
        <f>(L648/L613)*AD95</f>
        <v>#DIV/0!</v>
      </c>
      <c r="M696" s="212" t="e">
        <f t="shared" si="0"/>
        <v>#DIV/0!</v>
      </c>
      <c r="N696" s="223" t="s">
        <v>663</v>
      </c>
    </row>
    <row r="697" spans="1:14" s="212" customFormat="1" ht="12.65" customHeight="1" x14ac:dyDescent="0.3">
      <c r="A697" s="224">
        <v>7200</v>
      </c>
      <c r="B697" s="223" t="s">
        <v>664</v>
      </c>
      <c r="C697" s="229" t="str">
        <f>AE86</f>
        <v>x</v>
      </c>
      <c r="D697" s="229">
        <f>(D616/D613)*AE91</f>
        <v>0</v>
      </c>
      <c r="E697" s="231">
        <f>(E624/E613)*SUM(C697:D697)</f>
        <v>0</v>
      </c>
      <c r="F697" s="231">
        <f>(F625/F613)*AE65</f>
        <v>0</v>
      </c>
      <c r="G697" s="229">
        <f>(G626/G613)*AE92</f>
        <v>0</v>
      </c>
      <c r="H697" s="231">
        <f>(H629/H613)*AE61</f>
        <v>14273.730574541993</v>
      </c>
      <c r="I697" s="229">
        <f>(I630/I613)*AE93</f>
        <v>78.259408375153981</v>
      </c>
      <c r="J697" s="229">
        <f>(J631/J613)*AE94</f>
        <v>0</v>
      </c>
      <c r="K697" s="229">
        <f>(K645/K613)*AE90</f>
        <v>2036.4464485282992</v>
      </c>
      <c r="L697" s="229" t="e">
        <f>(L648/L613)*AE95</f>
        <v>#DIV/0!</v>
      </c>
      <c r="M697" s="212" t="e">
        <f t="shared" si="0"/>
        <v>#DIV/0!</v>
      </c>
      <c r="N697" s="223" t="s">
        <v>665</v>
      </c>
    </row>
    <row r="698" spans="1:14" s="212" customFormat="1" ht="12.65" customHeight="1" x14ac:dyDescent="0.3">
      <c r="A698" s="224">
        <v>7220</v>
      </c>
      <c r="B698" s="223" t="s">
        <v>666</v>
      </c>
      <c r="C698" s="229" t="str">
        <f>AF86</f>
        <v>x</v>
      </c>
      <c r="D698" s="229">
        <f>(D616/D613)*AF91</f>
        <v>0</v>
      </c>
      <c r="E698" s="231">
        <f>(E624/E613)*SUM(C698:D698)</f>
        <v>0</v>
      </c>
      <c r="F698" s="231">
        <f>(F625/F613)*AF65</f>
        <v>0</v>
      </c>
      <c r="G698" s="229">
        <f>(G626/G613)*AF92</f>
        <v>0</v>
      </c>
      <c r="H698" s="231">
        <f>(H629/H613)*AF61</f>
        <v>0</v>
      </c>
      <c r="I698" s="229">
        <f>(I630/I613)*AF93</f>
        <v>0</v>
      </c>
      <c r="J698" s="229">
        <f>(J631/J613)*AF94</f>
        <v>0</v>
      </c>
      <c r="K698" s="229">
        <f>(K645/K613)*AF90</f>
        <v>0</v>
      </c>
      <c r="L698" s="229" t="e">
        <f>(L648/L613)*AF95</f>
        <v>#DIV/0!</v>
      </c>
      <c r="M698" s="212" t="e">
        <f t="shared" si="0"/>
        <v>#DIV/0!</v>
      </c>
      <c r="N698" s="223" t="s">
        <v>667</v>
      </c>
    </row>
    <row r="699" spans="1:14" s="212" customFormat="1" ht="12.65" customHeight="1" x14ac:dyDescent="0.3">
      <c r="A699" s="224">
        <v>7230</v>
      </c>
      <c r="B699" s="223" t="s">
        <v>668</v>
      </c>
      <c r="C699" s="229" t="str">
        <f>AG86</f>
        <v>x</v>
      </c>
      <c r="D699" s="229">
        <f>(D616/D613)*AG91</f>
        <v>0</v>
      </c>
      <c r="E699" s="231">
        <f>(E624/E613)*SUM(C699:D699)</f>
        <v>0</v>
      </c>
      <c r="F699" s="231">
        <f>(F625/F613)*AG65</f>
        <v>0</v>
      </c>
      <c r="G699" s="229">
        <f>(G626/G613)*AG92</f>
        <v>0</v>
      </c>
      <c r="H699" s="231">
        <f>(H629/H613)*AG61</f>
        <v>10541.001964069435</v>
      </c>
      <c r="I699" s="229">
        <f>(I630/I613)*AG93</f>
        <v>344.66861388917988</v>
      </c>
      <c r="J699" s="229">
        <f>(J631/J613)*AG94</f>
        <v>584.92495662385681</v>
      </c>
      <c r="K699" s="229">
        <f>(K645/K613)*AG90</f>
        <v>1861.9837093052677</v>
      </c>
      <c r="L699" s="229" t="e">
        <f>(L648/L613)*AG95</f>
        <v>#DIV/0!</v>
      </c>
      <c r="M699" s="212" t="e">
        <f t="shared" si="0"/>
        <v>#DIV/0!</v>
      </c>
      <c r="N699" s="223" t="s">
        <v>669</v>
      </c>
    </row>
    <row r="700" spans="1:14" s="212" customFormat="1" ht="12.65" customHeight="1" x14ac:dyDescent="0.3">
      <c r="A700" s="224">
        <v>7240</v>
      </c>
      <c r="B700" s="223" t="s">
        <v>146</v>
      </c>
      <c r="C700" s="229" t="str">
        <f>AH86</f>
        <v>x</v>
      </c>
      <c r="D700" s="229">
        <f>(D616/D613)*AH91</f>
        <v>0</v>
      </c>
      <c r="E700" s="231">
        <f>(E624/E613)*SUM(C700:D700)</f>
        <v>0</v>
      </c>
      <c r="F700" s="231">
        <f>(F625/F613)*AH65</f>
        <v>0</v>
      </c>
      <c r="G700" s="229">
        <f>(G626/G613)*AH92</f>
        <v>0</v>
      </c>
      <c r="H700" s="231">
        <f>(H629/H613)*AH61</f>
        <v>0</v>
      </c>
      <c r="I700" s="229">
        <f>(I630/I613)*AH93</f>
        <v>0</v>
      </c>
      <c r="J700" s="229">
        <f>(J631/J613)*AH94</f>
        <v>0</v>
      </c>
      <c r="K700" s="229">
        <f>(K645/K613)*AH90</f>
        <v>0</v>
      </c>
      <c r="L700" s="229" t="e">
        <f>(L648/L613)*AH95</f>
        <v>#DIV/0!</v>
      </c>
      <c r="M700" s="212" t="e">
        <f t="shared" si="0"/>
        <v>#DIV/0!</v>
      </c>
      <c r="N700" s="223" t="s">
        <v>670</v>
      </c>
    </row>
    <row r="701" spans="1:14" s="212" customFormat="1" ht="12.65" customHeight="1" x14ac:dyDescent="0.3">
      <c r="A701" s="224">
        <v>7250</v>
      </c>
      <c r="B701" s="223" t="s">
        <v>671</v>
      </c>
      <c r="C701" s="229" t="str">
        <f>AI86</f>
        <v>x</v>
      </c>
      <c r="D701" s="229">
        <f>(D616/D613)*AI91</f>
        <v>0</v>
      </c>
      <c r="E701" s="231">
        <f>(E624/E613)*SUM(C701:D701)</f>
        <v>0</v>
      </c>
      <c r="F701" s="231">
        <f>(F625/F613)*AI65</f>
        <v>0</v>
      </c>
      <c r="G701" s="229">
        <f>(G626/G613)*AI92</f>
        <v>0</v>
      </c>
      <c r="H701" s="231">
        <f>(H629/H613)*AI61</f>
        <v>0</v>
      </c>
      <c r="I701" s="229">
        <f>(I630/I613)*AI93</f>
        <v>0</v>
      </c>
      <c r="J701" s="229">
        <f>(J631/J613)*AI94</f>
        <v>0</v>
      </c>
      <c r="K701" s="229">
        <f>(K645/K613)*AI90</f>
        <v>0</v>
      </c>
      <c r="L701" s="229" t="e">
        <f>(L648/L613)*AI95</f>
        <v>#DIV/0!</v>
      </c>
      <c r="M701" s="212" t="e">
        <f t="shared" si="0"/>
        <v>#DIV/0!</v>
      </c>
      <c r="N701" s="223" t="s">
        <v>672</v>
      </c>
    </row>
    <row r="702" spans="1:14" s="212" customFormat="1" ht="12.65" customHeight="1" x14ac:dyDescent="0.3">
      <c r="A702" s="224">
        <v>7260</v>
      </c>
      <c r="B702" s="223" t="s">
        <v>148</v>
      </c>
      <c r="C702" s="229" t="str">
        <f>AJ86</f>
        <v>x</v>
      </c>
      <c r="D702" s="229">
        <f>(D616/D613)*AJ91</f>
        <v>0</v>
      </c>
      <c r="E702" s="231">
        <f>(E624/E613)*SUM(C702:D702)</f>
        <v>0</v>
      </c>
      <c r="F702" s="231">
        <f>(F625/F613)*AJ65</f>
        <v>0</v>
      </c>
      <c r="G702" s="229">
        <f>(G626/G613)*AJ92</f>
        <v>0</v>
      </c>
      <c r="H702" s="231">
        <f>(H629/H613)*AJ61</f>
        <v>15174.015655760018</v>
      </c>
      <c r="I702" s="229">
        <f>(I630/I613)*AJ93</f>
        <v>12.153775715802908</v>
      </c>
      <c r="J702" s="229">
        <f>(J631/J613)*AJ94</f>
        <v>400.3026251821085</v>
      </c>
      <c r="K702" s="229">
        <f>(K645/K613)*AJ90</f>
        <v>1666.8264409551798</v>
      </c>
      <c r="L702" s="229" t="e">
        <f>(L648/L613)*AJ95</f>
        <v>#DIV/0!</v>
      </c>
      <c r="M702" s="212" t="e">
        <f t="shared" si="0"/>
        <v>#DIV/0!</v>
      </c>
      <c r="N702" s="223" t="s">
        <v>673</v>
      </c>
    </row>
    <row r="703" spans="1:14" s="212" customFormat="1" ht="12.65" customHeight="1" x14ac:dyDescent="0.3">
      <c r="A703" s="224">
        <v>7310</v>
      </c>
      <c r="B703" s="223" t="s">
        <v>674</v>
      </c>
      <c r="C703" s="229" t="str">
        <f>AK86</f>
        <v>x</v>
      </c>
      <c r="D703" s="229">
        <f>(D616/D613)*AK91</f>
        <v>0</v>
      </c>
      <c r="E703" s="231">
        <f>(E624/E613)*SUM(C703:D703)</f>
        <v>0</v>
      </c>
      <c r="F703" s="231">
        <f>(F625/F613)*AK65</f>
        <v>0</v>
      </c>
      <c r="G703" s="229">
        <f>(G626/G613)*AK92</f>
        <v>0</v>
      </c>
      <c r="H703" s="231">
        <f>(H629/H613)*AK61</f>
        <v>0</v>
      </c>
      <c r="I703" s="229">
        <f>(I630/I613)*AK93</f>
        <v>0</v>
      </c>
      <c r="J703" s="229">
        <f>(J631/J613)*AK94</f>
        <v>0</v>
      </c>
      <c r="K703" s="229">
        <f>(K645/K613)*AK90</f>
        <v>0</v>
      </c>
      <c r="L703" s="229" t="e">
        <f>(L648/L613)*AK95</f>
        <v>#DIV/0!</v>
      </c>
      <c r="M703" s="212" t="e">
        <f t="shared" si="0"/>
        <v>#DIV/0!</v>
      </c>
      <c r="N703" s="223" t="s">
        <v>675</v>
      </c>
    </row>
    <row r="704" spans="1:14" s="212" customFormat="1" ht="12.65" customHeight="1" x14ac:dyDescent="0.3">
      <c r="A704" s="224">
        <v>7320</v>
      </c>
      <c r="B704" s="223" t="s">
        <v>676</v>
      </c>
      <c r="C704" s="229" t="str">
        <f>AL86</f>
        <v>x</v>
      </c>
      <c r="D704" s="229">
        <f>(D616/D613)*AL91</f>
        <v>0</v>
      </c>
      <c r="E704" s="231">
        <f>(E624/E613)*SUM(C704:D704)</f>
        <v>0</v>
      </c>
      <c r="F704" s="231">
        <f>(F625/F613)*AL65</f>
        <v>0</v>
      </c>
      <c r="G704" s="229">
        <f>(G626/G613)*AL92</f>
        <v>0</v>
      </c>
      <c r="H704" s="231">
        <f>(H629/H613)*AL61</f>
        <v>0</v>
      </c>
      <c r="I704" s="229">
        <f>(I630/I613)*AL93</f>
        <v>0</v>
      </c>
      <c r="J704" s="229">
        <f>(J631/J613)*AL94</f>
        <v>0</v>
      </c>
      <c r="K704" s="229">
        <f>(K645/K613)*AL90</f>
        <v>0</v>
      </c>
      <c r="L704" s="229" t="e">
        <f>(L648/L613)*AL95</f>
        <v>#DIV/0!</v>
      </c>
      <c r="M704" s="212" t="e">
        <f t="shared" si="0"/>
        <v>#DIV/0!</v>
      </c>
      <c r="N704" s="223" t="s">
        <v>677</v>
      </c>
    </row>
    <row r="705" spans="1:14" s="212" customFormat="1" ht="12.65" customHeight="1" x14ac:dyDescent="0.3">
      <c r="A705" s="224">
        <v>7330</v>
      </c>
      <c r="B705" s="223" t="s">
        <v>678</v>
      </c>
      <c r="C705" s="229" t="str">
        <f>AM86</f>
        <v>x</v>
      </c>
      <c r="D705" s="229">
        <f>(D616/D613)*AM91</f>
        <v>0</v>
      </c>
      <c r="E705" s="231">
        <f>(E624/E613)*SUM(C705:D705)</f>
        <v>0</v>
      </c>
      <c r="F705" s="231">
        <f>(F625/F613)*AM65</f>
        <v>0</v>
      </c>
      <c r="G705" s="229">
        <f>(G626/G613)*AM92</f>
        <v>0</v>
      </c>
      <c r="H705" s="231">
        <f>(H629/H613)*AM61</f>
        <v>0</v>
      </c>
      <c r="I705" s="229">
        <f>(I630/I613)*AM93</f>
        <v>0</v>
      </c>
      <c r="J705" s="229">
        <f>(J631/J613)*AM94</f>
        <v>0</v>
      </c>
      <c r="K705" s="229">
        <f>(K645/K613)*AM90</f>
        <v>0</v>
      </c>
      <c r="L705" s="229" t="e">
        <f>(L648/L613)*AM95</f>
        <v>#DIV/0!</v>
      </c>
      <c r="M705" s="212" t="e">
        <f t="shared" si="0"/>
        <v>#DIV/0!</v>
      </c>
      <c r="N705" s="223" t="s">
        <v>679</v>
      </c>
    </row>
    <row r="706" spans="1:14" s="212" customFormat="1" ht="12.65" customHeight="1" x14ac:dyDescent="0.3">
      <c r="A706" s="224">
        <v>7340</v>
      </c>
      <c r="B706" s="223" t="s">
        <v>680</v>
      </c>
      <c r="C706" s="229" t="str">
        <f>AN86</f>
        <v>x</v>
      </c>
      <c r="D706" s="229">
        <f>(D616/D613)*AN91</f>
        <v>0</v>
      </c>
      <c r="E706" s="231">
        <f>(E624/E613)*SUM(C706:D706)</f>
        <v>0</v>
      </c>
      <c r="F706" s="231">
        <f>(F625/F613)*AN65</f>
        <v>0</v>
      </c>
      <c r="G706" s="229">
        <f>(G626/G613)*AN92</f>
        <v>0</v>
      </c>
      <c r="H706" s="231">
        <f>(H629/H613)*AN61</f>
        <v>0</v>
      </c>
      <c r="I706" s="229">
        <f>(I630/I613)*AN93</f>
        <v>0</v>
      </c>
      <c r="J706" s="229">
        <f>(J631/J613)*AN94</f>
        <v>0</v>
      </c>
      <c r="K706" s="229">
        <f>(K645/K613)*AN90</f>
        <v>0</v>
      </c>
      <c r="L706" s="229" t="e">
        <f>(L648/L613)*AN95</f>
        <v>#DIV/0!</v>
      </c>
      <c r="M706" s="212" t="e">
        <f t="shared" si="0"/>
        <v>#DIV/0!</v>
      </c>
      <c r="N706" s="223" t="s">
        <v>681</v>
      </c>
    </row>
    <row r="707" spans="1:14" s="212" customFormat="1" ht="12.65" customHeight="1" x14ac:dyDescent="0.3">
      <c r="A707" s="224">
        <v>7350</v>
      </c>
      <c r="B707" s="223" t="s">
        <v>682</v>
      </c>
      <c r="C707" s="229" t="str">
        <f>AO86</f>
        <v>x</v>
      </c>
      <c r="D707" s="229">
        <f>(D616/D613)*AO91</f>
        <v>55799.779341401627</v>
      </c>
      <c r="E707" s="231">
        <f>(E624/E613)*SUM(C707:D707)</f>
        <v>0</v>
      </c>
      <c r="F707" s="231">
        <f>(F625/F613)*AO65</f>
        <v>0</v>
      </c>
      <c r="G707" s="229">
        <f>(G626/G613)*AO92</f>
        <v>0</v>
      </c>
      <c r="H707" s="231">
        <f>(H629/H613)*AO61</f>
        <v>1405.4896553622116</v>
      </c>
      <c r="I707" s="229">
        <f>(I630/I613)*AO93</f>
        <v>60.788355783687301</v>
      </c>
      <c r="J707" s="229">
        <f>(J631/J613)*AO94</f>
        <v>89.723002195989849</v>
      </c>
      <c r="K707" s="229">
        <f>(K645/K613)*AO90</f>
        <v>146.17148421389132</v>
      </c>
      <c r="L707" s="229" t="e">
        <f>(L648/L613)*AO95</f>
        <v>#DIV/0!</v>
      </c>
      <c r="M707" s="212" t="e">
        <f t="shared" si="0"/>
        <v>#DIV/0!</v>
      </c>
      <c r="N707" s="223" t="s">
        <v>683</v>
      </c>
    </row>
    <row r="708" spans="1:14" s="212" customFormat="1" ht="12.65" customHeight="1" x14ac:dyDescent="0.3">
      <c r="A708" s="224">
        <v>7380</v>
      </c>
      <c r="B708" s="223" t="s">
        <v>684</v>
      </c>
      <c r="C708" s="229" t="str">
        <f>AP86</f>
        <v>x</v>
      </c>
      <c r="D708" s="229">
        <f>(D616/D613)*AP91</f>
        <v>0</v>
      </c>
      <c r="E708" s="231">
        <f>(E624/E613)*SUM(C708:D708)</f>
        <v>0</v>
      </c>
      <c r="F708" s="231">
        <f>(F625/F613)*AP65</f>
        <v>0</v>
      </c>
      <c r="G708" s="229">
        <f>(G626/G613)*AP92</f>
        <v>0</v>
      </c>
      <c r="H708" s="231">
        <f>(H629/H613)*AP61</f>
        <v>0</v>
      </c>
      <c r="I708" s="229">
        <f>(I630/I613)*AP93</f>
        <v>0</v>
      </c>
      <c r="J708" s="229">
        <f>(J631/J613)*AP94</f>
        <v>0</v>
      </c>
      <c r="K708" s="229">
        <f>(K645/K613)*AP90</f>
        <v>0</v>
      </c>
      <c r="L708" s="229" t="e">
        <f>(L648/L613)*AP95</f>
        <v>#DIV/0!</v>
      </c>
      <c r="M708" s="212" t="e">
        <f t="shared" si="0"/>
        <v>#DIV/0!</v>
      </c>
      <c r="N708" s="223" t="s">
        <v>685</v>
      </c>
    </row>
    <row r="709" spans="1:14" s="212" customFormat="1" ht="12.65" customHeight="1" x14ac:dyDescent="0.3">
      <c r="A709" s="224">
        <v>7390</v>
      </c>
      <c r="B709" s="223" t="s">
        <v>686</v>
      </c>
      <c r="C709" s="229" t="str">
        <f>AQ86</f>
        <v>x</v>
      </c>
      <c r="D709" s="229">
        <f>(D616/D613)*AQ91</f>
        <v>0</v>
      </c>
      <c r="E709" s="231">
        <f>(E624/E613)*SUM(C709:D709)</f>
        <v>0</v>
      </c>
      <c r="F709" s="231">
        <f>(F625/F613)*AQ65</f>
        <v>0</v>
      </c>
      <c r="G709" s="229">
        <f>(G626/G613)*AQ92</f>
        <v>0</v>
      </c>
      <c r="H709" s="231">
        <f>(H629/H613)*AQ61</f>
        <v>0</v>
      </c>
      <c r="I709" s="229">
        <f>(I630/I613)*AQ93</f>
        <v>0</v>
      </c>
      <c r="J709" s="229">
        <f>(J631/J613)*AQ94</f>
        <v>0</v>
      </c>
      <c r="K709" s="229">
        <f>(K645/K613)*AQ90</f>
        <v>0</v>
      </c>
      <c r="L709" s="229" t="e">
        <f>(L648/L613)*AQ95</f>
        <v>#DIV/0!</v>
      </c>
      <c r="M709" s="212" t="e">
        <f t="shared" si="0"/>
        <v>#DIV/0!</v>
      </c>
      <c r="N709" s="223" t="s">
        <v>687</v>
      </c>
    </row>
    <row r="710" spans="1:14" s="212" customFormat="1" ht="12.65" customHeight="1" x14ac:dyDescent="0.3">
      <c r="A710" s="224">
        <v>7400</v>
      </c>
      <c r="B710" s="223" t="s">
        <v>688</v>
      </c>
      <c r="C710" s="229" t="str">
        <f>AR86</f>
        <v>x</v>
      </c>
      <c r="D710" s="229">
        <f>(D616/D613)*AR91</f>
        <v>0</v>
      </c>
      <c r="E710" s="231">
        <f>(E624/E613)*SUM(C710:D710)</f>
        <v>0</v>
      </c>
      <c r="F710" s="231">
        <f>(F625/F613)*AR65</f>
        <v>0</v>
      </c>
      <c r="G710" s="229">
        <f>(G626/G613)*AR92</f>
        <v>0</v>
      </c>
      <c r="H710" s="231">
        <f>(H629/H613)*AR61</f>
        <v>0</v>
      </c>
      <c r="I710" s="229">
        <f>(I630/I613)*AR93</f>
        <v>0</v>
      </c>
      <c r="J710" s="229">
        <f>(J631/J613)*AR94</f>
        <v>0</v>
      </c>
      <c r="K710" s="229">
        <f>(K645/K613)*AR90</f>
        <v>0</v>
      </c>
      <c r="L710" s="229" t="e">
        <f>(L648/L613)*AR95</f>
        <v>#DIV/0!</v>
      </c>
      <c r="M710" s="212" t="e">
        <f t="shared" si="0"/>
        <v>#DIV/0!</v>
      </c>
      <c r="N710" s="223" t="s">
        <v>689</v>
      </c>
    </row>
    <row r="711" spans="1:14" s="212" customFormat="1" ht="12.65" customHeight="1" x14ac:dyDescent="0.3">
      <c r="A711" s="224">
        <v>7410</v>
      </c>
      <c r="B711" s="223" t="s">
        <v>156</v>
      </c>
      <c r="C711" s="229" t="str">
        <f>AS86</f>
        <v>x</v>
      </c>
      <c r="D711" s="229">
        <f>(D616/D613)*AS91</f>
        <v>0</v>
      </c>
      <c r="E711" s="231">
        <f>(E624/E613)*SUM(C711:D711)</f>
        <v>0</v>
      </c>
      <c r="F711" s="231">
        <f>(F625/F613)*AS65</f>
        <v>0</v>
      </c>
      <c r="G711" s="229">
        <f>(G626/G613)*AS92</f>
        <v>0</v>
      </c>
      <c r="H711" s="231">
        <f>(H629/H613)*AS61</f>
        <v>0</v>
      </c>
      <c r="I711" s="229">
        <f>(I630/I613)*AS93</f>
        <v>0</v>
      </c>
      <c r="J711" s="229">
        <f>(J631/J613)*AS94</f>
        <v>0</v>
      </c>
      <c r="K711" s="229">
        <f>(K645/K613)*AS90</f>
        <v>0</v>
      </c>
      <c r="L711" s="229" t="e">
        <f>(L648/L613)*AS95</f>
        <v>#DIV/0!</v>
      </c>
      <c r="M711" s="212" t="e">
        <f t="shared" si="0"/>
        <v>#DIV/0!</v>
      </c>
      <c r="N711" s="223" t="s">
        <v>690</v>
      </c>
    </row>
    <row r="712" spans="1:14" s="212" customFormat="1" ht="12.65" customHeight="1" x14ac:dyDescent="0.3">
      <c r="A712" s="224">
        <v>7420</v>
      </c>
      <c r="B712" s="223" t="s">
        <v>691</v>
      </c>
      <c r="C712" s="229" t="str">
        <f>AT86</f>
        <v>x</v>
      </c>
      <c r="D712" s="229">
        <f>(D616/D613)*AT91</f>
        <v>0</v>
      </c>
      <c r="E712" s="231">
        <f>(E624/E613)*SUM(C712:D712)</f>
        <v>0</v>
      </c>
      <c r="F712" s="231">
        <f>(F625/F613)*AT65</f>
        <v>0</v>
      </c>
      <c r="G712" s="229">
        <f>(G626/G613)*AT92</f>
        <v>0</v>
      </c>
      <c r="H712" s="231">
        <f>(H629/H613)*AT61</f>
        <v>0</v>
      </c>
      <c r="I712" s="229">
        <f>(I630/I613)*AT93</f>
        <v>0</v>
      </c>
      <c r="J712" s="229">
        <f>(J631/J613)*AT94</f>
        <v>0</v>
      </c>
      <c r="K712" s="229">
        <f>(K645/K613)*AT90</f>
        <v>0</v>
      </c>
      <c r="L712" s="229" t="e">
        <f>(L648/L613)*AT95</f>
        <v>#DIV/0!</v>
      </c>
      <c r="M712" s="212" t="e">
        <f t="shared" si="0"/>
        <v>#DIV/0!</v>
      </c>
      <c r="N712" s="223" t="s">
        <v>692</v>
      </c>
    </row>
    <row r="713" spans="1:14" s="212" customFormat="1" ht="12.65" customHeight="1" x14ac:dyDescent="0.3">
      <c r="A713" s="224">
        <v>7430</v>
      </c>
      <c r="B713" s="223" t="s">
        <v>693</v>
      </c>
      <c r="C713" s="229" t="str">
        <f>AU86</f>
        <v>x</v>
      </c>
      <c r="D713" s="229">
        <f>(D616/D613)*AU91</f>
        <v>0</v>
      </c>
      <c r="E713" s="231">
        <f>(E624/E613)*SUM(C713:D713)</f>
        <v>0</v>
      </c>
      <c r="F713" s="231">
        <f>(F625/F613)*AU65</f>
        <v>0</v>
      </c>
      <c r="G713" s="229">
        <f>(G626/G613)*AU92</f>
        <v>0</v>
      </c>
      <c r="H713" s="231">
        <f>(H629/H613)*AU61</f>
        <v>0</v>
      </c>
      <c r="I713" s="229">
        <f>(I630/I613)*AU93</f>
        <v>0</v>
      </c>
      <c r="J713" s="229">
        <f>(J631/J613)*AU94</f>
        <v>0</v>
      </c>
      <c r="K713" s="229">
        <f>(K645/K613)*AU90</f>
        <v>0</v>
      </c>
      <c r="L713" s="229" t="e">
        <f>(L648/L613)*AU95</f>
        <v>#DIV/0!</v>
      </c>
      <c r="M713" s="212" t="e">
        <f t="shared" si="0"/>
        <v>#DIV/0!</v>
      </c>
      <c r="N713" s="223" t="s">
        <v>694</v>
      </c>
    </row>
    <row r="714" spans="1:14" s="212" customFormat="1" ht="12.65" customHeight="1" x14ac:dyDescent="0.3">
      <c r="A714" s="224">
        <v>7490</v>
      </c>
      <c r="B714" s="223" t="s">
        <v>695</v>
      </c>
      <c r="C714" s="229" t="str">
        <f>AV86</f>
        <v>x</v>
      </c>
      <c r="D714" s="229">
        <f>(D616/D613)*AV91</f>
        <v>0</v>
      </c>
      <c r="E714" s="231">
        <f>(E624/E613)*SUM(C714:D714)</f>
        <v>0</v>
      </c>
      <c r="F714" s="231">
        <f>(F625/F613)*AV65</f>
        <v>0</v>
      </c>
      <c r="G714" s="229">
        <f>(G626/G613)*AV92</f>
        <v>0</v>
      </c>
      <c r="H714" s="231">
        <f>(H629/H613)*AV61</f>
        <v>0</v>
      </c>
      <c r="I714" s="229">
        <f>(I630/I613)*AV93</f>
        <v>0</v>
      </c>
      <c r="J714" s="229">
        <f>(J631/J613)*AV94</f>
        <v>0</v>
      </c>
      <c r="K714" s="229">
        <f>(K645/K613)*AV90</f>
        <v>234.18872202010542</v>
      </c>
      <c r="L714" s="229" t="e">
        <f>(L648/L613)*AV95</f>
        <v>#DIV/0!</v>
      </c>
      <c r="M714" s="212" t="e">
        <f t="shared" si="0"/>
        <v>#DIV/0!</v>
      </c>
      <c r="N714" s="225" t="s">
        <v>696</v>
      </c>
    </row>
    <row r="715" spans="1:14" s="212" customFormat="1" ht="12.65" customHeight="1" x14ac:dyDescent="0.3"/>
    <row r="716" spans="1:14" s="212" customFormat="1" ht="12.65" customHeight="1" x14ac:dyDescent="0.3">
      <c r="C716" s="226">
        <f>SUM(C615:C648)+SUM(C669:C714)</f>
        <v>859494</v>
      </c>
      <c r="D716" s="212">
        <f>SUM(D617:D648)+SUM(D669:D714)</f>
        <v>859493.99999999988</v>
      </c>
      <c r="E716" s="212">
        <f>SUM(E625:E648)+SUM(E669:E714)</f>
        <v>0</v>
      </c>
      <c r="F716" s="212">
        <f>SUM(F626:F649)+SUM(F669:F714)</f>
        <v>0</v>
      </c>
      <c r="G716" s="212">
        <f>SUM(G627:G648)+SUM(G669:G714)</f>
        <v>0</v>
      </c>
      <c r="H716" s="212">
        <f>SUM(H630:H648)+SUM(H669:H714)</f>
        <v>142724.86912468335</v>
      </c>
      <c r="I716" s="212">
        <f>SUM(I631:I648)+SUM(I669:I714)</f>
        <v>4576.2471466839042</v>
      </c>
      <c r="J716" s="212">
        <f>SUM(J632:J648)+SUM(J669:J714)</f>
        <v>4003.0262518210852</v>
      </c>
      <c r="K716" s="212">
        <f>SUM(K669:K714)</f>
        <v>15760.062732545419</v>
      </c>
      <c r="L716" s="212" t="e">
        <f>SUM(L669:L714)</f>
        <v>#DIV/0!</v>
      </c>
      <c r="M716" s="212" t="e">
        <f>SUM(M669:M714)</f>
        <v>#DIV/0!</v>
      </c>
      <c r="N716" s="223" t="s">
        <v>697</v>
      </c>
    </row>
    <row r="717" spans="1:14" s="212" customFormat="1" ht="12.65" customHeight="1" x14ac:dyDescent="0.3">
      <c r="C717" s="226">
        <f>CE86</f>
        <v>1309928</v>
      </c>
      <c r="D717" s="212">
        <f>D616</f>
        <v>859494</v>
      </c>
      <c r="E717" s="212">
        <f>E624</f>
        <v>0</v>
      </c>
      <c r="F717" s="212">
        <f>F625</f>
        <v>0</v>
      </c>
      <c r="G717" s="212">
        <f>G626</f>
        <v>0</v>
      </c>
      <c r="H717" s="212">
        <f>H629</f>
        <v>142724.86912468335</v>
      </c>
      <c r="I717" s="212">
        <f>I630</f>
        <v>4576.2471466839042</v>
      </c>
      <c r="J717" s="212">
        <f>J631</f>
        <v>4003.0262518210852</v>
      </c>
      <c r="K717" s="212">
        <f>K645</f>
        <v>16089.603462188921</v>
      </c>
      <c r="L717" s="212">
        <f>L648</f>
        <v>6358.3454551731675</v>
      </c>
      <c r="M717" s="212">
        <f>C649</f>
        <v>859494</v>
      </c>
      <c r="N717" s="223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FBA-5FA7-4859-8433-8AAB500D2A37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7" width="9" style="11" customWidth="1"/>
    <col min="18" max="16384" width="9" style="11"/>
  </cols>
  <sheetData>
    <row r="1" spans="1:14" customFormat="1" ht="15.75" customHeight="1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35">
      <c r="A2" s="11" t="str">
        <f>MONTH(data!C96) &amp; "-" &amp; DAY(data!C96)</f>
        <v>12-31</v>
      </c>
      <c r="B2" s="211" t="str">
        <f>RIGHT(data!C97, 3)</f>
        <v>107</v>
      </c>
      <c r="C2" s="11" t="str">
        <f>SUBSTITUTE(LEFT(data!C98,49),",","")</f>
        <v>NORTH VALLEY HOSPITAL OCPHD#4</v>
      </c>
      <c r="D2" s="11" t="str">
        <f>LEFT(data!C99, 49)</f>
        <v>203 S WESTERN AVE</v>
      </c>
      <c r="E2" s="11" t="str">
        <f>LEFT(data!C100, 100)</f>
        <v>TONASKET</v>
      </c>
      <c r="F2" s="11" t="str">
        <f>LEFT(data!C101, 2)</f>
        <v>WA</v>
      </c>
      <c r="G2" s="11" t="str">
        <f>LEFT(data!C102, 100)</f>
        <v>98855</v>
      </c>
      <c r="H2" s="11" t="str">
        <f>LEFT(data!C103, 100)</f>
        <v>OKANOGAN</v>
      </c>
      <c r="I2" s="11" t="str">
        <f>LEFT(data!C104, 49)</f>
        <v>John McReynolds</v>
      </c>
      <c r="J2" s="11" t="str">
        <f>LEFT(data!C105, 49)</f>
        <v>Matthew Matthiessen</v>
      </c>
      <c r="K2" s="11" t="str">
        <f>LEFT(data!C107, 49)</f>
        <v>509-486-3119</v>
      </c>
      <c r="L2" s="11" t="str">
        <f>LEFT(data!C108, 49)</f>
        <v>509-486-4637</v>
      </c>
      <c r="M2" s="11" t="str">
        <f>LEFT(data!C109, 49)</f>
        <v>Jeanette Ring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9226-1B28-4B17-903B-04314A2F2F03}">
  <sheetPr codeName="Sheet14"/>
  <dimension ref="A1:CF2"/>
  <sheetViews>
    <sheetView workbookViewId="0">
      <selection activeCell="C48" sqref="C48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9" width="8.6640625" style="9" customWidth="1"/>
    <col min="90" max="16384" width="8.6640625" style="9"/>
  </cols>
  <sheetData>
    <row r="1" spans="1:84" s="10" customFormat="1" ht="12.65" customHeight="1" x14ac:dyDescent="0.3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78" customFormat="1" ht="12.65" customHeight="1" x14ac:dyDescent="0.35">
      <c r="A2" s="12" t="str">
        <f>RIGHT(data!C97,3)</f>
        <v>107</v>
      </c>
      <c r="B2" s="210" t="str">
        <f>RIGHT(data!C96,4)</f>
        <v>2023</v>
      </c>
      <c r="C2" s="12" t="s">
        <v>1155</v>
      </c>
      <c r="D2" s="209">
        <f>ROUND(N(data!C181),0)</f>
        <v>835038</v>
      </c>
      <c r="E2" s="209">
        <f>ROUND(N(data!C182),0)</f>
        <v>201036</v>
      </c>
      <c r="F2" s="209">
        <f>ROUND(N(data!C183),0)</f>
        <v>148672</v>
      </c>
      <c r="G2" s="209">
        <f>ROUND(N(data!C184),0)</f>
        <v>1839774</v>
      </c>
      <c r="H2" s="209">
        <f>ROUND(N(data!C185),0)</f>
        <v>0</v>
      </c>
      <c r="I2" s="209">
        <f>ROUND(N(data!C186),0)</f>
        <v>184413</v>
      </c>
      <c r="J2" s="209">
        <f>ROUND(N(data!C187)+N(data!C188),0)</f>
        <v>251357</v>
      </c>
      <c r="K2" s="209">
        <f>ROUND(N(data!C191),0)</f>
        <v>26069</v>
      </c>
      <c r="L2" s="209">
        <f>ROUND(N(data!C192),0)</f>
        <v>438421</v>
      </c>
      <c r="M2" s="209">
        <f>ROUND(N(data!C195),0)</f>
        <v>259595</v>
      </c>
      <c r="N2" s="209">
        <f>ROUND(N(data!C196),0)</f>
        <v>105172</v>
      </c>
      <c r="O2" s="209">
        <f>ROUND(N(data!C199),0)</f>
        <v>44812</v>
      </c>
      <c r="P2" s="209">
        <f>ROUND(N(data!C200),0)</f>
        <v>115753</v>
      </c>
      <c r="Q2" s="209">
        <f>ROUND(N(data!C201),0)</f>
        <v>-10</v>
      </c>
      <c r="R2" s="209">
        <f>ROUND(N(data!C204),0)</f>
        <v>0</v>
      </c>
      <c r="S2" s="209">
        <f>ROUND(N(data!C205),0)</f>
        <v>218914</v>
      </c>
      <c r="T2" s="209">
        <f>ROUND(N(data!B211),0)</f>
        <v>358540</v>
      </c>
      <c r="U2" s="209">
        <f>ROUND(N(data!C211),0)</f>
        <v>0</v>
      </c>
      <c r="V2" s="209">
        <f>ROUND(N(data!D211),0)</f>
        <v>0</v>
      </c>
      <c r="W2" s="209">
        <f>ROUND(N(data!B212),0)</f>
        <v>719936</v>
      </c>
      <c r="X2" s="209">
        <f>ROUND(N(data!C212),0)</f>
        <v>0</v>
      </c>
      <c r="Y2" s="209">
        <f>ROUND(N(data!D212),0)</f>
        <v>0</v>
      </c>
      <c r="Z2" s="209">
        <f>ROUND(N(data!B213),0)</f>
        <v>14372998</v>
      </c>
      <c r="AA2" s="209">
        <f>ROUND(N(data!C213),0)</f>
        <v>100216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7342811</v>
      </c>
      <c r="AG2" s="209">
        <f>ROUND(N(data!C215),0)</f>
        <v>30697</v>
      </c>
      <c r="AH2" s="209">
        <f>ROUND(N(data!D215),0)</f>
        <v>0</v>
      </c>
      <c r="AI2" s="209">
        <f>ROUND(N(data!B216),0)</f>
        <v>9096175</v>
      </c>
      <c r="AJ2" s="209">
        <f>ROUND(N(data!C216),0)</f>
        <v>293464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1505130</v>
      </c>
      <c r="AS2" s="209">
        <f>ROUND(N(data!C219),0)</f>
        <v>2055518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717609</v>
      </c>
      <c r="AY2" s="209">
        <f>ROUND(N(data!C225),0)</f>
        <v>365</v>
      </c>
      <c r="AZ2" s="209">
        <f>ROUND(N(data!D225),0)</f>
        <v>0</v>
      </c>
      <c r="BA2" s="209">
        <f>ROUND(N(data!B226),0)</f>
        <v>7397336</v>
      </c>
      <c r="BB2" s="209">
        <f>ROUND(N(data!C226),0)</f>
        <v>430106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5498782</v>
      </c>
      <c r="BH2" s="209">
        <f>ROUND(N(data!C228),0)</f>
        <v>168205</v>
      </c>
      <c r="BI2" s="209">
        <f>ROUND(N(data!D228),0)</f>
        <v>0</v>
      </c>
      <c r="BJ2" s="209">
        <f>ROUND(N(data!B229),0)</f>
        <v>7126275</v>
      </c>
      <c r="BK2" s="209">
        <f>ROUND(N(data!C229),0)</f>
        <v>708841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11814099</v>
      </c>
      <c r="BW2" s="209">
        <f>ROUND(N(data!C240),0)</f>
        <v>6977886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466358</v>
      </c>
      <c r="CB2" s="209">
        <f>ROUND(N(data!C247),0)</f>
        <v>964</v>
      </c>
      <c r="CC2" s="209">
        <f>ROUND(N(data!C249),0)</f>
        <v>130423</v>
      </c>
      <c r="CD2" s="209">
        <f>ROUND(N(data!C250),0)</f>
        <v>717801</v>
      </c>
      <c r="CE2" s="209">
        <f>ROUND(N(data!C254)+N(data!C255),0)</f>
        <v>0</v>
      </c>
      <c r="CF2" s="209">
        <f>ROUND(N(data!D237),0)</f>
        <v>923584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02FF-E294-4674-826F-50D622602675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8" customFormat="1" ht="12.65" customHeight="1" x14ac:dyDescent="0.35">
      <c r="A2" s="12" t="str">
        <f>RIGHT(data!C97,3)</f>
        <v>107</v>
      </c>
      <c r="B2" s="12" t="str">
        <f>RIGHT(data!C96,4)</f>
        <v>2023</v>
      </c>
      <c r="C2" s="12" t="s">
        <v>1155</v>
      </c>
      <c r="D2" s="208">
        <f>ROUND(N(data!C127),0)</f>
        <v>265</v>
      </c>
      <c r="E2" s="208">
        <f>ROUND(N(data!C128),0)</f>
        <v>63</v>
      </c>
      <c r="F2" s="208">
        <f>ROUND(N(data!C129),0)</f>
        <v>0</v>
      </c>
      <c r="G2" s="208">
        <f>ROUND(N(data!C130),0)</f>
        <v>0</v>
      </c>
      <c r="H2" s="208">
        <f>ROUND(N(data!D127),0)</f>
        <v>971</v>
      </c>
      <c r="I2" s="208">
        <f>ROUND(N(data!D128),0)</f>
        <v>14517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18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42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67</v>
      </c>
      <c r="X2" s="208">
        <f>ROUND(N(data!C145),0)</f>
        <v>0</v>
      </c>
      <c r="Y2" s="208">
        <f>ROUND(N(data!B154),0)</f>
        <v>180</v>
      </c>
      <c r="Z2" s="208">
        <f>ROUND(N(data!B155),0)</f>
        <v>439</v>
      </c>
      <c r="AA2" s="208">
        <f>ROUND(N(data!B156),0)</f>
        <v>0</v>
      </c>
      <c r="AB2" s="208">
        <f>ROUND(N(data!B157),0)</f>
        <v>2253689</v>
      </c>
      <c r="AC2" s="208">
        <f>ROUND(N(data!B158),0)</f>
        <v>18194273</v>
      </c>
      <c r="AD2" s="208">
        <f>ROUND(N(data!C154),0)</f>
        <v>3</v>
      </c>
      <c r="AE2" s="208">
        <f>ROUND(N(data!C155),0)</f>
        <v>7</v>
      </c>
      <c r="AF2" s="208">
        <f>ROUND(N(data!C156),0)</f>
        <v>0</v>
      </c>
      <c r="AG2" s="208">
        <f>ROUND(N(data!C157),0)</f>
        <v>35936</v>
      </c>
      <c r="AH2" s="208">
        <f>ROUND(N(data!C158),0)</f>
        <v>290114</v>
      </c>
      <c r="AI2" s="208">
        <f>ROUND(N(data!D154),0)</f>
        <v>82</v>
      </c>
      <c r="AJ2" s="208">
        <f>ROUND(N(data!D155),0)</f>
        <v>525</v>
      </c>
      <c r="AK2" s="208">
        <f>ROUND(N(data!D156),0)</f>
        <v>0</v>
      </c>
      <c r="AL2" s="208">
        <f>ROUND(N(data!D157),0)</f>
        <v>2695186</v>
      </c>
      <c r="AM2" s="208">
        <f>ROUND(N(data!D158),0)</f>
        <v>21758527</v>
      </c>
      <c r="AN2" s="208">
        <f>ROUND(N(data!B160),0)</f>
        <v>47</v>
      </c>
      <c r="AO2" s="208">
        <f>ROUND(N(data!B161),0)</f>
        <v>1497</v>
      </c>
      <c r="AP2" s="208">
        <f>ROUND(N(data!B162),0)</f>
        <v>0</v>
      </c>
      <c r="AQ2" s="208">
        <f>ROUND(N(data!B163),0)</f>
        <v>2191804</v>
      </c>
      <c r="AR2" s="208">
        <f>ROUND(N(data!B164),0)</f>
        <v>0</v>
      </c>
      <c r="AS2" s="208">
        <f>ROUND(N(data!C160),0)</f>
        <v>5</v>
      </c>
      <c r="AT2" s="208">
        <f>ROUND(N(data!C161),0)</f>
        <v>9824</v>
      </c>
      <c r="AU2" s="208">
        <f>ROUND(N(data!C162),0)</f>
        <v>0</v>
      </c>
      <c r="AV2" s="208">
        <f>ROUND(N(data!C163),0)</f>
        <v>2922372</v>
      </c>
      <c r="AW2" s="208">
        <f>ROUND(N(data!C164),0)</f>
        <v>0</v>
      </c>
      <c r="AX2" s="208">
        <f>ROUND(N(data!D160),0)</f>
        <v>11</v>
      </c>
      <c r="AY2" s="208">
        <f>ROUND(N(data!D161),0)</f>
        <v>3196</v>
      </c>
      <c r="AZ2" s="208">
        <f>ROUND(N(data!D162),0)</f>
        <v>0</v>
      </c>
      <c r="BA2" s="208">
        <f>ROUND(N(data!D163),0)</f>
        <v>1690254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4991379</v>
      </c>
      <c r="BS2" s="208">
        <f>ROUND(N(data!C173),0)</f>
        <v>1656779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B53D-114F-48EE-9C1D-26759C822D38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6" t="s">
        <v>1321</v>
      </c>
      <c r="CR1" s="206" t="s">
        <v>1322</v>
      </c>
      <c r="CS1" s="206" t="s">
        <v>1323</v>
      </c>
      <c r="CT1" s="206" t="s">
        <v>1324</v>
      </c>
      <c r="CU1" s="206" t="s">
        <v>1325</v>
      </c>
      <c r="CV1" s="206" t="s">
        <v>1326</v>
      </c>
      <c r="CW1" s="206" t="s">
        <v>1327</v>
      </c>
      <c r="CX1" s="206" t="s">
        <v>1328</v>
      </c>
      <c r="CY1" s="206" t="s">
        <v>1329</v>
      </c>
      <c r="CZ1" s="206" t="s">
        <v>1330</v>
      </c>
      <c r="DA1" s="206" t="s">
        <v>1331</v>
      </c>
      <c r="DB1" s="206" t="s">
        <v>1332</v>
      </c>
      <c r="DC1" s="206" t="s">
        <v>1333</v>
      </c>
      <c r="DD1" s="206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8" customFormat="1" ht="12.65" customHeight="1" x14ac:dyDescent="0.35">
      <c r="A2" s="209" t="str">
        <f>RIGHT(data!C97,3)</f>
        <v>107</v>
      </c>
      <c r="B2" s="210" t="str">
        <f>RIGHT(data!C96,4)</f>
        <v>2023</v>
      </c>
      <c r="C2" s="12" t="s">
        <v>1155</v>
      </c>
      <c r="D2" s="208">
        <f>ROUND(N(data!C181),0)</f>
        <v>835038</v>
      </c>
      <c r="E2" s="208">
        <f>ROUND(N(data!C267),0)</f>
        <v>0</v>
      </c>
      <c r="F2" s="208">
        <f>ROUND(N(data!C268),0)</f>
        <v>9042838</v>
      </c>
      <c r="G2" s="208">
        <f>ROUND(N(data!C269),0)</f>
        <v>4848276</v>
      </c>
      <c r="H2" s="208">
        <f>ROUND(N(data!C270),0)</f>
        <v>201383</v>
      </c>
      <c r="I2" s="208">
        <f>ROUND(N(data!C271),0)</f>
        <v>621732</v>
      </c>
      <c r="J2" s="208">
        <f>ROUND(N(data!C272),0)</f>
        <v>0</v>
      </c>
      <c r="K2" s="208">
        <f>ROUND(N(data!C273),0)</f>
        <v>584543</v>
      </c>
      <c r="L2" s="208">
        <f>ROUND(N(data!C274),0)</f>
        <v>487197</v>
      </c>
      <c r="M2" s="208">
        <f>ROUND(N(data!C275),0)</f>
        <v>0</v>
      </c>
      <c r="N2" s="208">
        <f>ROUND(N(data!C278),0)</f>
        <v>1808657</v>
      </c>
      <c r="O2" s="208">
        <f>ROUND(N(data!C279),0)</f>
        <v>0</v>
      </c>
      <c r="P2" s="208">
        <f>ROUND(N(data!C280),0)</f>
        <v>0</v>
      </c>
      <c r="Q2" s="208">
        <f>ROUND(N(data!C283),0)</f>
        <v>358540</v>
      </c>
      <c r="R2" s="208">
        <f>ROUND(N(data!C284),0)</f>
        <v>719936</v>
      </c>
      <c r="S2" s="208">
        <f>ROUND(N(data!C285),0)</f>
        <v>14473214</v>
      </c>
      <c r="T2" s="208">
        <f>ROUND(N(data!C286),0)</f>
        <v>0</v>
      </c>
      <c r="U2" s="208">
        <f>ROUND(N(data!C287),0)</f>
        <v>7373508</v>
      </c>
      <c r="V2" s="208">
        <f>ROUND(N(data!C288),0)</f>
        <v>9389639</v>
      </c>
      <c r="W2" s="208">
        <f>ROUND(N(data!C289),0)</f>
        <v>0</v>
      </c>
      <c r="X2" s="208">
        <f>ROUND(N(data!C290),0)</f>
        <v>3560648</v>
      </c>
      <c r="Y2" s="208">
        <f>ROUND(N(data!C291),0)</f>
        <v>0</v>
      </c>
      <c r="Z2" s="208">
        <f>ROUND(N(data!C292),0)</f>
        <v>22047519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68054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4164837</v>
      </c>
      <c r="AK2" s="208">
        <f>ROUND(N(data!C316),0)</f>
        <v>3460424</v>
      </c>
      <c r="AL2" s="208">
        <f>ROUND(N(data!C317),0)</f>
        <v>127415</v>
      </c>
      <c r="AM2" s="208">
        <f>ROUND(N(data!C318),0)</f>
        <v>292336</v>
      </c>
      <c r="AN2" s="208">
        <f>ROUND(N(data!C319),0)</f>
        <v>599194</v>
      </c>
      <c r="AO2" s="208">
        <f>ROUND(N(data!C320),0)</f>
        <v>0</v>
      </c>
      <c r="AP2" s="208">
        <f>ROUND(N(data!C321),0)</f>
        <v>0</v>
      </c>
      <c r="AQ2" s="208">
        <f>ROUND(N(data!C322),0)</f>
        <v>3157</v>
      </c>
      <c r="AR2" s="208">
        <f>ROUND(N(data!C323),0)</f>
        <v>1402225</v>
      </c>
      <c r="AS2" s="208">
        <f>ROUND(N(data!C326),0)</f>
        <v>0</v>
      </c>
      <c r="AT2" s="208">
        <f>ROUND(N(data!C327),0)</f>
        <v>0</v>
      </c>
      <c r="AU2" s="208">
        <f>ROUND(N(data!C328),0)</f>
        <v>670188</v>
      </c>
      <c r="AV2" s="208">
        <f>ROUND(N(data!C331),0)</f>
        <v>0</v>
      </c>
      <c r="AW2" s="208">
        <f>ROUND(N(data!C332),0)</f>
        <v>0</v>
      </c>
      <c r="AX2" s="208">
        <f>ROUND(N(data!C333),0)</f>
        <v>6748294</v>
      </c>
      <c r="AY2" s="208">
        <f>ROUND(N(data!C334),0)</f>
        <v>305894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14130173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185.18</v>
      </c>
      <c r="BL2" s="208">
        <f>ROUND(N(data!C358),0)</f>
        <v>11789240</v>
      </c>
      <c r="BM2" s="208">
        <f>ROUND(N(data!C359),0)</f>
        <v>40242768</v>
      </c>
      <c r="BN2" s="208">
        <f>ROUND(N(data!C363),0)</f>
        <v>19850738</v>
      </c>
      <c r="BO2" s="208">
        <f>ROUND(N(data!C364),0)</f>
        <v>848224</v>
      </c>
      <c r="BP2" s="208">
        <f>ROUND(N(data!C365),0)</f>
        <v>0</v>
      </c>
      <c r="BQ2" s="208">
        <f>ROUND(N(data!D381),0)</f>
        <v>1098236</v>
      </c>
      <c r="BR2" s="208">
        <f>ROUND(N(data!C370),0)</f>
        <v>50461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67098</v>
      </c>
      <c r="CA2" s="208">
        <f>ROUND(N(data!C379),0)</f>
        <v>128090</v>
      </c>
      <c r="CB2" s="208">
        <f>ROUND(N(data!C380),0)</f>
        <v>852587</v>
      </c>
      <c r="CC2" s="208">
        <f>ROUND(N(data!C382),0)</f>
        <v>1317121</v>
      </c>
      <c r="CD2" s="208">
        <f>ROUND(N(data!C389),0)</f>
        <v>15532916</v>
      </c>
      <c r="CE2" s="208">
        <f>ROUND(N(data!C390),0)</f>
        <v>3460290</v>
      </c>
      <c r="CF2" s="208">
        <f>ROUND(N(data!C391),0)</f>
        <v>563274</v>
      </c>
      <c r="CG2" s="208">
        <f>ROUND(N(data!C392),0)</f>
        <v>3749663</v>
      </c>
      <c r="CH2" s="208">
        <f>ROUND(N(data!C393),0)</f>
        <v>458624</v>
      </c>
      <c r="CI2" s="208">
        <f>ROUND(N(data!C394),0)</f>
        <v>7874508</v>
      </c>
      <c r="CJ2" s="208">
        <f>ROUND(N(data!C395),0)</f>
        <v>1307512</v>
      </c>
      <c r="CK2" s="208">
        <f>ROUND(N(data!C396),0)</f>
        <v>464490</v>
      </c>
      <c r="CL2" s="208">
        <f>ROUND(N(data!C397),0)</f>
        <v>364767</v>
      </c>
      <c r="CM2" s="208">
        <f>ROUND(N(data!C398),0)</f>
        <v>160555</v>
      </c>
      <c r="CN2" s="208">
        <f>ROUND(N(data!C399),0)</f>
        <v>218914</v>
      </c>
      <c r="CO2" s="208">
        <f>ROUND(N(data!C362),0)</f>
        <v>993584</v>
      </c>
      <c r="CP2" s="208">
        <f>ROUND(N(data!D415),0)</f>
        <v>939830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482025</v>
      </c>
      <c r="CY2" s="61">
        <f>ROUND(N(data!C409),0)</f>
        <v>0</v>
      </c>
      <c r="CZ2" s="61">
        <f>ROUND(N(data!C410),0)</f>
        <v>97336</v>
      </c>
      <c r="DA2" s="61">
        <f>ROUND(N(data!C411),0)</f>
        <v>78585</v>
      </c>
      <c r="DB2" s="61">
        <f>ROUND(N(data!C412),0)</f>
        <v>0</v>
      </c>
      <c r="DC2" s="61">
        <f>ROUND(N(data!C413),0)</f>
        <v>0</v>
      </c>
      <c r="DD2" s="61">
        <f>ROUND(N(data!C414),0)</f>
        <v>281884</v>
      </c>
      <c r="DE2" s="61">
        <f>ROUND(N(data!C419),0)</f>
        <v>0</v>
      </c>
      <c r="DF2" s="208">
        <f>ROUND(N(data!D420),0)</f>
        <v>382707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F114-4E65-4E39-A6C8-B99E1CFD400F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107</v>
      </c>
      <c r="B2" s="210" t="str">
        <f>RIGHT(data!$C$96,4)</f>
        <v>2023</v>
      </c>
      <c r="C2" s="12" t="str">
        <f>data!C$55</f>
        <v>6010</v>
      </c>
      <c r="D2" s="12" t="s">
        <v>1155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107</v>
      </c>
      <c r="B3" s="210" t="str">
        <f>RIGHT(data!$C$96,4)</f>
        <v>2023</v>
      </c>
      <c r="C3" s="12" t="str">
        <f>data!D$55</f>
        <v>6030</v>
      </c>
      <c r="D3" s="12" t="s">
        <v>1155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107</v>
      </c>
      <c r="B4" s="210" t="str">
        <f>RIGHT(data!$C$96,4)</f>
        <v>2023</v>
      </c>
      <c r="C4" s="12" t="str">
        <f>data!E$55</f>
        <v>6070</v>
      </c>
      <c r="D4" s="12" t="s">
        <v>1155</v>
      </c>
      <c r="E4" s="208">
        <f>ROUND(N(data!E59), 0)</f>
        <v>971</v>
      </c>
      <c r="F4" s="316">
        <f>ROUND(N(data!E60), 2)</f>
        <v>8.08</v>
      </c>
      <c r="G4" s="208">
        <f>ROUND(N(data!E61), 0)</f>
        <v>651417</v>
      </c>
      <c r="H4" s="208">
        <f>ROUND(N(data!E62), 0)</f>
        <v>145117</v>
      </c>
      <c r="I4" s="208">
        <f>ROUND(N(data!E63), 0)</f>
        <v>0</v>
      </c>
      <c r="J4" s="208">
        <f>ROUND(N(data!E64), 0)</f>
        <v>20430</v>
      </c>
      <c r="K4" s="208">
        <f>ROUND(N(data!E65), 0)</f>
        <v>0</v>
      </c>
      <c r="L4" s="208">
        <f>ROUND(N(data!E66), 0)</f>
        <v>410426</v>
      </c>
      <c r="M4" s="208">
        <f>ROUND(N(data!E67), 0)</f>
        <v>34754</v>
      </c>
      <c r="N4" s="208">
        <f>ROUND(N(data!E68), 0)</f>
        <v>7247</v>
      </c>
      <c r="O4" s="208">
        <f>ROUND(N(data!E69), 0)</f>
        <v>18134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6871</v>
      </c>
      <c r="X4" s="208">
        <f>ROUND(N(data!E78), 0)</f>
        <v>0</v>
      </c>
      <c r="Y4" s="208">
        <f>ROUND(N(data!E79), 0)</f>
        <v>0</v>
      </c>
      <c r="Z4" s="208">
        <f>ROUND(N(data!E80), 0)</f>
        <v>9702</v>
      </c>
      <c r="AA4" s="208">
        <f>ROUND(N(data!E81), 0)</f>
        <v>0</v>
      </c>
      <c r="AB4" s="208">
        <f>ROUND(N(data!E82), 0)</f>
        <v>0</v>
      </c>
      <c r="AC4" s="208">
        <f>ROUND(N(data!E83), 0)</f>
        <v>1561</v>
      </c>
      <c r="AD4" s="208">
        <f>ROUND(N(data!E84), 0)</f>
        <v>0</v>
      </c>
      <c r="AE4" s="208">
        <f>ROUND(N(data!E89), 0)</f>
        <v>1977160</v>
      </c>
      <c r="AF4" s="208">
        <f>ROUND(N(data!E87), 0)</f>
        <v>1977160</v>
      </c>
      <c r="AG4" s="208">
        <f>ROUND(N(data!E90), 0)</f>
        <v>2450</v>
      </c>
      <c r="AH4" s="208">
        <f>ROUND(N(data!E91), 0)</f>
        <v>3382</v>
      </c>
      <c r="AI4" s="208">
        <f>ROUND(N(data!E92), 0)</f>
        <v>904</v>
      </c>
      <c r="AJ4" s="208">
        <f>ROUND(N(data!E93), 0)</f>
        <v>15804</v>
      </c>
      <c r="AK4" s="316">
        <f>ROUND(N(data!E94), 2)</f>
        <v>7.68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107</v>
      </c>
      <c r="B5" s="210" t="str">
        <f>RIGHT(data!$C$96,4)</f>
        <v>2023</v>
      </c>
      <c r="C5" s="12" t="str">
        <f>data!F$55</f>
        <v>6100</v>
      </c>
      <c r="D5" s="12" t="s">
        <v>1155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107</v>
      </c>
      <c r="B6" s="210" t="str">
        <f>RIGHT(data!$C$96,4)</f>
        <v>2023</v>
      </c>
      <c r="C6" s="12" t="str">
        <f>data!G$55</f>
        <v>6120</v>
      </c>
      <c r="D6" s="12" t="s">
        <v>1155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107</v>
      </c>
      <c r="B7" s="210" t="str">
        <f>RIGHT(data!$C$96,4)</f>
        <v>2023</v>
      </c>
      <c r="C7" s="12" t="str">
        <f>data!H$55</f>
        <v>6140</v>
      </c>
      <c r="D7" s="12" t="s">
        <v>1155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107</v>
      </c>
      <c r="B8" s="210" t="str">
        <f>RIGHT(data!$C$96,4)</f>
        <v>2023</v>
      </c>
      <c r="C8" s="12" t="str">
        <f>data!I$55</f>
        <v>6150</v>
      </c>
      <c r="D8" s="12" t="s">
        <v>1155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107</v>
      </c>
      <c r="B9" s="210" t="str">
        <f>RIGHT(data!$C$96,4)</f>
        <v>2023</v>
      </c>
      <c r="C9" s="12" t="str">
        <f>data!J$55</f>
        <v>6170</v>
      </c>
      <c r="D9" s="12" t="s">
        <v>1155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107</v>
      </c>
      <c r="B10" s="210" t="str">
        <f>RIGHT(data!$C$96,4)</f>
        <v>2023</v>
      </c>
      <c r="C10" s="12" t="str">
        <f>data!K$55</f>
        <v>6200</v>
      </c>
      <c r="D10" s="12" t="s">
        <v>1155</v>
      </c>
      <c r="E10" s="208">
        <f>ROUND(N(data!K59), 0)</f>
        <v>12951</v>
      </c>
      <c r="F10" s="316">
        <f>ROUND(N(data!K60), 2)</f>
        <v>27.48</v>
      </c>
      <c r="G10" s="208">
        <f>ROUND(N(data!K61), 0)</f>
        <v>2067373</v>
      </c>
      <c r="H10" s="208">
        <f>ROUND(N(data!K62), 0)</f>
        <v>460552</v>
      </c>
      <c r="I10" s="208">
        <f>ROUND(N(data!K63), 0)</f>
        <v>29715</v>
      </c>
      <c r="J10" s="208">
        <f>ROUND(N(data!K64), 0)</f>
        <v>128675</v>
      </c>
      <c r="K10" s="208">
        <f>ROUND(N(data!K65), 0)</f>
        <v>30763</v>
      </c>
      <c r="L10" s="208">
        <f>ROUND(N(data!K66), 0)</f>
        <v>613230</v>
      </c>
      <c r="M10" s="208">
        <f>ROUND(N(data!K67), 0)</f>
        <v>239944</v>
      </c>
      <c r="N10" s="208">
        <f>ROUND(N(data!K68), 0)</f>
        <v>0</v>
      </c>
      <c r="O10" s="208">
        <f>ROUND(N(data!K69), 0)</f>
        <v>34743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1831</v>
      </c>
      <c r="X10" s="208">
        <f>ROUND(N(data!K78), 0)</f>
        <v>0</v>
      </c>
      <c r="Y10" s="208">
        <f>ROUND(N(data!K79), 0)</f>
        <v>0</v>
      </c>
      <c r="Z10" s="208">
        <f>ROUND(N(data!K80), 0)</f>
        <v>2025</v>
      </c>
      <c r="AA10" s="208">
        <f>ROUND(N(data!K81), 0)</f>
        <v>0</v>
      </c>
      <c r="AB10" s="208">
        <f>ROUND(N(data!K82), 0)</f>
        <v>0</v>
      </c>
      <c r="AC10" s="208">
        <f>ROUND(N(data!K83), 0)</f>
        <v>30887</v>
      </c>
      <c r="AD10" s="208">
        <f>ROUND(N(data!K84), 0)</f>
        <v>17465</v>
      </c>
      <c r="AE10" s="208">
        <f>ROUND(N(data!K89), 0)</f>
        <v>4477156</v>
      </c>
      <c r="AF10" s="208">
        <f>ROUND(N(data!K87), 0)</f>
        <v>4477156</v>
      </c>
      <c r="AG10" s="208">
        <f>ROUND(N(data!K90), 0)</f>
        <v>16915</v>
      </c>
      <c r="AH10" s="208">
        <f>ROUND(N(data!K91), 0)</f>
        <v>36593</v>
      </c>
      <c r="AI10" s="208">
        <f>ROUND(N(data!K92), 0)</f>
        <v>0</v>
      </c>
      <c r="AJ10" s="208">
        <f>ROUND(N(data!K93), 0)</f>
        <v>145131</v>
      </c>
      <c r="AK10" s="316">
        <f>ROUND(N(data!K94), 2)</f>
        <v>23.55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107</v>
      </c>
      <c r="B11" s="210" t="str">
        <f>RIGHT(data!$C$96,4)</f>
        <v>2023</v>
      </c>
      <c r="C11" s="12" t="str">
        <f>data!L$55</f>
        <v>6210</v>
      </c>
      <c r="D11" s="12" t="s">
        <v>1155</v>
      </c>
      <c r="E11" s="208">
        <f>ROUND(N(data!L59), 0)</f>
        <v>1566</v>
      </c>
      <c r="F11" s="316">
        <f>ROUND(N(data!L60), 2)</f>
        <v>13.02</v>
      </c>
      <c r="G11" s="208">
        <f>ROUND(N(data!L61), 0)</f>
        <v>1050586</v>
      </c>
      <c r="H11" s="208">
        <f>ROUND(N(data!L62), 0)</f>
        <v>234041</v>
      </c>
      <c r="I11" s="208">
        <f>ROUND(N(data!L63), 0)</f>
        <v>0</v>
      </c>
      <c r="J11" s="208">
        <f>ROUND(N(data!L64), 0)</f>
        <v>32949</v>
      </c>
      <c r="K11" s="208">
        <f>ROUND(N(data!L65), 0)</f>
        <v>0</v>
      </c>
      <c r="L11" s="208">
        <f>ROUND(N(data!L66), 0)</f>
        <v>661916</v>
      </c>
      <c r="M11" s="208">
        <f>ROUND(N(data!L67), 0)</f>
        <v>56046</v>
      </c>
      <c r="N11" s="208">
        <f>ROUND(N(data!L68), 0)</f>
        <v>11688</v>
      </c>
      <c r="O11" s="208">
        <f>ROUND(N(data!L69), 0)</f>
        <v>29246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11081</v>
      </c>
      <c r="X11" s="208">
        <f>ROUND(N(data!L78), 0)</f>
        <v>0</v>
      </c>
      <c r="Y11" s="208">
        <f>ROUND(N(data!L79), 0)</f>
        <v>0</v>
      </c>
      <c r="Z11" s="208">
        <f>ROUND(N(data!L80), 0)</f>
        <v>15647</v>
      </c>
      <c r="AA11" s="208">
        <f>ROUND(N(data!L81), 0)</f>
        <v>0</v>
      </c>
      <c r="AB11" s="208">
        <f>ROUND(N(data!L82), 0)</f>
        <v>0</v>
      </c>
      <c r="AC11" s="208">
        <f>ROUND(N(data!L83), 0)</f>
        <v>2518</v>
      </c>
      <c r="AD11" s="208">
        <f>ROUND(N(data!L84), 0)</f>
        <v>0</v>
      </c>
      <c r="AE11" s="208">
        <f>ROUND(N(data!L89), 0)</f>
        <v>2327274</v>
      </c>
      <c r="AF11" s="208">
        <f>ROUND(N(data!L87), 0)</f>
        <v>2327274</v>
      </c>
      <c r="AG11" s="208">
        <f>ROUND(N(data!L90), 0)</f>
        <v>3951</v>
      </c>
      <c r="AH11" s="208">
        <f>ROUND(N(data!L91), 0)</f>
        <v>4050</v>
      </c>
      <c r="AI11" s="208">
        <f>ROUND(N(data!L92), 0)</f>
        <v>1458</v>
      </c>
      <c r="AJ11" s="208">
        <f>ROUND(N(data!L93), 0)</f>
        <v>25488</v>
      </c>
      <c r="AK11" s="316">
        <f>ROUND(N(data!L94), 2)</f>
        <v>12.39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107</v>
      </c>
      <c r="B12" s="210" t="str">
        <f>RIGHT(data!$C$96,4)</f>
        <v>2023</v>
      </c>
      <c r="C12" s="12" t="str">
        <f>data!M$55</f>
        <v>6330</v>
      </c>
      <c r="D12" s="12" t="s">
        <v>1155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107</v>
      </c>
      <c r="B13" s="210" t="str">
        <f>RIGHT(data!$C$96,4)</f>
        <v>2023</v>
      </c>
      <c r="C13" s="12" t="str">
        <f>data!N$55</f>
        <v>6400</v>
      </c>
      <c r="D13" s="12" t="s">
        <v>1155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107</v>
      </c>
      <c r="B14" s="210" t="str">
        <f>RIGHT(data!$C$96,4)</f>
        <v>2023</v>
      </c>
      <c r="C14" s="12" t="str">
        <f>data!O$55</f>
        <v>7010</v>
      </c>
      <c r="D14" s="12" t="s">
        <v>1155</v>
      </c>
      <c r="E14" s="208">
        <f>ROUND(N(data!O59), 0)</f>
        <v>0</v>
      </c>
      <c r="F14" s="316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107</v>
      </c>
      <c r="B15" s="210" t="str">
        <f>RIGHT(data!$C$96,4)</f>
        <v>2023</v>
      </c>
      <c r="C15" s="12" t="str">
        <f>data!P$55</f>
        <v>7020</v>
      </c>
      <c r="D15" s="12" t="s">
        <v>1155</v>
      </c>
      <c r="E15" s="208">
        <f>ROUND(N(data!P59), 0)</f>
        <v>6031</v>
      </c>
      <c r="F15" s="316">
        <f>ROUND(N(data!P60), 2)</f>
        <v>3.32</v>
      </c>
      <c r="G15" s="208">
        <f>ROUND(N(data!P61), 0)</f>
        <v>582796</v>
      </c>
      <c r="H15" s="208">
        <f>ROUND(N(data!P62), 0)</f>
        <v>129830</v>
      </c>
      <c r="I15" s="208">
        <f>ROUND(N(data!P63), 0)</f>
        <v>0</v>
      </c>
      <c r="J15" s="208">
        <f>ROUND(N(data!P64), 0)</f>
        <v>16349</v>
      </c>
      <c r="K15" s="208">
        <f>ROUND(N(data!P65), 0)</f>
        <v>0</v>
      </c>
      <c r="L15" s="208">
        <f>ROUND(N(data!P66), 0)</f>
        <v>20447</v>
      </c>
      <c r="M15" s="208">
        <f>ROUND(N(data!P67), 0)</f>
        <v>38541</v>
      </c>
      <c r="N15" s="208">
        <f>ROUND(N(data!P68), 0)</f>
        <v>0</v>
      </c>
      <c r="O15" s="208">
        <f>ROUND(N(data!P69), 0)</f>
        <v>24818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21385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3433</v>
      </c>
      <c r="AD15" s="208">
        <f>ROUND(N(data!P84), 0)</f>
        <v>0</v>
      </c>
      <c r="AE15" s="208">
        <f>ROUND(N(data!P89), 0)</f>
        <v>1111901</v>
      </c>
      <c r="AF15" s="208">
        <f>ROUND(N(data!P87), 0)</f>
        <v>15547</v>
      </c>
      <c r="AG15" s="208">
        <f>ROUND(N(data!P90), 0)</f>
        <v>2717</v>
      </c>
      <c r="AH15" s="208">
        <f>ROUND(N(data!P91), 0)</f>
        <v>0</v>
      </c>
      <c r="AI15" s="208">
        <f>ROUND(N(data!P92), 0)</f>
        <v>299</v>
      </c>
      <c r="AJ15" s="208">
        <f>ROUND(N(data!P93), 0)</f>
        <v>3731</v>
      </c>
      <c r="AK15" s="316">
        <f>ROUND(N(data!P94), 2)</f>
        <v>2.38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107</v>
      </c>
      <c r="B16" s="210" t="str">
        <f>RIGHT(data!$C$96,4)</f>
        <v>2023</v>
      </c>
      <c r="C16" s="12" t="str">
        <f>data!Q$55</f>
        <v>7030</v>
      </c>
      <c r="D16" s="12" t="s">
        <v>1155</v>
      </c>
      <c r="E16" s="208">
        <f>ROUND(N(data!Q59), 0)</f>
        <v>1721</v>
      </c>
      <c r="F16" s="316">
        <f>ROUND(N(data!Q60), 2)</f>
        <v>0.08</v>
      </c>
      <c r="G16" s="208">
        <f>ROUND(N(data!Q61), 0)</f>
        <v>9326</v>
      </c>
      <c r="H16" s="208">
        <f>ROUND(N(data!Q62), 0)</f>
        <v>2078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130</v>
      </c>
      <c r="M16" s="208">
        <f>ROUND(N(data!Q67), 0)</f>
        <v>10157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32862</v>
      </c>
      <c r="AF16" s="208">
        <f>ROUND(N(data!Q87), 0)</f>
        <v>0</v>
      </c>
      <c r="AG16" s="208">
        <f>ROUND(N(data!Q90), 0)</f>
        <v>716</v>
      </c>
      <c r="AH16" s="208">
        <f>ROUND(N(data!Q91), 0)</f>
        <v>0</v>
      </c>
      <c r="AI16" s="208">
        <f>ROUND(N(data!Q92), 0)</f>
        <v>56</v>
      </c>
      <c r="AJ16" s="208">
        <f>ROUND(N(data!Q93), 0)</f>
        <v>0</v>
      </c>
      <c r="AK16" s="316">
        <f>ROUND(N(data!Q94), 2)</f>
        <v>0.08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107</v>
      </c>
      <c r="B17" s="210" t="str">
        <f>RIGHT(data!$C$96,4)</f>
        <v>2023</v>
      </c>
      <c r="C17" s="12" t="str">
        <f>data!R$55</f>
        <v>7040</v>
      </c>
      <c r="D17" s="12" t="s">
        <v>1155</v>
      </c>
      <c r="E17" s="208">
        <f>ROUND(N(data!R59), 0)</f>
        <v>1169</v>
      </c>
      <c r="F17" s="316">
        <f>ROUND(N(data!R60), 2)</f>
        <v>0.19</v>
      </c>
      <c r="G17" s="208">
        <f>ROUND(N(data!R61), 0)</f>
        <v>74972</v>
      </c>
      <c r="H17" s="208">
        <f>ROUND(N(data!R62), 0)</f>
        <v>16702</v>
      </c>
      <c r="I17" s="208">
        <f>ROUND(N(data!R63), 0)</f>
        <v>0</v>
      </c>
      <c r="J17" s="208">
        <f>ROUND(N(data!R64), 0)</f>
        <v>455</v>
      </c>
      <c r="K17" s="208">
        <f>ROUND(N(data!R65), 0)</f>
        <v>0</v>
      </c>
      <c r="L17" s="208">
        <f>ROUND(N(data!R66), 0)</f>
        <v>1087</v>
      </c>
      <c r="M17" s="208">
        <f>ROUND(N(data!R67), 0)</f>
        <v>8837</v>
      </c>
      <c r="N17" s="208">
        <f>ROUND(N(data!R68), 0)</f>
        <v>0</v>
      </c>
      <c r="O17" s="208">
        <f>ROUND(N(data!R69), 0)</f>
        <v>5937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5937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103901</v>
      </c>
      <c r="AF17" s="208">
        <f>ROUND(N(data!R87), 0)</f>
        <v>0</v>
      </c>
      <c r="AG17" s="208">
        <f>ROUND(N(data!R90), 0)</f>
        <v>623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107</v>
      </c>
      <c r="B18" s="210" t="str">
        <f>RIGHT(data!$C$96,4)</f>
        <v>2023</v>
      </c>
      <c r="C18" s="12" t="str">
        <f>data!S$55</f>
        <v>7050</v>
      </c>
      <c r="D18" s="12" t="s">
        <v>1155</v>
      </c>
      <c r="E18" s="208">
        <f>ROUND(N(data!S59), 0)</f>
        <v>0</v>
      </c>
      <c r="F18" s="316">
        <f>ROUND(N(data!S60), 2)</f>
        <v>1.1299999999999999</v>
      </c>
      <c r="G18" s="208">
        <f>ROUND(N(data!S61), 0)</f>
        <v>43005</v>
      </c>
      <c r="H18" s="208">
        <f>ROUND(N(data!S62), 0)</f>
        <v>9580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11121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931790</v>
      </c>
      <c r="AF18" s="208">
        <f>ROUND(N(data!S87), 0)</f>
        <v>293748</v>
      </c>
      <c r="AG18" s="208">
        <f>ROUND(N(data!S90), 0)</f>
        <v>784</v>
      </c>
      <c r="AH18" s="208">
        <f>ROUND(N(data!S91), 0)</f>
        <v>0</v>
      </c>
      <c r="AI18" s="208">
        <f>ROUND(N(data!S92), 0)</f>
        <v>69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107</v>
      </c>
      <c r="B19" s="210" t="str">
        <f>RIGHT(data!$C$96,4)</f>
        <v>2023</v>
      </c>
      <c r="C19" s="12" t="str">
        <f>data!T$55</f>
        <v>7060</v>
      </c>
      <c r="D19" s="12" t="s">
        <v>1155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107</v>
      </c>
      <c r="B20" s="210" t="str">
        <f>RIGHT(data!$C$96,4)</f>
        <v>2023</v>
      </c>
      <c r="C20" s="12" t="str">
        <f>data!U$55</f>
        <v>7070</v>
      </c>
      <c r="D20" s="12" t="s">
        <v>1155</v>
      </c>
      <c r="E20" s="208">
        <f>ROUND(N(data!U59), 0)</f>
        <v>42988</v>
      </c>
      <c r="F20" s="316">
        <f>ROUND(N(data!U60), 2)</f>
        <v>6.81</v>
      </c>
      <c r="G20" s="208">
        <f>ROUND(N(data!U61), 0)</f>
        <v>504149</v>
      </c>
      <c r="H20" s="208">
        <f>ROUND(N(data!U62), 0)</f>
        <v>112310</v>
      </c>
      <c r="I20" s="208">
        <f>ROUND(N(data!U63), 0)</f>
        <v>3280</v>
      </c>
      <c r="J20" s="208">
        <f>ROUND(N(data!U64), 0)</f>
        <v>582434</v>
      </c>
      <c r="K20" s="208">
        <f>ROUND(N(data!U65), 0)</f>
        <v>0</v>
      </c>
      <c r="L20" s="208">
        <f>ROUND(N(data!U66), 0)</f>
        <v>191621</v>
      </c>
      <c r="M20" s="208">
        <f>ROUND(N(data!U67), 0)</f>
        <v>30427</v>
      </c>
      <c r="N20" s="208">
        <f>ROUND(N(data!U68), 0)</f>
        <v>0</v>
      </c>
      <c r="O20" s="208">
        <f>ROUND(N(data!U69), 0)</f>
        <v>61324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58304</v>
      </c>
      <c r="X20" s="208">
        <f>ROUND(N(data!U78), 0)</f>
        <v>0</v>
      </c>
      <c r="Y20" s="208">
        <f>ROUND(N(data!U79), 0)</f>
        <v>0</v>
      </c>
      <c r="Z20" s="208">
        <f>ROUND(N(data!U80), 0)</f>
        <v>1090</v>
      </c>
      <c r="AA20" s="208">
        <f>ROUND(N(data!U81), 0)</f>
        <v>0</v>
      </c>
      <c r="AB20" s="208">
        <f>ROUND(N(data!U82), 0)</f>
        <v>0</v>
      </c>
      <c r="AC20" s="208">
        <f>ROUND(N(data!U83), 0)</f>
        <v>1930</v>
      </c>
      <c r="AD20" s="208">
        <f>ROUND(N(data!U84), 0)</f>
        <v>0</v>
      </c>
      <c r="AE20" s="208">
        <f>ROUND(N(data!U89), 0)</f>
        <v>3837015</v>
      </c>
      <c r="AF20" s="208">
        <f>ROUND(N(data!U87), 0)</f>
        <v>474966</v>
      </c>
      <c r="AG20" s="208">
        <f>ROUND(N(data!U90), 0)</f>
        <v>2145</v>
      </c>
      <c r="AH20" s="208">
        <f>ROUND(N(data!U91), 0)</f>
        <v>0</v>
      </c>
      <c r="AI20" s="208">
        <f>ROUND(N(data!U92), 0)</f>
        <v>147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107</v>
      </c>
      <c r="B21" s="210" t="str">
        <f>RIGHT(data!$C$96,4)</f>
        <v>2023</v>
      </c>
      <c r="C21" s="12" t="str">
        <f>data!V$55</f>
        <v>7110</v>
      </c>
      <c r="D21" s="12" t="s">
        <v>1155</v>
      </c>
      <c r="E21" s="208">
        <f>ROUND(N(data!V59), 0)</f>
        <v>2814</v>
      </c>
      <c r="F21" s="316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269664</v>
      </c>
      <c r="AF21" s="208">
        <f>ROUND(N(data!V87), 0)</f>
        <v>9050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107</v>
      </c>
      <c r="B22" s="210" t="str">
        <f>RIGHT(data!$C$96,4)</f>
        <v>2023</v>
      </c>
      <c r="C22" s="12" t="str">
        <f>data!W$55</f>
        <v>7120</v>
      </c>
      <c r="D22" s="12" t="s">
        <v>1155</v>
      </c>
      <c r="E22" s="208">
        <f>ROUND(N(data!W59), 0)</f>
        <v>506</v>
      </c>
      <c r="F22" s="316">
        <f>ROUND(N(data!W60), 2)</f>
        <v>0.3</v>
      </c>
      <c r="G22" s="208">
        <f>ROUND(N(data!W61), 0)</f>
        <v>35128</v>
      </c>
      <c r="H22" s="208">
        <f>ROUND(N(data!W62), 0)</f>
        <v>7826</v>
      </c>
      <c r="I22" s="208">
        <f>ROUND(N(data!W63), 0)</f>
        <v>0</v>
      </c>
      <c r="J22" s="208">
        <f>ROUND(N(data!W64), 0)</f>
        <v>377</v>
      </c>
      <c r="K22" s="208">
        <f>ROUND(N(data!W65), 0)</f>
        <v>0</v>
      </c>
      <c r="L22" s="208">
        <f>ROUND(N(data!W66), 0)</f>
        <v>66022</v>
      </c>
      <c r="M22" s="208">
        <f>ROUND(N(data!W67), 0)</f>
        <v>2738</v>
      </c>
      <c r="N22" s="208">
        <f>ROUND(N(data!W68), 0)</f>
        <v>10526</v>
      </c>
      <c r="O22" s="208">
        <f>ROUND(N(data!W69), 0)</f>
        <v>7904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7832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72</v>
      </c>
      <c r="AD22" s="208">
        <f>ROUND(N(data!W84), 0)</f>
        <v>0</v>
      </c>
      <c r="AE22" s="208">
        <f>ROUND(N(data!W89), 0)</f>
        <v>524925</v>
      </c>
      <c r="AF22" s="208">
        <f>ROUND(N(data!W87), 0)</f>
        <v>15373</v>
      </c>
      <c r="AG22" s="208">
        <f>ROUND(N(data!W90), 0)</f>
        <v>193</v>
      </c>
      <c r="AH22" s="208">
        <f>ROUND(N(data!W91), 0)</f>
        <v>0</v>
      </c>
      <c r="AI22" s="208">
        <f>ROUND(N(data!W92), 0)</f>
        <v>15</v>
      </c>
      <c r="AJ22" s="208">
        <f>ROUND(N(data!W93), 0)</f>
        <v>596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107</v>
      </c>
      <c r="B23" s="210" t="str">
        <f>RIGHT(data!$C$96,4)</f>
        <v>2023</v>
      </c>
      <c r="C23" s="12" t="str">
        <f>data!X$55</f>
        <v>7130</v>
      </c>
      <c r="D23" s="12" t="s">
        <v>1155</v>
      </c>
      <c r="E23" s="208">
        <f>ROUND(N(data!X59), 0)</f>
        <v>2623</v>
      </c>
      <c r="F23" s="316">
        <f>ROUND(N(data!X60), 2)</f>
        <v>1.56</v>
      </c>
      <c r="G23" s="208">
        <f>ROUND(N(data!X61), 0)</f>
        <v>182094</v>
      </c>
      <c r="H23" s="208">
        <f>ROUND(N(data!X62), 0)</f>
        <v>40565</v>
      </c>
      <c r="I23" s="208">
        <f>ROUND(N(data!X63), 0)</f>
        <v>0</v>
      </c>
      <c r="J23" s="208">
        <f>ROUND(N(data!X64), 0)</f>
        <v>1956</v>
      </c>
      <c r="K23" s="208">
        <f>ROUND(N(data!X65), 0)</f>
        <v>0</v>
      </c>
      <c r="L23" s="208">
        <f>ROUND(N(data!X66), 0)</f>
        <v>342245</v>
      </c>
      <c r="M23" s="208">
        <f>ROUND(N(data!X67), 0)</f>
        <v>14199</v>
      </c>
      <c r="N23" s="208">
        <f>ROUND(N(data!X68), 0)</f>
        <v>54564</v>
      </c>
      <c r="O23" s="208">
        <f>ROUND(N(data!X69), 0)</f>
        <v>40972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40599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373</v>
      </c>
      <c r="AD23" s="208">
        <f>ROUND(N(data!X84), 0)</f>
        <v>0</v>
      </c>
      <c r="AE23" s="208">
        <f>ROUND(N(data!X89), 0)</f>
        <v>2721099</v>
      </c>
      <c r="AF23" s="208">
        <f>ROUND(N(data!X87), 0)</f>
        <v>79687</v>
      </c>
      <c r="AG23" s="208">
        <f>ROUND(N(data!X90), 0)</f>
        <v>1001</v>
      </c>
      <c r="AH23" s="208">
        <f>ROUND(N(data!X91), 0)</f>
        <v>0</v>
      </c>
      <c r="AI23" s="208">
        <f>ROUND(N(data!X92), 0)</f>
        <v>75</v>
      </c>
      <c r="AJ23" s="208">
        <f>ROUND(N(data!X93), 0)</f>
        <v>3091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107</v>
      </c>
      <c r="B24" s="210" t="str">
        <f>RIGHT(data!$C$96,4)</f>
        <v>2023</v>
      </c>
      <c r="C24" s="12" t="str">
        <f>data!Y$55</f>
        <v>7140</v>
      </c>
      <c r="D24" s="12" t="s">
        <v>1155</v>
      </c>
      <c r="E24" s="208">
        <f>ROUND(N(data!Y59), 0)</f>
        <v>6352</v>
      </c>
      <c r="F24" s="316">
        <f>ROUND(N(data!Y60), 2)</f>
        <v>3.77</v>
      </c>
      <c r="G24" s="208">
        <f>ROUND(N(data!Y61), 0)</f>
        <v>440969</v>
      </c>
      <c r="H24" s="208">
        <f>ROUND(N(data!Y62), 0)</f>
        <v>98235</v>
      </c>
      <c r="I24" s="208">
        <f>ROUND(N(data!Y63), 0)</f>
        <v>0</v>
      </c>
      <c r="J24" s="208">
        <f>ROUND(N(data!Y64), 0)</f>
        <v>4736</v>
      </c>
      <c r="K24" s="208">
        <f>ROUND(N(data!Y65), 0)</f>
        <v>0</v>
      </c>
      <c r="L24" s="208">
        <f>ROUND(N(data!Y66), 0)</f>
        <v>828800</v>
      </c>
      <c r="M24" s="208">
        <f>ROUND(N(data!Y67), 0)</f>
        <v>34399</v>
      </c>
      <c r="N24" s="208">
        <f>ROUND(N(data!Y68), 0)</f>
        <v>132135</v>
      </c>
      <c r="O24" s="208">
        <f>ROUND(N(data!Y69), 0)</f>
        <v>99220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98316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904</v>
      </c>
      <c r="AD24" s="208">
        <f>ROUND(N(data!Y84), 0)</f>
        <v>0</v>
      </c>
      <c r="AE24" s="208">
        <f>ROUND(N(data!Y89), 0)</f>
        <v>6589565</v>
      </c>
      <c r="AF24" s="208">
        <f>ROUND(N(data!Y87), 0)</f>
        <v>192978</v>
      </c>
      <c r="AG24" s="208">
        <f>ROUND(N(data!Y90), 0)</f>
        <v>2425</v>
      </c>
      <c r="AH24" s="208">
        <f>ROUND(N(data!Y91), 0)</f>
        <v>0</v>
      </c>
      <c r="AI24" s="208">
        <f>ROUND(N(data!Y92), 0)</f>
        <v>186</v>
      </c>
      <c r="AJ24" s="208">
        <f>ROUND(N(data!Y93), 0)</f>
        <v>7484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107</v>
      </c>
      <c r="B25" s="210" t="str">
        <f>RIGHT(data!$C$96,4)</f>
        <v>2023</v>
      </c>
      <c r="C25" s="12" t="str">
        <f>data!Z$55</f>
        <v>7150</v>
      </c>
      <c r="D25" s="12" t="s">
        <v>1155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107</v>
      </c>
      <c r="B26" s="210" t="str">
        <f>RIGHT(data!$C$96,4)</f>
        <v>2023</v>
      </c>
      <c r="C26" s="12" t="str">
        <f>data!AA$55</f>
        <v>7160</v>
      </c>
      <c r="D26" s="12" t="s">
        <v>1155</v>
      </c>
      <c r="E26" s="208">
        <f>ROUND(N(data!AA59), 0)</f>
        <v>0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107</v>
      </c>
      <c r="B27" s="210" t="str">
        <f>RIGHT(data!$C$96,4)</f>
        <v>2023</v>
      </c>
      <c r="C27" s="12" t="str">
        <f>data!AB$55</f>
        <v>7170</v>
      </c>
      <c r="D27" s="12" t="s">
        <v>1155</v>
      </c>
      <c r="E27" s="208">
        <f>ROUND(N(data!AB59), 0)</f>
        <v>0</v>
      </c>
      <c r="F27" s="316">
        <f>ROUND(N(data!AB60), 2)</f>
        <v>0.73</v>
      </c>
      <c r="G27" s="208">
        <f>ROUND(N(data!AB61), 0)</f>
        <v>52922</v>
      </c>
      <c r="H27" s="208">
        <f>ROUND(N(data!AB62), 0)</f>
        <v>11790</v>
      </c>
      <c r="I27" s="208">
        <f>ROUND(N(data!AB63), 0)</f>
        <v>0</v>
      </c>
      <c r="J27" s="208">
        <f>ROUND(N(data!AB64), 0)</f>
        <v>1893551</v>
      </c>
      <c r="K27" s="208">
        <f>ROUND(N(data!AB65), 0)</f>
        <v>5405</v>
      </c>
      <c r="L27" s="208">
        <f>ROUND(N(data!AB66), 0)</f>
        <v>210907</v>
      </c>
      <c r="M27" s="208">
        <f>ROUND(N(data!AB67), 0)</f>
        <v>13363</v>
      </c>
      <c r="N27" s="208">
        <f>ROUND(N(data!AB68), 0)</f>
        <v>76721</v>
      </c>
      <c r="O27" s="208">
        <f>ROUND(N(data!AB69), 0)</f>
        <v>37366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16646</v>
      </c>
      <c r="X27" s="208">
        <f>ROUND(N(data!AB78), 0)</f>
        <v>0</v>
      </c>
      <c r="Y27" s="208">
        <f>ROUND(N(data!AB79), 0)</f>
        <v>0</v>
      </c>
      <c r="Z27" s="208">
        <f>ROUND(N(data!AB80), 0)</f>
        <v>6000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14720</v>
      </c>
      <c r="AD27" s="208">
        <f>ROUND(N(data!AB84), 0)</f>
        <v>0</v>
      </c>
      <c r="AE27" s="208">
        <f>ROUND(N(data!AB89), 0)</f>
        <v>6345595</v>
      </c>
      <c r="AF27" s="208">
        <f>ROUND(N(data!AB87), 0)</f>
        <v>701900</v>
      </c>
      <c r="AG27" s="208">
        <f>ROUND(N(data!AB90), 0)</f>
        <v>942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107</v>
      </c>
      <c r="B28" s="210" t="str">
        <f>RIGHT(data!$C$96,4)</f>
        <v>2023</v>
      </c>
      <c r="C28" s="12" t="str">
        <f>data!AC$55</f>
        <v>7180</v>
      </c>
      <c r="D28" s="12" t="s">
        <v>1155</v>
      </c>
      <c r="E28" s="208">
        <f>ROUND(N(data!AC59), 0)</f>
        <v>1325</v>
      </c>
      <c r="F28" s="316">
        <f>ROUND(N(data!AC60), 2)</f>
        <v>0.87</v>
      </c>
      <c r="G28" s="208">
        <f>ROUND(N(data!AC61), 0)</f>
        <v>105853</v>
      </c>
      <c r="H28" s="208">
        <f>ROUND(N(data!AC62), 0)</f>
        <v>23581</v>
      </c>
      <c r="I28" s="208">
        <f>ROUND(N(data!AC63), 0)</f>
        <v>0</v>
      </c>
      <c r="J28" s="208">
        <f>ROUND(N(data!AC64), 0)</f>
        <v>4700</v>
      </c>
      <c r="K28" s="208">
        <f>ROUND(N(data!AC65), 0)</f>
        <v>0</v>
      </c>
      <c r="L28" s="208">
        <f>ROUND(N(data!AC66), 0)</f>
        <v>52133</v>
      </c>
      <c r="M28" s="208">
        <f>ROUND(N(data!AC67), 0)</f>
        <v>2454</v>
      </c>
      <c r="N28" s="208">
        <f>ROUND(N(data!AC68), 0)</f>
        <v>0</v>
      </c>
      <c r="O28" s="208">
        <f>ROUND(N(data!AC69), 0)</f>
        <v>4960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4720</v>
      </c>
      <c r="X28" s="208">
        <f>ROUND(N(data!AC78), 0)</f>
        <v>0</v>
      </c>
      <c r="Y28" s="208">
        <f>ROUND(N(data!AC79), 0)</f>
        <v>0</v>
      </c>
      <c r="Z28" s="208">
        <f>ROUND(N(data!AC80), 0)</f>
        <v>240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745005</v>
      </c>
      <c r="AF28" s="208">
        <f>ROUND(N(data!AC87), 0)</f>
        <v>104540</v>
      </c>
      <c r="AG28" s="208">
        <f>ROUND(N(data!AC90), 0)</f>
        <v>173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107</v>
      </c>
      <c r="B29" s="210" t="str">
        <f>RIGHT(data!$C$96,4)</f>
        <v>2023</v>
      </c>
      <c r="C29" s="12" t="str">
        <f>data!AD$55</f>
        <v>7190</v>
      </c>
      <c r="D29" s="12" t="s">
        <v>1155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107</v>
      </c>
      <c r="B30" s="210" t="str">
        <f>RIGHT(data!$C$96,4)</f>
        <v>2023</v>
      </c>
      <c r="C30" s="12" t="str">
        <f>data!AE$55</f>
        <v>7200</v>
      </c>
      <c r="D30" s="12" t="s">
        <v>1155</v>
      </c>
      <c r="E30" s="208">
        <f>ROUND(N(data!AE59), 0)</f>
        <v>19702</v>
      </c>
      <c r="F30" s="316">
        <f>ROUND(N(data!AE60), 2)</f>
        <v>12.58</v>
      </c>
      <c r="G30" s="208">
        <f>ROUND(N(data!AE61), 0)</f>
        <v>892930</v>
      </c>
      <c r="H30" s="208">
        <f>ROUND(N(data!AE62), 0)</f>
        <v>198919</v>
      </c>
      <c r="I30" s="208">
        <f>ROUND(N(data!AE63), 0)</f>
        <v>0</v>
      </c>
      <c r="J30" s="208">
        <f>ROUND(N(data!AE64), 0)</f>
        <v>50574</v>
      </c>
      <c r="K30" s="208">
        <f>ROUND(N(data!AE65), 0)</f>
        <v>4571</v>
      </c>
      <c r="L30" s="208">
        <f>ROUND(N(data!AE66), 0)</f>
        <v>97932</v>
      </c>
      <c r="M30" s="208">
        <f>ROUND(N(data!AE67), 0)</f>
        <v>120135</v>
      </c>
      <c r="N30" s="208">
        <f>ROUND(N(data!AE68), 0)</f>
        <v>15600</v>
      </c>
      <c r="O30" s="208">
        <f>ROUND(N(data!AE69), 0)</f>
        <v>15509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719</v>
      </c>
      <c r="X30" s="208">
        <f>ROUND(N(data!AE78), 0)</f>
        <v>0</v>
      </c>
      <c r="Y30" s="208">
        <f>ROUND(N(data!AE79), 0)</f>
        <v>0</v>
      </c>
      <c r="Z30" s="208">
        <f>ROUND(N(data!AE80), 0)</f>
        <v>4815</v>
      </c>
      <c r="AA30" s="208">
        <f>ROUND(N(data!AE81), 0)</f>
        <v>0</v>
      </c>
      <c r="AB30" s="208">
        <f>ROUND(N(data!AE82), 0)</f>
        <v>0</v>
      </c>
      <c r="AC30" s="208">
        <f>ROUND(N(data!AE83), 0)</f>
        <v>9975</v>
      </c>
      <c r="AD30" s="208">
        <f>ROUND(N(data!AE84), 0)</f>
        <v>0</v>
      </c>
      <c r="AE30" s="208">
        <f>ROUND(N(data!AE89), 0)</f>
        <v>3248539</v>
      </c>
      <c r="AF30" s="208">
        <f>ROUND(N(data!AE87), 0)</f>
        <v>350739</v>
      </c>
      <c r="AG30" s="208">
        <f>ROUND(N(data!AE90), 0)</f>
        <v>8469</v>
      </c>
      <c r="AH30" s="208">
        <f>ROUND(N(data!AE91), 0)</f>
        <v>0</v>
      </c>
      <c r="AI30" s="208">
        <f>ROUND(N(data!AE92), 0)</f>
        <v>72</v>
      </c>
      <c r="AJ30" s="208">
        <f>ROUND(N(data!AE93), 0)</f>
        <v>1393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107</v>
      </c>
      <c r="B31" s="210" t="str">
        <f>RIGHT(data!$C$96,4)</f>
        <v>2023</v>
      </c>
      <c r="C31" s="12" t="str">
        <f>data!AF$55</f>
        <v>7220</v>
      </c>
      <c r="D31" s="12" t="s">
        <v>1155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107</v>
      </c>
      <c r="B32" s="210" t="str">
        <f>RIGHT(data!$C$96,4)</f>
        <v>2023</v>
      </c>
      <c r="C32" s="12" t="str">
        <f>data!AG$55</f>
        <v>7230</v>
      </c>
      <c r="D32" s="12" t="s">
        <v>1155</v>
      </c>
      <c r="E32" s="208">
        <f>ROUND(N(data!AG59), 0)</f>
        <v>5149</v>
      </c>
      <c r="F32" s="316">
        <f>ROUND(N(data!AG60), 2)</f>
        <v>12.77</v>
      </c>
      <c r="G32" s="208">
        <f>ROUND(N(data!AG61), 0)</f>
        <v>982078</v>
      </c>
      <c r="H32" s="208">
        <f>ROUND(N(data!AG62), 0)</f>
        <v>218779</v>
      </c>
      <c r="I32" s="208">
        <f>ROUND(N(data!AG63), 0)</f>
        <v>0</v>
      </c>
      <c r="J32" s="208">
        <f>ROUND(N(data!AG64), 0)</f>
        <v>69116</v>
      </c>
      <c r="K32" s="208">
        <f>ROUND(N(data!AG65), 0)</f>
        <v>0</v>
      </c>
      <c r="L32" s="208">
        <f>ROUND(N(data!AG66), 0)</f>
        <v>3176850</v>
      </c>
      <c r="M32" s="208">
        <f>ROUND(N(data!AG67), 0)</f>
        <v>137370</v>
      </c>
      <c r="N32" s="208">
        <f>ROUND(N(data!AG68), 0)</f>
        <v>0</v>
      </c>
      <c r="O32" s="208">
        <f>ROUND(N(data!AG69), 0)</f>
        <v>6663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2929</v>
      </c>
      <c r="X32" s="208">
        <f>ROUND(N(data!AG78), 0)</f>
        <v>0</v>
      </c>
      <c r="Y32" s="208">
        <f>ROUND(N(data!AG79), 0)</f>
        <v>0</v>
      </c>
      <c r="Z32" s="208">
        <f>ROUND(N(data!AG80), 0)</f>
        <v>1643</v>
      </c>
      <c r="AA32" s="208">
        <f>ROUND(N(data!AG81), 0)</f>
        <v>0</v>
      </c>
      <c r="AB32" s="208">
        <f>ROUND(N(data!AG82), 0)</f>
        <v>0</v>
      </c>
      <c r="AC32" s="208">
        <f>ROUND(N(data!AG83), 0)</f>
        <v>2091</v>
      </c>
      <c r="AD32" s="208">
        <f>ROUND(N(data!AG84), 0)</f>
        <v>0</v>
      </c>
      <c r="AE32" s="208">
        <f>ROUND(N(data!AG89), 0)</f>
        <v>12436281</v>
      </c>
      <c r="AF32" s="208">
        <f>ROUND(N(data!AG87), 0)</f>
        <v>135386</v>
      </c>
      <c r="AG32" s="208">
        <f>ROUND(N(data!AG90), 0)</f>
        <v>9684</v>
      </c>
      <c r="AH32" s="208">
        <f>ROUND(N(data!AG91), 0)</f>
        <v>0</v>
      </c>
      <c r="AI32" s="208">
        <f>ROUND(N(data!AG92), 0)</f>
        <v>1252</v>
      </c>
      <c r="AJ32" s="208">
        <f>ROUND(N(data!AG93), 0)</f>
        <v>15598</v>
      </c>
      <c r="AK32" s="316">
        <f>ROUND(N(data!AG94), 2)</f>
        <v>12.45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107</v>
      </c>
      <c r="B33" s="210" t="str">
        <f>RIGHT(data!$C$96,4)</f>
        <v>2023</v>
      </c>
      <c r="C33" s="12" t="str">
        <f>data!AH$55</f>
        <v>7240</v>
      </c>
      <c r="D33" s="12" t="s">
        <v>1155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107</v>
      </c>
      <c r="B34" s="210" t="str">
        <f>RIGHT(data!$C$96,4)</f>
        <v>2023</v>
      </c>
      <c r="C34" s="12" t="str">
        <f>data!AI$55</f>
        <v>7250</v>
      </c>
      <c r="D34" s="12" t="s">
        <v>1155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107</v>
      </c>
      <c r="B35" s="210" t="str">
        <f>RIGHT(data!$C$96,4)</f>
        <v>2023</v>
      </c>
      <c r="C35" s="12" t="str">
        <f>data!AJ$55</f>
        <v>7260</v>
      </c>
      <c r="D35" s="12" t="s">
        <v>1155</v>
      </c>
      <c r="E35" s="208">
        <f>ROUND(N(data!AJ59), 0)</f>
        <v>2974</v>
      </c>
      <c r="F35" s="316">
        <f>ROUND(N(data!AJ60), 2)</f>
        <v>11.42</v>
      </c>
      <c r="G35" s="208">
        <f>ROUND(N(data!AJ61), 0)</f>
        <v>1074406</v>
      </c>
      <c r="H35" s="208">
        <f>ROUND(N(data!AJ62), 0)</f>
        <v>239347</v>
      </c>
      <c r="I35" s="208">
        <f>ROUND(N(data!AJ63), 0)</f>
        <v>0</v>
      </c>
      <c r="J35" s="208">
        <f>ROUND(N(data!AJ64), 0)</f>
        <v>29492</v>
      </c>
      <c r="K35" s="208">
        <f>ROUND(N(data!AJ65), 0)</f>
        <v>0</v>
      </c>
      <c r="L35" s="208">
        <f>ROUND(N(data!AJ66), 0)</f>
        <v>70094</v>
      </c>
      <c r="M35" s="208">
        <f>ROUND(N(data!AJ67), 0)</f>
        <v>90261</v>
      </c>
      <c r="N35" s="208">
        <f>ROUND(N(data!AJ68), 0)</f>
        <v>0</v>
      </c>
      <c r="O35" s="208">
        <f>ROUND(N(data!AJ69), 0)</f>
        <v>15162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52</v>
      </c>
      <c r="X35" s="208">
        <f>ROUND(N(data!AJ78), 0)</f>
        <v>0</v>
      </c>
      <c r="Y35" s="208">
        <f>ROUND(N(data!AJ79), 0)</f>
        <v>0</v>
      </c>
      <c r="Z35" s="208">
        <f>ROUND(N(data!AJ80), 0)</f>
        <v>10147</v>
      </c>
      <c r="AA35" s="208">
        <f>ROUND(N(data!AJ81), 0)</f>
        <v>0</v>
      </c>
      <c r="AB35" s="208">
        <f>ROUND(N(data!AJ82), 0)</f>
        <v>0</v>
      </c>
      <c r="AC35" s="208">
        <f>ROUND(N(data!AJ83), 0)</f>
        <v>4963</v>
      </c>
      <c r="AD35" s="208">
        <f>ROUND(N(data!AJ84), 0)</f>
        <v>0</v>
      </c>
      <c r="AE35" s="208">
        <f>ROUND(N(data!AJ89), 0)</f>
        <v>881147</v>
      </c>
      <c r="AF35" s="208">
        <f>ROUND(N(data!AJ87), 0)</f>
        <v>0</v>
      </c>
      <c r="AG35" s="208">
        <f>ROUND(N(data!AJ90), 0)</f>
        <v>6363</v>
      </c>
      <c r="AH35" s="208">
        <f>ROUND(N(data!AJ91), 0)</f>
        <v>0</v>
      </c>
      <c r="AI35" s="208">
        <f>ROUND(N(data!AJ92), 0)</f>
        <v>246</v>
      </c>
      <c r="AJ35" s="208">
        <f>ROUND(N(data!AJ93), 0)</f>
        <v>324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107</v>
      </c>
      <c r="B36" s="210" t="str">
        <f>RIGHT(data!$C$96,4)</f>
        <v>2023</v>
      </c>
      <c r="C36" s="12" t="str">
        <f>data!AK$55</f>
        <v>7310</v>
      </c>
      <c r="D36" s="12" t="s">
        <v>1155</v>
      </c>
      <c r="E36" s="208">
        <f>ROUND(N(data!AK59), 0)</f>
        <v>6378</v>
      </c>
      <c r="F36" s="316">
        <f>ROUND(N(data!AK60), 2)</f>
        <v>1.42</v>
      </c>
      <c r="G36" s="208">
        <f>ROUND(N(data!AK61), 0)</f>
        <v>237033</v>
      </c>
      <c r="H36" s="208">
        <f>ROUND(N(data!AK62), 0)</f>
        <v>52804</v>
      </c>
      <c r="I36" s="208">
        <f>ROUND(N(data!AK63), 0)</f>
        <v>0</v>
      </c>
      <c r="J36" s="208">
        <f>ROUND(N(data!AK64), 0)</f>
        <v>2961</v>
      </c>
      <c r="K36" s="208">
        <f>ROUND(N(data!AK65), 0)</f>
        <v>0</v>
      </c>
      <c r="L36" s="208">
        <f>ROUND(N(data!AK66), 0)</f>
        <v>3082</v>
      </c>
      <c r="M36" s="208">
        <f>ROUND(N(data!AK67), 0)</f>
        <v>0</v>
      </c>
      <c r="N36" s="208">
        <f>ROUND(N(data!AK68), 0)</f>
        <v>0</v>
      </c>
      <c r="O36" s="208">
        <f>ROUND(N(data!AK69), 0)</f>
        <v>3505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381</v>
      </c>
      <c r="X36" s="208">
        <f>ROUND(N(data!AK78), 0)</f>
        <v>0</v>
      </c>
      <c r="Y36" s="208">
        <f>ROUND(N(data!AK79), 0)</f>
        <v>0</v>
      </c>
      <c r="Z36" s="208">
        <f>ROUND(N(data!AK80), 0)</f>
        <v>1718</v>
      </c>
      <c r="AA36" s="208">
        <f>ROUND(N(data!AK81), 0)</f>
        <v>0</v>
      </c>
      <c r="AB36" s="208">
        <f>ROUND(N(data!AK82), 0)</f>
        <v>0</v>
      </c>
      <c r="AC36" s="208">
        <f>ROUND(N(data!AK83), 0)</f>
        <v>1406</v>
      </c>
      <c r="AD36" s="208">
        <f>ROUND(N(data!AK84), 0)</f>
        <v>0</v>
      </c>
      <c r="AE36" s="208">
        <f>ROUND(N(data!AK89), 0)</f>
        <v>1120956</v>
      </c>
      <c r="AF36" s="208">
        <f>ROUND(N(data!AK87), 0)</f>
        <v>448742</v>
      </c>
      <c r="AG36" s="208">
        <f>ROUND(N(data!AK90), 0)</f>
        <v>0</v>
      </c>
      <c r="AH36" s="208">
        <f>ROUND(N(data!AK91), 0)</f>
        <v>0</v>
      </c>
      <c r="AI36" s="208">
        <f>ROUND(N(data!AK92), 0)</f>
        <v>73</v>
      </c>
      <c r="AJ36" s="208">
        <f>ROUND(N(data!AK93), 0)</f>
        <v>1392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107</v>
      </c>
      <c r="B37" s="210" t="str">
        <f>RIGHT(data!$C$96,4)</f>
        <v>2023</v>
      </c>
      <c r="C37" s="12" t="str">
        <f>data!AL$55</f>
        <v>7320</v>
      </c>
      <c r="D37" s="12" t="s">
        <v>1155</v>
      </c>
      <c r="E37" s="208">
        <f>ROUND(N(data!AL59), 0)</f>
        <v>2129</v>
      </c>
      <c r="F37" s="316">
        <f>ROUND(N(data!AL60), 2)</f>
        <v>0.99</v>
      </c>
      <c r="G37" s="208">
        <f>ROUND(N(data!AL61), 0)</f>
        <v>177554</v>
      </c>
      <c r="H37" s="208">
        <f>ROUND(N(data!AL62), 0)</f>
        <v>39554</v>
      </c>
      <c r="I37" s="208">
        <f>ROUND(N(data!AL63), 0)</f>
        <v>0</v>
      </c>
      <c r="J37" s="208">
        <f>ROUND(N(data!AL64), 0)</f>
        <v>5320</v>
      </c>
      <c r="K37" s="208">
        <f>ROUND(N(data!AL65), 0)</f>
        <v>0</v>
      </c>
      <c r="L37" s="208">
        <f>ROUND(N(data!AL66), 0)</f>
        <v>3122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435226</v>
      </c>
      <c r="AF37" s="208">
        <f>ROUND(N(data!AL87), 0)</f>
        <v>74783</v>
      </c>
      <c r="AG37" s="208">
        <f>ROUND(N(data!AL90), 0)</f>
        <v>0</v>
      </c>
      <c r="AH37" s="208">
        <f>ROUND(N(data!AL91), 0)</f>
        <v>0</v>
      </c>
      <c r="AI37" s="208">
        <f>ROUND(N(data!AL92), 0)</f>
        <v>73</v>
      </c>
      <c r="AJ37" s="208">
        <f>ROUND(N(data!AL93), 0)</f>
        <v>1392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107</v>
      </c>
      <c r="B38" s="210" t="str">
        <f>RIGHT(data!$C$96,4)</f>
        <v>2023</v>
      </c>
      <c r="C38" s="12" t="str">
        <f>data!AM$55</f>
        <v>7330</v>
      </c>
      <c r="D38" s="12" t="s">
        <v>1155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107</v>
      </c>
      <c r="B39" s="210" t="str">
        <f>RIGHT(data!$C$96,4)</f>
        <v>2023</v>
      </c>
      <c r="C39" s="12" t="str">
        <f>data!AN$55</f>
        <v>7340</v>
      </c>
      <c r="D39" s="12" t="s">
        <v>1155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107</v>
      </c>
      <c r="B40" s="210" t="str">
        <f>RIGHT(data!$C$96,4)</f>
        <v>2023</v>
      </c>
      <c r="C40" s="12" t="str">
        <f>data!AO$55</f>
        <v>7350</v>
      </c>
      <c r="D40" s="12" t="s">
        <v>1155</v>
      </c>
      <c r="E40" s="208">
        <f>ROUND(N(data!AO59), 0)</f>
        <v>5148</v>
      </c>
      <c r="F40" s="316">
        <f>ROUND(N(data!AO60), 2)</f>
        <v>1.78</v>
      </c>
      <c r="G40" s="208">
        <f>ROUND(N(data!AO61), 0)</f>
        <v>143567</v>
      </c>
      <c r="H40" s="208">
        <f>ROUND(N(data!AO62), 0)</f>
        <v>31983</v>
      </c>
      <c r="I40" s="208">
        <f>ROUND(N(data!AO63), 0)</f>
        <v>0</v>
      </c>
      <c r="J40" s="208">
        <f>ROUND(N(data!AO64), 0)</f>
        <v>4502</v>
      </c>
      <c r="K40" s="208">
        <f>ROUND(N(data!AO65), 0)</f>
        <v>0</v>
      </c>
      <c r="L40" s="208">
        <f>ROUND(N(data!AO66), 0)</f>
        <v>90454</v>
      </c>
      <c r="M40" s="208">
        <f>ROUND(N(data!AO67), 0)</f>
        <v>7660</v>
      </c>
      <c r="N40" s="208">
        <f>ROUND(N(data!AO68), 0)</f>
        <v>1597</v>
      </c>
      <c r="O40" s="208">
        <f>ROUND(N(data!AO69), 0)</f>
        <v>3997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1514</v>
      </c>
      <c r="X40" s="208">
        <f>ROUND(N(data!AO78), 0)</f>
        <v>0</v>
      </c>
      <c r="Y40" s="208">
        <f>ROUND(N(data!AO79), 0)</f>
        <v>0</v>
      </c>
      <c r="Z40" s="208">
        <f>ROUND(N(data!AO80), 0)</f>
        <v>2139</v>
      </c>
      <c r="AA40" s="208">
        <f>ROUND(N(data!AO81), 0)</f>
        <v>0</v>
      </c>
      <c r="AB40" s="208">
        <f>ROUND(N(data!AO82), 0)</f>
        <v>0</v>
      </c>
      <c r="AC40" s="208">
        <f>ROUND(N(data!AO83), 0)</f>
        <v>344</v>
      </c>
      <c r="AD40" s="208">
        <f>ROUND(N(data!AO84), 0)</f>
        <v>0</v>
      </c>
      <c r="AE40" s="208">
        <f>ROUND(N(data!AO89), 0)</f>
        <v>536599</v>
      </c>
      <c r="AF40" s="208">
        <f>ROUND(N(data!AO87), 0)</f>
        <v>0</v>
      </c>
      <c r="AG40" s="208">
        <f>ROUND(N(data!AO90), 0)</f>
        <v>540</v>
      </c>
      <c r="AH40" s="208">
        <f>ROUND(N(data!AO91), 0)</f>
        <v>943</v>
      </c>
      <c r="AI40" s="208">
        <f>ROUND(N(data!AO92), 0)</f>
        <v>200</v>
      </c>
      <c r="AJ40" s="208">
        <f>ROUND(N(data!AO93), 0)</f>
        <v>3483</v>
      </c>
      <c r="AK40" s="316">
        <f>ROUND(N(data!AO94), 2)</f>
        <v>1.69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107</v>
      </c>
      <c r="B41" s="210" t="str">
        <f>RIGHT(data!$C$96,4)</f>
        <v>2023</v>
      </c>
      <c r="C41" s="12" t="str">
        <f>data!AP$55</f>
        <v>7380</v>
      </c>
      <c r="D41" s="12" t="s">
        <v>1155</v>
      </c>
      <c r="E41" s="208">
        <f>ROUND(N(data!AP59), 0)</f>
        <v>0</v>
      </c>
      <c r="F41" s="316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107</v>
      </c>
      <c r="B42" s="210" t="str">
        <f>RIGHT(data!$C$96,4)</f>
        <v>2023</v>
      </c>
      <c r="C42" s="12" t="str">
        <f>data!AQ$55</f>
        <v>7390</v>
      </c>
      <c r="D42" s="12" t="s">
        <v>1155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107</v>
      </c>
      <c r="B43" s="210" t="str">
        <f>RIGHT(data!$C$96,4)</f>
        <v>2023</v>
      </c>
      <c r="C43" s="12" t="str">
        <f>data!AR$55</f>
        <v>7400</v>
      </c>
      <c r="D43" s="12" t="s">
        <v>1155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107</v>
      </c>
      <c r="B44" s="210" t="str">
        <f>RIGHT(data!$C$96,4)</f>
        <v>2023</v>
      </c>
      <c r="C44" s="12" t="str">
        <f>data!AS$55</f>
        <v>7410</v>
      </c>
      <c r="D44" s="12" t="s">
        <v>1155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107</v>
      </c>
      <c r="B45" s="210" t="str">
        <f>RIGHT(data!$C$96,4)</f>
        <v>2023</v>
      </c>
      <c r="C45" s="12" t="str">
        <f>data!AT$55</f>
        <v>7420</v>
      </c>
      <c r="D45" s="12" t="s">
        <v>1155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107</v>
      </c>
      <c r="B46" s="210" t="str">
        <f>RIGHT(data!$C$96,4)</f>
        <v>2023</v>
      </c>
      <c r="C46" s="12" t="str">
        <f>data!AU$55</f>
        <v>7430</v>
      </c>
      <c r="D46" s="12" t="s">
        <v>1155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107</v>
      </c>
      <c r="B47" s="210" t="str">
        <f>RIGHT(data!$C$96,4)</f>
        <v>2023</v>
      </c>
      <c r="C47" s="12" t="str">
        <f>data!AV$55</f>
        <v>7490</v>
      </c>
      <c r="D47" s="12" t="s">
        <v>1155</v>
      </c>
      <c r="E47" s="208">
        <f>ROUND(N(data!AV59), 0)</f>
        <v>0</v>
      </c>
      <c r="F47" s="316">
        <f>ROUND(N(data!AV60), 2)</f>
        <v>0.19</v>
      </c>
      <c r="G47" s="208">
        <f>ROUND(N(data!AV61), 0)</f>
        <v>6477</v>
      </c>
      <c r="H47" s="208">
        <f>ROUND(N(data!AV62), 0)</f>
        <v>1443</v>
      </c>
      <c r="I47" s="208">
        <f>ROUND(N(data!AV63), 0)</f>
        <v>0</v>
      </c>
      <c r="J47" s="208">
        <f>ROUND(N(data!AV64), 0)</f>
        <v>88</v>
      </c>
      <c r="K47" s="208">
        <f>ROUND(N(data!AV65), 0)</f>
        <v>0</v>
      </c>
      <c r="L47" s="208">
        <f>ROUND(N(data!AV66), 0)</f>
        <v>99648</v>
      </c>
      <c r="M47" s="208">
        <f>ROUND(N(data!AV67), 0)</f>
        <v>12682</v>
      </c>
      <c r="N47" s="208">
        <f>ROUND(N(data!AV68), 0)</f>
        <v>0</v>
      </c>
      <c r="O47" s="208">
        <f>ROUND(N(data!AV69), 0)</f>
        <v>4049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3094</v>
      </c>
      <c r="AA47" s="208">
        <f>ROUND(N(data!AV81), 0)</f>
        <v>0</v>
      </c>
      <c r="AB47" s="208">
        <f>ROUND(N(data!AV82), 0)</f>
        <v>0</v>
      </c>
      <c r="AC47" s="208">
        <f>ROUND(N(data!AV83), 0)</f>
        <v>955</v>
      </c>
      <c r="AD47" s="208">
        <f>ROUND(N(data!AV84), 0)</f>
        <v>0</v>
      </c>
      <c r="AE47" s="208">
        <f>ROUND(N(data!AV89), 0)</f>
        <v>1373837</v>
      </c>
      <c r="AF47" s="208">
        <f>ROUND(N(data!AV87), 0)</f>
        <v>110210</v>
      </c>
      <c r="AG47" s="208">
        <f>ROUND(N(data!AV90), 0)</f>
        <v>894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107</v>
      </c>
      <c r="B48" s="210" t="str">
        <f>RIGHT(data!$C$96,4)</f>
        <v>2023</v>
      </c>
      <c r="C48" s="12" t="str">
        <f>data!AW$55</f>
        <v>8200</v>
      </c>
      <c r="D48" s="12" t="s">
        <v>1155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107</v>
      </c>
      <c r="B49" s="210" t="str">
        <f>RIGHT(data!$C$96,4)</f>
        <v>2023</v>
      </c>
      <c r="C49" s="12" t="str">
        <f>data!AX$55</f>
        <v>8310</v>
      </c>
      <c r="D49" s="12" t="s">
        <v>1155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107</v>
      </c>
      <c r="B50" s="210" t="str">
        <f>RIGHT(data!$C$96,4)</f>
        <v>2023</v>
      </c>
      <c r="C50" s="12" t="str">
        <f>data!AY$55</f>
        <v>8320</v>
      </c>
      <c r="D50" s="12" t="s">
        <v>1155</v>
      </c>
      <c r="E50" s="208">
        <f>ROUND(N(data!AY59), 0)</f>
        <v>46661</v>
      </c>
      <c r="F50" s="316">
        <f>ROUND(N(data!AY60), 2)</f>
        <v>11.85</v>
      </c>
      <c r="G50" s="208">
        <f>ROUND(N(data!AY61), 0)</f>
        <v>568926</v>
      </c>
      <c r="H50" s="208">
        <f>ROUND(N(data!AY62), 0)</f>
        <v>126740</v>
      </c>
      <c r="I50" s="208">
        <f>ROUND(N(data!AY63), 0)</f>
        <v>0</v>
      </c>
      <c r="J50" s="208">
        <f>ROUND(N(data!AY64), 0)</f>
        <v>333159</v>
      </c>
      <c r="K50" s="208">
        <f>ROUND(N(data!AY65), 0)</f>
        <v>9600</v>
      </c>
      <c r="L50" s="208">
        <f>ROUND(N(data!AY66), 0)</f>
        <v>17122</v>
      </c>
      <c r="M50" s="208">
        <f>ROUND(N(data!AY67), 0)</f>
        <v>53039</v>
      </c>
      <c r="N50" s="208">
        <f>ROUND(N(data!AY68), 0)</f>
        <v>515</v>
      </c>
      <c r="O50" s="208">
        <f>ROUND(N(data!AY69), 0)</f>
        <v>1603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757</v>
      </c>
      <c r="X50" s="208">
        <f>ROUND(N(data!AY78), 0)</f>
        <v>0</v>
      </c>
      <c r="Y50" s="208">
        <f>ROUND(N(data!AY79), 0)</f>
        <v>0</v>
      </c>
      <c r="Z50" s="208">
        <f>ROUND(N(data!AY80), 0)</f>
        <v>1458</v>
      </c>
      <c r="AA50" s="208">
        <f>ROUND(N(data!AY81), 0)</f>
        <v>0</v>
      </c>
      <c r="AB50" s="208">
        <f>ROUND(N(data!AY82), 0)</f>
        <v>0</v>
      </c>
      <c r="AC50" s="208">
        <f>ROUND(N(data!AY83), 0)</f>
        <v>-612</v>
      </c>
      <c r="AD50" s="208">
        <f>ROUND(N(data!AY84), 0)</f>
        <v>282403</v>
      </c>
      <c r="AE50" s="208">
        <f>ROUND(N(data!AY89), 0)</f>
        <v>0</v>
      </c>
      <c r="AF50" s="208">
        <f>ROUND(N(data!AY87), 0)</f>
        <v>0</v>
      </c>
      <c r="AG50" s="208">
        <f>ROUND(N(data!AY90), 0)</f>
        <v>3739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107</v>
      </c>
      <c r="B51" s="210" t="str">
        <f>RIGHT(data!$C$96,4)</f>
        <v>2023</v>
      </c>
      <c r="C51" s="12" t="str">
        <f>data!AZ$55</f>
        <v>8330</v>
      </c>
      <c r="D51" s="12" t="s">
        <v>1155</v>
      </c>
      <c r="E51" s="208">
        <f>ROUND(N(data!AZ59), 0)</f>
        <v>0</v>
      </c>
      <c r="F51" s="316">
        <f>ROUND(N(data!AZ60), 2)</f>
        <v>2.37</v>
      </c>
      <c r="G51" s="208">
        <f>ROUND(N(data!AZ61), 0)</f>
        <v>94917</v>
      </c>
      <c r="H51" s="208">
        <f>ROUND(N(data!AZ62), 0)</f>
        <v>21145</v>
      </c>
      <c r="I51" s="208">
        <f>ROUND(N(data!AZ63), 0)</f>
        <v>0</v>
      </c>
      <c r="J51" s="208">
        <f>ROUND(N(data!AZ64), 0)</f>
        <v>72354</v>
      </c>
      <c r="K51" s="208">
        <f>ROUND(N(data!AZ65), 0)</f>
        <v>0</v>
      </c>
      <c r="L51" s="208">
        <f>ROUND(N(data!AZ66), 0)</f>
        <v>8816</v>
      </c>
      <c r="M51" s="208">
        <f>ROUND(N(data!AZ67), 0)</f>
        <v>0</v>
      </c>
      <c r="N51" s="208">
        <f>ROUND(N(data!AZ68), 0)</f>
        <v>6744</v>
      </c>
      <c r="O51" s="208">
        <f>ROUND(N(data!AZ69), 0)</f>
        <v>1245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1245</v>
      </c>
      <c r="AD51" s="208">
        <f>ROUND(N(data!AZ84), 0)</f>
        <v>128090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1693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107</v>
      </c>
      <c r="B52" s="210" t="str">
        <f>RIGHT(data!$C$96,4)</f>
        <v>2023</v>
      </c>
      <c r="C52" s="12" t="str">
        <f>data!BA$55</f>
        <v>8350</v>
      </c>
      <c r="D52" s="12" t="s">
        <v>1155</v>
      </c>
      <c r="E52" s="208">
        <f>ROUND(N(data!BA59), 0)</f>
        <v>0</v>
      </c>
      <c r="F52" s="316">
        <f>ROUND(N(data!BA60), 2)</f>
        <v>6.14</v>
      </c>
      <c r="G52" s="208">
        <f>ROUND(N(data!BA61), 0)</f>
        <v>304296</v>
      </c>
      <c r="H52" s="208">
        <f>ROUND(N(data!BA62), 0)</f>
        <v>67788</v>
      </c>
      <c r="I52" s="208">
        <f>ROUND(N(data!BA63), 0)</f>
        <v>0</v>
      </c>
      <c r="J52" s="208">
        <f>ROUND(N(data!BA64), 0)</f>
        <v>22376</v>
      </c>
      <c r="K52" s="208">
        <f>ROUND(N(data!BA65), 0)</f>
        <v>31560</v>
      </c>
      <c r="L52" s="208">
        <f>ROUND(N(data!BA66), 0)</f>
        <v>4106</v>
      </c>
      <c r="M52" s="208">
        <f>ROUND(N(data!BA67), 0)</f>
        <v>29406</v>
      </c>
      <c r="N52" s="208">
        <f>ROUND(N(data!BA68), 0)</f>
        <v>0</v>
      </c>
      <c r="O52" s="208">
        <f>ROUND(N(data!BA69), 0)</f>
        <v>791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656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135</v>
      </c>
      <c r="AD52" s="208">
        <f>ROUND(N(data!BA84), 0)</f>
        <v>370144</v>
      </c>
      <c r="AE52" s="208">
        <f>ROUND(N(data!BA89), 0)</f>
        <v>0</v>
      </c>
      <c r="AF52" s="208">
        <f>ROUND(N(data!BA87), 0)</f>
        <v>0</v>
      </c>
      <c r="AG52" s="208">
        <f>ROUND(N(data!BA90), 0)</f>
        <v>2073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107</v>
      </c>
      <c r="B53" s="210" t="str">
        <f>RIGHT(data!$C$96,4)</f>
        <v>2023</v>
      </c>
      <c r="C53" s="12" t="str">
        <f>data!BB$55</f>
        <v>8360</v>
      </c>
      <c r="D53" s="12" t="s">
        <v>1155</v>
      </c>
      <c r="E53" s="208">
        <f>ROUND(N(data!BB59), 0)</f>
        <v>0</v>
      </c>
      <c r="F53" s="316">
        <f>ROUND(N(data!BB60), 2)</f>
        <v>0.86</v>
      </c>
      <c r="G53" s="208">
        <f>ROUND(N(data!BB61), 0)</f>
        <v>72552</v>
      </c>
      <c r="H53" s="208">
        <f>ROUND(N(data!BB62), 0)</f>
        <v>16163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996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107</v>
      </c>
      <c r="B54" s="210" t="str">
        <f>RIGHT(data!$C$96,4)</f>
        <v>2023</v>
      </c>
      <c r="C54" s="12" t="str">
        <f>data!BC$55</f>
        <v>8370</v>
      </c>
      <c r="D54" s="12" t="s">
        <v>1155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107</v>
      </c>
      <c r="B55" s="210" t="str">
        <f>RIGHT(data!$C$96,4)</f>
        <v>2023</v>
      </c>
      <c r="C55" s="12" t="str">
        <f>data!BD$55</f>
        <v>8420</v>
      </c>
      <c r="D55" s="12" t="s">
        <v>1155</v>
      </c>
      <c r="E55" s="208">
        <f>ROUND(N(data!BD59), 0)</f>
        <v>0</v>
      </c>
      <c r="F55" s="316">
        <f>ROUND(N(data!BD60), 2)</f>
        <v>0.9</v>
      </c>
      <c r="G55" s="208">
        <f>ROUND(N(data!BD61), 0)</f>
        <v>46680</v>
      </c>
      <c r="H55" s="208">
        <f>ROUND(N(data!BD62), 0)</f>
        <v>10399</v>
      </c>
      <c r="I55" s="208">
        <f>ROUND(N(data!BD63), 0)</f>
        <v>0</v>
      </c>
      <c r="J55" s="208">
        <f>ROUND(N(data!BD64), 0)</f>
        <v>271204</v>
      </c>
      <c r="K55" s="208">
        <f>ROUND(N(data!BD65), 0)</f>
        <v>0</v>
      </c>
      <c r="L55" s="208">
        <f>ROUND(N(data!BD66), 0)</f>
        <v>1126</v>
      </c>
      <c r="M55" s="208">
        <f>ROUND(N(data!BD67), 0)</f>
        <v>0</v>
      </c>
      <c r="N55" s="208">
        <f>ROUND(N(data!BD68), 0)</f>
        <v>0</v>
      </c>
      <c r="O55" s="208">
        <f>ROUND(N(data!BD69), 0)</f>
        <v>3181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3181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107</v>
      </c>
      <c r="B56" s="210" t="str">
        <f>RIGHT(data!$C$96,4)</f>
        <v>2023</v>
      </c>
      <c r="C56" s="12" t="str">
        <f>data!BE$55</f>
        <v>8430</v>
      </c>
      <c r="D56" s="12" t="s">
        <v>1155</v>
      </c>
      <c r="E56" s="208">
        <f>ROUND(N(data!BE59), 0)</f>
        <v>92174</v>
      </c>
      <c r="F56" s="316">
        <f>ROUND(N(data!BE60), 2)</f>
        <v>5</v>
      </c>
      <c r="G56" s="208">
        <f>ROUND(N(data!BE61), 0)</f>
        <v>299715</v>
      </c>
      <c r="H56" s="208">
        <f>ROUND(N(data!BE62), 0)</f>
        <v>66768</v>
      </c>
      <c r="I56" s="208">
        <f>ROUND(N(data!BE63), 0)</f>
        <v>0</v>
      </c>
      <c r="J56" s="208">
        <f>ROUND(N(data!BE64), 0)</f>
        <v>6195</v>
      </c>
      <c r="K56" s="208">
        <f>ROUND(N(data!BE65), 0)</f>
        <v>331186</v>
      </c>
      <c r="L56" s="208">
        <f>ROUND(N(data!BE66), 0)</f>
        <v>39886</v>
      </c>
      <c r="M56" s="208">
        <f>ROUND(N(data!BE67), 0)</f>
        <v>133427</v>
      </c>
      <c r="N56" s="208">
        <f>ROUND(N(data!BE68), 0)</f>
        <v>391</v>
      </c>
      <c r="O56" s="208">
        <f>ROUND(N(data!BE69), 0)</f>
        <v>201106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195764</v>
      </c>
      <c r="X56" s="208">
        <f>ROUND(N(data!BE78), 0)</f>
        <v>0</v>
      </c>
      <c r="Y56" s="208">
        <f>ROUND(N(data!BE79), 0)</f>
        <v>0</v>
      </c>
      <c r="Z56" s="208">
        <f>ROUND(N(data!BE80), 0)</f>
        <v>4650</v>
      </c>
      <c r="AA56" s="208">
        <f>ROUND(N(data!BE81), 0)</f>
        <v>0</v>
      </c>
      <c r="AB56" s="208">
        <f>ROUND(N(data!BE82), 0)</f>
        <v>0</v>
      </c>
      <c r="AC56" s="208">
        <f>ROUND(N(data!BE83), 0)</f>
        <v>692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9406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107</v>
      </c>
      <c r="B57" s="210" t="str">
        <f>RIGHT(data!$C$96,4)</f>
        <v>2023</v>
      </c>
      <c r="C57" s="12" t="str">
        <f>data!BF$55</f>
        <v>8460</v>
      </c>
      <c r="D57" s="12" t="s">
        <v>1155</v>
      </c>
      <c r="E57" s="208">
        <f>ROUND(N(data!BF59), 0)</f>
        <v>0</v>
      </c>
      <c r="F57" s="316">
        <f>ROUND(N(data!BF60), 2)</f>
        <v>7.01</v>
      </c>
      <c r="G57" s="208">
        <f>ROUND(N(data!BF61), 0)</f>
        <v>359843</v>
      </c>
      <c r="H57" s="208">
        <f>ROUND(N(data!BF62), 0)</f>
        <v>80163</v>
      </c>
      <c r="I57" s="208">
        <f>ROUND(N(data!BF63), 0)</f>
        <v>0</v>
      </c>
      <c r="J57" s="208">
        <f>ROUND(N(data!BF64), 0)</f>
        <v>73894</v>
      </c>
      <c r="K57" s="208">
        <f>ROUND(N(data!BF65), 0)</f>
        <v>0</v>
      </c>
      <c r="L57" s="208">
        <f>ROUND(N(data!BF66), 0)</f>
        <v>25090</v>
      </c>
      <c r="M57" s="208">
        <f>ROUND(N(data!BF67), 0)</f>
        <v>21221</v>
      </c>
      <c r="N57" s="208">
        <f>ROUND(N(data!BF68), 0)</f>
        <v>0</v>
      </c>
      <c r="O57" s="208">
        <f>ROUND(N(data!BF69), 0)</f>
        <v>1499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1499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1496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107</v>
      </c>
      <c r="B58" s="210" t="str">
        <f>RIGHT(data!$C$96,4)</f>
        <v>2023</v>
      </c>
      <c r="C58" s="12" t="str">
        <f>data!BG$55</f>
        <v>8470</v>
      </c>
      <c r="D58" s="12" t="s">
        <v>1155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1892</v>
      </c>
      <c r="K58" s="208">
        <f>ROUND(N(data!BG65), 0)</f>
        <v>35282</v>
      </c>
      <c r="L58" s="208">
        <f>ROUND(N(data!BG66), 0)</f>
        <v>10445</v>
      </c>
      <c r="M58" s="208">
        <f>ROUND(N(data!BG67), 0)</f>
        <v>10497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740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107</v>
      </c>
      <c r="B59" s="210" t="str">
        <f>RIGHT(data!$C$96,4)</f>
        <v>2023</v>
      </c>
      <c r="C59" s="12" t="str">
        <f>data!BH$55</f>
        <v>8480</v>
      </c>
      <c r="D59" s="12" t="s">
        <v>1155</v>
      </c>
      <c r="E59" s="208">
        <f>ROUND(N(data!BH59), 0)</f>
        <v>0</v>
      </c>
      <c r="F59" s="316">
        <f>ROUND(N(data!BH60), 2)</f>
        <v>1.99</v>
      </c>
      <c r="G59" s="208">
        <f>ROUND(N(data!BH61), 0)</f>
        <v>204713</v>
      </c>
      <c r="H59" s="208">
        <f>ROUND(N(data!BH62), 0)</f>
        <v>45604</v>
      </c>
      <c r="I59" s="208">
        <f>ROUND(N(data!BH63), 0)</f>
        <v>124868</v>
      </c>
      <c r="J59" s="208">
        <f>ROUND(N(data!BH64), 0)</f>
        <v>13455</v>
      </c>
      <c r="K59" s="208">
        <f>ROUND(N(data!BH65), 0)</f>
        <v>0</v>
      </c>
      <c r="L59" s="208">
        <f>ROUND(N(data!BH66), 0)</f>
        <v>466303</v>
      </c>
      <c r="M59" s="208">
        <f>ROUND(N(data!BH67), 0)</f>
        <v>20640</v>
      </c>
      <c r="N59" s="208">
        <f>ROUND(N(data!BH68), 0)</f>
        <v>0</v>
      </c>
      <c r="O59" s="208">
        <f>ROUND(N(data!BH69), 0)</f>
        <v>43557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2805</v>
      </c>
      <c r="X59" s="208">
        <f>ROUND(N(data!BH78), 0)</f>
        <v>0</v>
      </c>
      <c r="Y59" s="208">
        <f>ROUND(N(data!BH79), 0)</f>
        <v>0</v>
      </c>
      <c r="Z59" s="208">
        <f>ROUND(N(data!BH80), 0)</f>
        <v>5369</v>
      </c>
      <c r="AA59" s="208">
        <f>ROUND(N(data!BH81), 0)</f>
        <v>0</v>
      </c>
      <c r="AB59" s="208">
        <f>ROUND(N(data!BH82), 0)</f>
        <v>0</v>
      </c>
      <c r="AC59" s="208">
        <f>ROUND(N(data!BH83), 0)</f>
        <v>35383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1455</v>
      </c>
      <c r="AH59" s="208">
        <f>ROUND(N(data!BH91), 0)</f>
        <v>0</v>
      </c>
      <c r="AI59" s="208">
        <f>ROUND(N(data!BH92), 0)</f>
        <v>70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107</v>
      </c>
      <c r="B60" s="210" t="str">
        <f>RIGHT(data!$C$96,4)</f>
        <v>2023</v>
      </c>
      <c r="C60" s="12" t="str">
        <f>data!BI$55</f>
        <v>8490</v>
      </c>
      <c r="D60" s="12" t="s">
        <v>1155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107</v>
      </c>
      <c r="B61" s="210" t="str">
        <f>RIGHT(data!$C$96,4)</f>
        <v>2023</v>
      </c>
      <c r="C61" s="12" t="str">
        <f>data!BJ$55</f>
        <v>8510</v>
      </c>
      <c r="D61" s="12" t="s">
        <v>1155</v>
      </c>
      <c r="E61" s="208">
        <f>ROUND(N(data!BJ59), 0)</f>
        <v>0</v>
      </c>
      <c r="F61" s="316">
        <f>ROUND(N(data!BJ60), 2)</f>
        <v>6.87</v>
      </c>
      <c r="G61" s="208">
        <f>ROUND(N(data!BJ61), 0)</f>
        <v>528018</v>
      </c>
      <c r="H61" s="208">
        <f>ROUND(N(data!BJ62), 0)</f>
        <v>117627</v>
      </c>
      <c r="I61" s="208">
        <f>ROUND(N(data!BJ63), 0)</f>
        <v>65500</v>
      </c>
      <c r="J61" s="208">
        <f>ROUND(N(data!BJ64), 0)</f>
        <v>9813</v>
      </c>
      <c r="K61" s="208">
        <f>ROUND(N(data!BJ65), 0)</f>
        <v>0</v>
      </c>
      <c r="L61" s="208">
        <f>ROUND(N(data!BJ66), 0)</f>
        <v>9039</v>
      </c>
      <c r="M61" s="208">
        <f>ROUND(N(data!BJ67), 0)</f>
        <v>34555</v>
      </c>
      <c r="N61" s="208">
        <f>ROUND(N(data!BJ68), 0)</f>
        <v>0</v>
      </c>
      <c r="O61" s="208">
        <f>ROUND(N(data!BJ69), 0)</f>
        <v>44760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2026</v>
      </c>
      <c r="AA61" s="208">
        <f>ROUND(N(data!BJ81), 0)</f>
        <v>0</v>
      </c>
      <c r="AB61" s="208">
        <f>ROUND(N(data!BJ82), 0)</f>
        <v>0</v>
      </c>
      <c r="AC61" s="208">
        <f>ROUND(N(data!BJ83), 0)</f>
        <v>42734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2436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107</v>
      </c>
      <c r="B62" s="210" t="str">
        <f>RIGHT(data!$C$96,4)</f>
        <v>2023</v>
      </c>
      <c r="C62" s="12" t="str">
        <f>data!BK$55</f>
        <v>8530</v>
      </c>
      <c r="D62" s="12" t="s">
        <v>1155</v>
      </c>
      <c r="E62" s="208">
        <f>ROUND(N(data!BK59), 0)</f>
        <v>0</v>
      </c>
      <c r="F62" s="316">
        <f>ROUND(N(data!BK60), 2)</f>
        <v>7.5</v>
      </c>
      <c r="G62" s="208">
        <f>ROUND(N(data!BK61), 0)</f>
        <v>421964</v>
      </c>
      <c r="H62" s="208">
        <f>ROUND(N(data!BK62), 0)</f>
        <v>94002</v>
      </c>
      <c r="I62" s="208">
        <f>ROUND(N(data!BK63), 0)</f>
        <v>10880</v>
      </c>
      <c r="J62" s="208">
        <f>ROUND(N(data!BK64), 0)</f>
        <v>3784</v>
      </c>
      <c r="K62" s="208">
        <f>ROUND(N(data!BK65), 0)</f>
        <v>0</v>
      </c>
      <c r="L62" s="208">
        <f>ROUND(N(data!BK66), 0)</f>
        <v>98558</v>
      </c>
      <c r="M62" s="208">
        <f>ROUND(N(data!BK67), 0)</f>
        <v>0</v>
      </c>
      <c r="N62" s="208">
        <f>ROUND(N(data!BK68), 0)</f>
        <v>0</v>
      </c>
      <c r="O62" s="208">
        <f>ROUND(N(data!BK69), 0)</f>
        <v>575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200</v>
      </c>
      <c r="AA62" s="208">
        <f>ROUND(N(data!BK81), 0)</f>
        <v>0</v>
      </c>
      <c r="AB62" s="208">
        <f>ROUND(N(data!BK82), 0)</f>
        <v>0</v>
      </c>
      <c r="AC62" s="208">
        <f>ROUND(N(data!BK83), 0)</f>
        <v>375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107</v>
      </c>
      <c r="B63" s="210" t="str">
        <f>RIGHT(data!$C$96,4)</f>
        <v>2023</v>
      </c>
      <c r="C63" s="12" t="str">
        <f>data!BL$55</f>
        <v>8560</v>
      </c>
      <c r="D63" s="12" t="s">
        <v>1155</v>
      </c>
      <c r="E63" s="208">
        <f>ROUND(N(data!BL59), 0)</f>
        <v>0</v>
      </c>
      <c r="F63" s="316">
        <f>ROUND(N(data!BL60), 2)</f>
        <v>8.82</v>
      </c>
      <c r="G63" s="208">
        <f>ROUND(N(data!BL61), 0)</f>
        <v>410426</v>
      </c>
      <c r="H63" s="208">
        <f>ROUND(N(data!BL62), 0)</f>
        <v>91431</v>
      </c>
      <c r="I63" s="208">
        <f>ROUND(N(data!BL63), 0)</f>
        <v>0</v>
      </c>
      <c r="J63" s="208">
        <f>ROUND(N(data!BL64), 0)</f>
        <v>9389</v>
      </c>
      <c r="K63" s="208">
        <f>ROUND(N(data!BL65), 0)</f>
        <v>0</v>
      </c>
      <c r="L63" s="208">
        <f>ROUND(N(data!BL66), 0)</f>
        <v>5275</v>
      </c>
      <c r="M63" s="208">
        <f>ROUND(N(data!BL67), 0)</f>
        <v>32314</v>
      </c>
      <c r="N63" s="208">
        <f>ROUND(N(data!BL68), 0)</f>
        <v>0</v>
      </c>
      <c r="O63" s="208">
        <f>ROUND(N(data!BL69), 0)</f>
        <v>347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347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2278</v>
      </c>
      <c r="AH63" s="208">
        <f>ROUND(N(data!BL91), 0)</f>
        <v>0</v>
      </c>
      <c r="AI63" s="208">
        <f>ROUND(N(data!BL92), 0)</f>
        <v>266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107</v>
      </c>
      <c r="B64" s="210" t="str">
        <f>RIGHT(data!$C$96,4)</f>
        <v>2023</v>
      </c>
      <c r="C64" s="12" t="str">
        <f>data!BM$55</f>
        <v>8590</v>
      </c>
      <c r="D64" s="12" t="s">
        <v>1155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107</v>
      </c>
      <c r="B65" s="210" t="str">
        <f>RIGHT(data!$C$96,4)</f>
        <v>2023</v>
      </c>
      <c r="C65" s="12" t="str">
        <f>data!BN$55</f>
        <v>8610</v>
      </c>
      <c r="D65" s="12" t="s">
        <v>1155</v>
      </c>
      <c r="E65" s="208">
        <f>ROUND(N(data!BN59), 0)</f>
        <v>0</v>
      </c>
      <c r="F65" s="316">
        <f>ROUND(N(data!BN60), 2)</f>
        <v>2.1800000000000002</v>
      </c>
      <c r="G65" s="208">
        <f>ROUND(N(data!BN61), 0)</f>
        <v>1830799</v>
      </c>
      <c r="H65" s="208">
        <f>ROUND(N(data!BN62), 0)</f>
        <v>407850</v>
      </c>
      <c r="I65" s="208">
        <f>ROUND(N(data!BN63), 0)</f>
        <v>171009</v>
      </c>
      <c r="J65" s="208">
        <f>ROUND(N(data!BN64), 0)</f>
        <v>69354</v>
      </c>
      <c r="K65" s="208">
        <f>ROUND(N(data!BN65), 0)</f>
        <v>10257</v>
      </c>
      <c r="L65" s="208">
        <f>ROUND(N(data!BN66), 0)</f>
        <v>181703</v>
      </c>
      <c r="M65" s="208">
        <f>ROUND(N(data!BN67), 0)</f>
        <v>43421</v>
      </c>
      <c r="N65" s="208">
        <f>ROUND(N(data!BN68), 0)</f>
        <v>129289</v>
      </c>
      <c r="O65" s="208">
        <f>ROUND(N(data!BN69), 0)</f>
        <v>94276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478</v>
      </c>
      <c r="X65" s="208">
        <f>ROUND(N(data!BN78), 0)</f>
        <v>0</v>
      </c>
      <c r="Y65" s="208">
        <f>ROUND(N(data!BN79), 0)</f>
        <v>932</v>
      </c>
      <c r="Z65" s="208">
        <f>ROUND(N(data!BN80), 0)</f>
        <v>897</v>
      </c>
      <c r="AA65" s="208">
        <f>ROUND(N(data!BN81), 0)</f>
        <v>0</v>
      </c>
      <c r="AB65" s="208">
        <f>ROUND(N(data!BN82), 0)</f>
        <v>0</v>
      </c>
      <c r="AC65" s="208">
        <f>ROUND(N(data!BN83), 0)</f>
        <v>91969</v>
      </c>
      <c r="AD65" s="208">
        <f>ROUND(N(data!BN84), 0)</f>
        <v>32804</v>
      </c>
      <c r="AE65" s="208">
        <f>ROUND(N(data!BN89), 0)</f>
        <v>0</v>
      </c>
      <c r="AF65" s="208">
        <f>ROUND(N(data!BN87), 0)</f>
        <v>0</v>
      </c>
      <c r="AG65" s="208">
        <f>ROUND(N(data!BN90), 0)</f>
        <v>3061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107</v>
      </c>
      <c r="B66" s="210" t="str">
        <f>RIGHT(data!$C$96,4)</f>
        <v>2023</v>
      </c>
      <c r="C66" s="12" t="str">
        <f>data!BO$55</f>
        <v>8620</v>
      </c>
      <c r="D66" s="12" t="s">
        <v>1155</v>
      </c>
      <c r="E66" s="208">
        <f>ROUND(N(data!BO59), 0)</f>
        <v>0</v>
      </c>
      <c r="F66" s="316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107</v>
      </c>
      <c r="B67" s="210" t="str">
        <f>RIGHT(data!$C$96,4)</f>
        <v>2023</v>
      </c>
      <c r="C67" s="12" t="str">
        <f>data!BP$55</f>
        <v>8630</v>
      </c>
      <c r="D67" s="12" t="s">
        <v>1155</v>
      </c>
      <c r="E67" s="208">
        <f>ROUND(N(data!BP59), 0)</f>
        <v>0</v>
      </c>
      <c r="F67" s="316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107</v>
      </c>
      <c r="B68" s="210" t="str">
        <f>RIGHT(data!$C$96,4)</f>
        <v>2023</v>
      </c>
      <c r="C68" s="12" t="str">
        <f>data!BQ$55</f>
        <v>8640</v>
      </c>
      <c r="D68" s="12" t="s">
        <v>1155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107</v>
      </c>
      <c r="B69" s="210" t="str">
        <f>RIGHT(data!$C$96,4)</f>
        <v>2023</v>
      </c>
      <c r="C69" s="12" t="str">
        <f>data!BR$55</f>
        <v>8650</v>
      </c>
      <c r="D69" s="12" t="s">
        <v>1155</v>
      </c>
      <c r="E69" s="208">
        <f>ROUND(N(data!BR59), 0)</f>
        <v>0</v>
      </c>
      <c r="F69" s="316">
        <f>ROUND(N(data!BR60), 2)</f>
        <v>2.17</v>
      </c>
      <c r="G69" s="208">
        <f>ROUND(N(data!BR61), 0)</f>
        <v>195383</v>
      </c>
      <c r="H69" s="208">
        <f>ROUND(N(data!BR62), 0)</f>
        <v>43526</v>
      </c>
      <c r="I69" s="208">
        <f>ROUND(N(data!BR63), 0)</f>
        <v>109022</v>
      </c>
      <c r="J69" s="208">
        <f>ROUND(N(data!BR64), 0)</f>
        <v>5947</v>
      </c>
      <c r="K69" s="208">
        <f>ROUND(N(data!BR65), 0)</f>
        <v>0</v>
      </c>
      <c r="L69" s="208">
        <f>ROUND(N(data!BR66), 0)</f>
        <v>12342</v>
      </c>
      <c r="M69" s="208">
        <f>ROUND(N(data!BR67), 0)</f>
        <v>37563</v>
      </c>
      <c r="N69" s="208">
        <f>ROUND(N(data!BR68), 0)</f>
        <v>0</v>
      </c>
      <c r="O69" s="208">
        <f>ROUND(N(data!BR69), 0)</f>
        <v>99735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880</v>
      </c>
      <c r="X69" s="208">
        <f>ROUND(N(data!BR78), 0)</f>
        <v>0</v>
      </c>
      <c r="Y69" s="208">
        <f>ROUND(N(data!BR79), 0)</f>
        <v>96404</v>
      </c>
      <c r="Z69" s="208">
        <f>ROUND(N(data!BR80), 0)</f>
        <v>1490</v>
      </c>
      <c r="AA69" s="208">
        <f>ROUND(N(data!BR81), 0)</f>
        <v>0</v>
      </c>
      <c r="AB69" s="208">
        <f>ROUND(N(data!BR82), 0)</f>
        <v>0</v>
      </c>
      <c r="AC69" s="208">
        <f>ROUND(N(data!BR83), 0)</f>
        <v>961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2648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107</v>
      </c>
      <c r="B70" s="210" t="str">
        <f>RIGHT(data!$C$96,4)</f>
        <v>2023</v>
      </c>
      <c r="C70" s="12" t="str">
        <f>data!BS$55</f>
        <v>8660</v>
      </c>
      <c r="D70" s="12" t="s">
        <v>1155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107</v>
      </c>
      <c r="B71" s="210" t="str">
        <f>RIGHT(data!$C$96,4)</f>
        <v>2023</v>
      </c>
      <c r="C71" s="12" t="str">
        <f>data!BT$55</f>
        <v>8670</v>
      </c>
      <c r="D71" s="12" t="s">
        <v>1155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107</v>
      </c>
      <c r="B72" s="210" t="str">
        <f>RIGHT(data!$C$96,4)</f>
        <v>2023</v>
      </c>
      <c r="C72" s="12" t="str">
        <f>data!BU$55</f>
        <v>8680</v>
      </c>
      <c r="D72" s="12" t="s">
        <v>1155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107</v>
      </c>
      <c r="B73" s="210" t="str">
        <f>RIGHT(data!$C$96,4)</f>
        <v>2023</v>
      </c>
      <c r="C73" s="12" t="str">
        <f>data!BV$55</f>
        <v>8690</v>
      </c>
      <c r="D73" s="12" t="s">
        <v>1155</v>
      </c>
      <c r="E73" s="208">
        <f>ROUND(N(data!BV59), 0)</f>
        <v>0</v>
      </c>
      <c r="F73" s="316">
        <f>ROUND(N(data!BV60), 2)</f>
        <v>10.37</v>
      </c>
      <c r="G73" s="208">
        <f>ROUND(N(data!BV61), 0)</f>
        <v>549665</v>
      </c>
      <c r="H73" s="208">
        <f>ROUND(N(data!BV62), 0)</f>
        <v>122450</v>
      </c>
      <c r="I73" s="208">
        <f>ROUND(N(data!BV63), 0)</f>
        <v>49000</v>
      </c>
      <c r="J73" s="208">
        <f>ROUND(N(data!BV64), 0)</f>
        <v>3448</v>
      </c>
      <c r="K73" s="208">
        <f>ROUND(N(data!BV65), 0)</f>
        <v>0</v>
      </c>
      <c r="L73" s="208">
        <f>ROUND(N(data!BV66), 0)</f>
        <v>40683</v>
      </c>
      <c r="M73" s="208">
        <f>ROUND(N(data!BV67), 0)</f>
        <v>18412</v>
      </c>
      <c r="N73" s="208">
        <f>ROUND(N(data!BV68), 0)</f>
        <v>17473</v>
      </c>
      <c r="O73" s="208">
        <f>ROUND(N(data!BV69), 0)</f>
        <v>7978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4235</v>
      </c>
      <c r="AA73" s="208">
        <f>ROUND(N(data!BV81), 0)</f>
        <v>0</v>
      </c>
      <c r="AB73" s="208">
        <f>ROUND(N(data!BV82), 0)</f>
        <v>0</v>
      </c>
      <c r="AC73" s="208">
        <f>ROUND(N(data!BV83), 0)</f>
        <v>3743</v>
      </c>
      <c r="AD73" s="208">
        <f>ROUND(N(data!BV84), 0)</f>
        <v>18905</v>
      </c>
      <c r="AE73" s="208">
        <f>ROUND(N(data!BV89), 0)</f>
        <v>0</v>
      </c>
      <c r="AF73" s="208">
        <f>ROUND(N(data!BV87), 0)</f>
        <v>0</v>
      </c>
      <c r="AG73" s="208">
        <f>ROUND(N(data!BV90), 0)</f>
        <v>1298</v>
      </c>
      <c r="AH73" s="208">
        <f>ROUND(N(data!BV91), 0)</f>
        <v>0</v>
      </c>
      <c r="AI73" s="208">
        <f>ROUND(N(data!BV92), 0)</f>
        <v>45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107</v>
      </c>
      <c r="B74" s="210" t="str">
        <f>RIGHT(data!$C$96,4)</f>
        <v>2023</v>
      </c>
      <c r="C74" s="12" t="str">
        <f>data!BW$55</f>
        <v>8700</v>
      </c>
      <c r="D74" s="12" t="s">
        <v>1155</v>
      </c>
      <c r="E74" s="208">
        <f>ROUND(N(data!BW59), 0)</f>
        <v>0</v>
      </c>
      <c r="F74" s="316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107</v>
      </c>
      <c r="B75" s="210" t="str">
        <f>RIGHT(data!$C$96,4)</f>
        <v>2023</v>
      </c>
      <c r="C75" s="12" t="str">
        <f>data!BX$55</f>
        <v>8710</v>
      </c>
      <c r="D75" s="12" t="s">
        <v>1155</v>
      </c>
      <c r="E75" s="208">
        <f>ROUND(N(data!BX59), 0)</f>
        <v>0</v>
      </c>
      <c r="F75" s="316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107</v>
      </c>
      <c r="B76" s="210" t="str">
        <f>RIGHT(data!$C$96,4)</f>
        <v>2023</v>
      </c>
      <c r="C76" s="12" t="str">
        <f>data!BY$55</f>
        <v>8720</v>
      </c>
      <c r="D76" s="12" t="s">
        <v>1155</v>
      </c>
      <c r="E76" s="208">
        <f>ROUND(N(data!BY59), 0)</f>
        <v>0</v>
      </c>
      <c r="F76" s="316">
        <f>ROUND(N(data!BY60), 2)</f>
        <v>2.66</v>
      </c>
      <c r="G76" s="208">
        <f>ROUND(N(data!BY61), 0)</f>
        <v>330385</v>
      </c>
      <c r="H76" s="208">
        <f>ROUND(N(data!BY62), 0)</f>
        <v>73600</v>
      </c>
      <c r="I76" s="208">
        <f>ROUND(N(data!BY63), 0)</f>
        <v>0</v>
      </c>
      <c r="J76" s="208">
        <f>ROUND(N(data!BY64), 0)</f>
        <v>4734</v>
      </c>
      <c r="K76" s="208">
        <f>ROUND(N(data!BY65), 0)</f>
        <v>0</v>
      </c>
      <c r="L76" s="208">
        <f>ROUND(N(data!BY66), 0)</f>
        <v>12876</v>
      </c>
      <c r="M76" s="208">
        <f>ROUND(N(data!BY67), 0)</f>
        <v>8000</v>
      </c>
      <c r="N76" s="208">
        <f>ROUND(N(data!BY68), 0)</f>
        <v>0</v>
      </c>
      <c r="O76" s="208">
        <f>ROUND(N(data!BY69), 0)</f>
        <v>25669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25669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564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107</v>
      </c>
      <c r="B77" s="210" t="str">
        <f>RIGHT(data!$C$96,4)</f>
        <v>2023</v>
      </c>
      <c r="C77" s="12" t="str">
        <f>data!BZ$55</f>
        <v>8730</v>
      </c>
      <c r="D77" s="12" t="s">
        <v>1155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107</v>
      </c>
      <c r="B78" s="210" t="str">
        <f>RIGHT(data!$C$96,4)</f>
        <v>2023</v>
      </c>
      <c r="C78" s="12" t="str">
        <f>data!CA$55</f>
        <v>8740</v>
      </c>
      <c r="D78" s="12" t="s">
        <v>1155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107</v>
      </c>
      <c r="B79" s="210" t="str">
        <f>RIGHT(data!$C$96,4)</f>
        <v>2023</v>
      </c>
      <c r="C79" s="12" t="str">
        <f>data!CB$55</f>
        <v>8770</v>
      </c>
      <c r="D79" s="12" t="s">
        <v>1155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107</v>
      </c>
      <c r="B80" s="210" t="str">
        <f>RIGHT(data!$C$96,4)</f>
        <v>2023</v>
      </c>
      <c r="C80" s="12" t="str">
        <f>data!CC$55</f>
        <v>8790</v>
      </c>
      <c r="D80" s="12" t="s">
        <v>1155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013-0F1A-4CE9-9025-9FC381EDEF24}">
  <sheetPr codeName="Sheet2">
    <tabColor rgb="FF92D050"/>
    <pageSetUpPr fitToPage="1"/>
  </sheetPr>
  <dimension ref="B1:J42"/>
  <sheetViews>
    <sheetView topLeftCell="A13" workbookViewId="0">
      <selection activeCell="H25" sqref="H25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NORTH VALLEY HOSPITAL OCPHD#4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H-107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203 S WESTERN AVE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+data!C99</f>
        <v>203 S WESTERN AVE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CONCATENATE(+data!C100,", ",+data!C101)</f>
        <v>TONASKET, WA 98855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D0D83-ADEF-43A6-8971-6BD7647C9A34}">
  <sheetPr codeName="Sheet9">
    <tabColor rgb="FF92D050"/>
    <pageSetUpPr fitToPage="1"/>
  </sheetPr>
  <dimension ref="A2:M94"/>
  <sheetViews>
    <sheetView topLeftCell="A47" zoomScale="85" zoomScaleNormal="85" workbookViewId="0">
      <selection activeCell="I69" sqref="I6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1371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107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725</v>
      </c>
      <c r="C13" s="242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2" t="s">
        <v>365</v>
      </c>
      <c r="C14" s="242" t="s">
        <v>365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2">
        <f>ROUND(N('Prior Year'!C85), 0)</f>
        <v>0</v>
      </c>
      <c r="C15" s="242">
        <f>data!C85</f>
        <v>0</v>
      </c>
      <c r="D15" s="242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2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ht="29" x14ac:dyDescent="0.35">
      <c r="A17" s="1" t="s">
        <v>737</v>
      </c>
      <c r="B17" s="242">
        <f>ROUND(N('Prior Year'!E85), 0)</f>
        <v>939057</v>
      </c>
      <c r="C17" s="242">
        <f>data!E85</f>
        <v>1287525</v>
      </c>
      <c r="D17" s="242">
        <f>ROUND(N('Prior Year'!E59), 0)</f>
        <v>945</v>
      </c>
      <c r="E17" s="1">
        <f>data!E59</f>
        <v>971</v>
      </c>
      <c r="F17" s="217">
        <f t="shared" si="0"/>
        <v>993.71111111111111</v>
      </c>
      <c r="G17" s="217">
        <f t="shared" si="1"/>
        <v>1325.9783728115344</v>
      </c>
      <c r="H17" s="6">
        <f t="shared" si="2"/>
        <v>0.33437007796853657</v>
      </c>
      <c r="I17" s="346" t="s">
        <v>1365</v>
      </c>
      <c r="J17" s="348"/>
      <c r="M17" s="7"/>
    </row>
    <row r="18" spans="1:13" x14ac:dyDescent="0.35">
      <c r="A18" s="1" t="s">
        <v>738</v>
      </c>
      <c r="B18" s="242">
        <f>ROUND(N('Prior Year'!F85), 0)</f>
        <v>0</v>
      </c>
      <c r="C18" s="242">
        <f>data!F85</f>
        <v>0</v>
      </c>
      <c r="D18" s="242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M18" s="7"/>
    </row>
    <row r="19" spans="1:13" x14ac:dyDescent="0.35">
      <c r="A19" s="1" t="s">
        <v>739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740</v>
      </c>
      <c r="B20" s="242">
        <f>ROUND(N('Prior Year'!H85), 0)</f>
        <v>0</v>
      </c>
      <c r="C20" s="242">
        <f>data!H85</f>
        <v>0</v>
      </c>
      <c r="D20" s="242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M20" s="7"/>
    </row>
    <row r="21" spans="1:13" x14ac:dyDescent="0.35">
      <c r="A21" s="1" t="s">
        <v>741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742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743</v>
      </c>
      <c r="B23" s="242">
        <f>ROUND(N('Prior Year'!K85), 0)</f>
        <v>3333669</v>
      </c>
      <c r="C23" s="242">
        <f>data!K85</f>
        <v>3587530</v>
      </c>
      <c r="D23" s="242">
        <f>ROUND(N('Prior Year'!K59), 0)</f>
        <v>13283</v>
      </c>
      <c r="E23" s="1">
        <f>data!K59</f>
        <v>12951</v>
      </c>
      <c r="F23" s="217">
        <f t="shared" si="0"/>
        <v>250.97259655198374</v>
      </c>
      <c r="G23" s="217">
        <f t="shared" si="1"/>
        <v>277.00795305381826</v>
      </c>
      <c r="H23" s="6" t="str">
        <f t="shared" si="2"/>
        <v/>
      </c>
      <c r="I23" s="242" t="str">
        <f t="shared" si="3"/>
        <v/>
      </c>
      <c r="M23" s="7"/>
    </row>
    <row r="24" spans="1:13" ht="43.5" x14ac:dyDescent="0.35">
      <c r="A24" s="1" t="s">
        <v>744</v>
      </c>
      <c r="B24" s="242">
        <f>ROUND(N('Prior Year'!L85), 0)</f>
        <v>1953635</v>
      </c>
      <c r="C24" s="242">
        <f>data!L85</f>
        <v>2076472</v>
      </c>
      <c r="D24" s="242">
        <f>ROUND(N('Prior Year'!L59), 0)</f>
        <v>1966</v>
      </c>
      <c r="E24" s="1">
        <f>data!L59</f>
        <v>1566</v>
      </c>
      <c r="F24" s="217">
        <f t="shared" si="0"/>
        <v>993.71057985757886</v>
      </c>
      <c r="G24" s="217">
        <f t="shared" si="1"/>
        <v>1325.9719029374203</v>
      </c>
      <c r="H24" s="6">
        <f t="shared" si="2"/>
        <v>0.33436428052065414</v>
      </c>
      <c r="I24" s="346" t="s">
        <v>1364</v>
      </c>
      <c r="M24" s="7"/>
    </row>
    <row r="25" spans="1:13" x14ac:dyDescent="0.35">
      <c r="A25" s="1" t="s">
        <v>745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747</v>
      </c>
      <c r="B27" s="242">
        <f>ROUND(N('Prior Year'!O85), 0)</f>
        <v>0</v>
      </c>
      <c r="C27" s="242">
        <f>data!O85</f>
        <v>0</v>
      </c>
      <c r="D27" s="242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J27" s="218"/>
      <c r="M27" s="7"/>
    </row>
    <row r="28" spans="1:13" x14ac:dyDescent="0.35">
      <c r="A28" s="1" t="s">
        <v>748</v>
      </c>
      <c r="B28" s="242">
        <f>ROUND(N('Prior Year'!P85), 0)</f>
        <v>756443</v>
      </c>
      <c r="C28" s="242">
        <f>data!P85</f>
        <v>812781</v>
      </c>
      <c r="D28" s="242">
        <f>ROUND(N('Prior Year'!P59), 0)</f>
        <v>6217</v>
      </c>
      <c r="E28" s="1">
        <f>data!P59</f>
        <v>6031</v>
      </c>
      <c r="F28" s="217">
        <f t="shared" si="0"/>
        <v>121.67331510374778</v>
      </c>
      <c r="G28" s="217">
        <f t="shared" si="1"/>
        <v>134.76720278560768</v>
      </c>
      <c r="H28" s="6" t="str">
        <f t="shared" si="2"/>
        <v/>
      </c>
      <c r="I28" s="242" t="str">
        <f t="shared" si="3"/>
        <v/>
      </c>
      <c r="J28" s="347"/>
      <c r="M28" s="7"/>
    </row>
    <row r="29" spans="1:13" ht="29" x14ac:dyDescent="0.35">
      <c r="A29" s="1" t="s">
        <v>749</v>
      </c>
      <c r="B29" s="242">
        <f>ROUND(N('Prior Year'!Q85), 0)</f>
        <v>25027</v>
      </c>
      <c r="C29" s="242">
        <f>data!Q85</f>
        <v>21691</v>
      </c>
      <c r="D29" s="242">
        <f>ROUND(N('Prior Year'!Q59), 0)</f>
        <v>5002</v>
      </c>
      <c r="E29" s="1">
        <f>data!Q59</f>
        <v>1721.34</v>
      </c>
      <c r="F29" s="217">
        <f t="shared" si="0"/>
        <v>5.0033986405437822</v>
      </c>
      <c r="G29" s="217">
        <f t="shared" si="1"/>
        <v>12.601229274867254</v>
      </c>
      <c r="H29" s="6">
        <f t="shared" si="2"/>
        <v>1.5185339366638435</v>
      </c>
      <c r="I29" s="346" t="s">
        <v>1366</v>
      </c>
      <c r="J29" s="347"/>
      <c r="M29" s="7"/>
    </row>
    <row r="30" spans="1:13" ht="58" x14ac:dyDescent="0.35">
      <c r="A30" s="1" t="s">
        <v>750</v>
      </c>
      <c r="B30" s="242">
        <f>ROUND(N('Prior Year'!R85), 0)</f>
        <v>533944</v>
      </c>
      <c r="C30" s="242">
        <f>data!R85</f>
        <v>107990</v>
      </c>
      <c r="D30" s="242">
        <f>ROUND(N('Prior Year'!R59), 0)</f>
        <v>2265</v>
      </c>
      <c r="E30" s="1">
        <f>data!R59</f>
        <v>1169</v>
      </c>
      <c r="F30" s="217">
        <f t="shared" si="0"/>
        <v>235.73686534216336</v>
      </c>
      <c r="G30" s="217">
        <f>IFERROR(IF(C30=0,"",IF(E30=0,"",C30/E30)),"")</f>
        <v>92.378100940975187</v>
      </c>
      <c r="H30" s="6">
        <f t="shared" si="2"/>
        <v>-0.60813044320882192</v>
      </c>
      <c r="I30" s="346" t="s">
        <v>1367</v>
      </c>
      <c r="J30" s="348"/>
      <c r="M30" s="7"/>
    </row>
    <row r="31" spans="1:13" x14ac:dyDescent="0.35">
      <c r="A31" s="1" t="s">
        <v>751</v>
      </c>
      <c r="B31" s="242">
        <f>ROUND(N('Prior Year'!S85), 0)</f>
        <v>360973</v>
      </c>
      <c r="C31" s="242">
        <f>data!S85</f>
        <v>63706</v>
      </c>
      <c r="D31" s="242" t="s">
        <v>752</v>
      </c>
      <c r="E31" s="4" t="s">
        <v>752</v>
      </c>
      <c r="F31" s="217" t="s">
        <v>5</v>
      </c>
      <c r="G31" s="217" t="str">
        <f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753</v>
      </c>
      <c r="B32" s="242">
        <f>ROUND(N('Prior Year'!T85), 0)</f>
        <v>0</v>
      </c>
      <c r="C32" s="242">
        <f>data!T85</f>
        <v>0</v>
      </c>
      <c r="D32" s="242" t="s">
        <v>752</v>
      </c>
      <c r="E32" s="4" t="s">
        <v>752</v>
      </c>
      <c r="F32" s="217" t="s">
        <v>5</v>
      </c>
      <c r="G32" s="217" t="str">
        <f>IFERROR(IF(C32=0,"",IF(E32=0,"",C32/E32)),"")</f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754</v>
      </c>
      <c r="B33" s="242">
        <f>ROUND(N('Prior Year'!U85), 0)</f>
        <v>1988731</v>
      </c>
      <c r="C33" s="242">
        <f>data!U85</f>
        <v>1485545</v>
      </c>
      <c r="D33" s="242">
        <f>ROUND(N('Prior Year'!U59), 0)</f>
        <v>62693</v>
      </c>
      <c r="E33" s="1">
        <f>data!U59</f>
        <v>42988</v>
      </c>
      <c r="F33" s="217">
        <f t="shared" si="0"/>
        <v>31.721739269136904</v>
      </c>
      <c r="G33" s="217">
        <f t="shared" ref="G33:G69" si="4">IF(C33=0,"",IF(E33=0,"",C33/E33))</f>
        <v>34.557202009863218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755</v>
      </c>
      <c r="B34" s="242">
        <f>ROUND(N('Prior Year'!V85), 0)</f>
        <v>0</v>
      </c>
      <c r="C34" s="242">
        <f>data!V85</f>
        <v>0</v>
      </c>
      <c r="D34" s="242">
        <f>ROUND(N('Prior Year'!V59), 0)</f>
        <v>3029</v>
      </c>
      <c r="E34" s="1">
        <f>data!V59</f>
        <v>2814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2" t="str">
        <f t="shared" si="3"/>
        <v/>
      </c>
      <c r="M34" s="7"/>
    </row>
    <row r="35" spans="1:13" x14ac:dyDescent="0.35">
      <c r="A35" s="1" t="s">
        <v>756</v>
      </c>
      <c r="B35" s="242">
        <f>ROUND(N('Prior Year'!W85), 0)</f>
        <v>126883</v>
      </c>
      <c r="C35" s="242">
        <f>data!W85</f>
        <v>130521</v>
      </c>
      <c r="D35" s="242">
        <f>ROUND(N('Prior Year'!W59), 0)</f>
        <v>462</v>
      </c>
      <c r="E35" s="1">
        <f>data!W59</f>
        <v>506</v>
      </c>
      <c r="F35" s="217">
        <f t="shared" si="0"/>
        <v>274.63852813852816</v>
      </c>
      <c r="G35" s="217">
        <f t="shared" si="4"/>
        <v>257.94664031620556</v>
      </c>
      <c r="H35" s="6" t="str">
        <f t="shared" si="5"/>
        <v/>
      </c>
      <c r="I35" s="242" t="str">
        <f t="shared" si="3"/>
        <v/>
      </c>
      <c r="M35" s="7"/>
    </row>
    <row r="36" spans="1:13" x14ac:dyDescent="0.35">
      <c r="A36" s="1" t="s">
        <v>757</v>
      </c>
      <c r="B36" s="242">
        <f>ROUND(N('Prior Year'!X85), 0)</f>
        <v>646747</v>
      </c>
      <c r="C36" s="242">
        <f>data!X85</f>
        <v>676595</v>
      </c>
      <c r="D36" s="242">
        <f>ROUND(N('Prior Year'!X59), 0)</f>
        <v>2355</v>
      </c>
      <c r="E36" s="1">
        <f>data!X59</f>
        <v>2623</v>
      </c>
      <c r="F36" s="217">
        <f t="shared" si="0"/>
        <v>274.6271762208068</v>
      </c>
      <c r="G36" s="217">
        <f t="shared" si="4"/>
        <v>257.94700724361417</v>
      </c>
      <c r="H36" s="6" t="str">
        <f t="shared" si="5"/>
        <v/>
      </c>
      <c r="I36" s="242" t="str">
        <f t="shared" si="3"/>
        <v/>
      </c>
      <c r="M36" s="7"/>
    </row>
    <row r="37" spans="1:13" x14ac:dyDescent="0.35">
      <c r="A37" s="1" t="s">
        <v>758</v>
      </c>
      <c r="B37" s="242">
        <f>ROUND(N('Prior Year'!Y85), 0)</f>
        <v>1727120</v>
      </c>
      <c r="C37" s="242">
        <f>data!Y85</f>
        <v>1638494</v>
      </c>
      <c r="D37" s="242">
        <f>ROUND(N('Prior Year'!Y59), 0)</f>
        <v>6289</v>
      </c>
      <c r="E37" s="1">
        <f>data!Y59</f>
        <v>6352</v>
      </c>
      <c r="F37" s="217">
        <f t="shared" si="0"/>
        <v>274.62553665129593</v>
      </c>
      <c r="G37" s="217">
        <f t="shared" si="4"/>
        <v>257.94930730478592</v>
      </c>
      <c r="H37" s="6" t="str">
        <f t="shared" si="5"/>
        <v/>
      </c>
      <c r="I37" s="242" t="str">
        <f t="shared" si="3"/>
        <v/>
      </c>
      <c r="M37" s="7"/>
    </row>
    <row r="38" spans="1:13" x14ac:dyDescent="0.35">
      <c r="A38" s="1" t="s">
        <v>759</v>
      </c>
      <c r="B38" s="242">
        <f>ROUND(N('Prior Year'!Z85), 0)</f>
        <v>0</v>
      </c>
      <c r="C38" s="242">
        <f>data!Z85</f>
        <v>0</v>
      </c>
      <c r="D38" s="242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2" t="str">
        <f t="shared" si="3"/>
        <v/>
      </c>
      <c r="M38" s="7"/>
    </row>
    <row r="39" spans="1:13" x14ac:dyDescent="0.35">
      <c r="A39" s="1" t="s">
        <v>760</v>
      </c>
      <c r="B39" s="242">
        <f>ROUND(N('Prior Year'!AA85), 0)</f>
        <v>0</v>
      </c>
      <c r="C39" s="242">
        <f>data!AA85</f>
        <v>0</v>
      </c>
      <c r="D39" s="242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2" t="str">
        <f t="shared" si="3"/>
        <v/>
      </c>
      <c r="M39" s="7"/>
    </row>
    <row r="40" spans="1:13" x14ac:dyDescent="0.35">
      <c r="A40" s="1" t="s">
        <v>761</v>
      </c>
      <c r="B40" s="242">
        <f>ROUND(N('Prior Year'!AB85), 0)</f>
        <v>1891778</v>
      </c>
      <c r="C40" s="242">
        <f>data!AB85</f>
        <v>2302025</v>
      </c>
      <c r="D40" s="242" t="s">
        <v>752</v>
      </c>
      <c r="E40" s="4" t="s">
        <v>752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ht="29" x14ac:dyDescent="0.35">
      <c r="A41" s="1" t="s">
        <v>762</v>
      </c>
      <c r="B41" s="242">
        <f>ROUND(N('Prior Year'!AC85), 0)</f>
        <v>151948</v>
      </c>
      <c r="C41" s="242">
        <f>data!AC85</f>
        <v>193681</v>
      </c>
      <c r="D41" s="242">
        <f>ROUND(N('Prior Year'!AC59), 0)</f>
        <v>2561</v>
      </c>
      <c r="E41" s="1">
        <f>data!AC59</f>
        <v>1325</v>
      </c>
      <c r="F41" s="217">
        <f t="shared" si="0"/>
        <v>59.331511128465444</v>
      </c>
      <c r="G41" s="217">
        <f t="shared" si="4"/>
        <v>146.1743396226415</v>
      </c>
      <c r="H41" s="6">
        <f t="shared" ref="H41:H59" si="6">IF(B41 = 0, "", IF(C41 = 0, "", IF(D41 = 0, "", IF(E41 = 0, "", IF(G41 / F41 - 1 &lt; -0.25, G41 / F41 - 1, IF(G41 / F41 - 1 &gt; 0.25, G41 / F41 - 1, ""))))))</f>
        <v>1.463688128659705</v>
      </c>
      <c r="I41" s="346" t="s">
        <v>1368</v>
      </c>
      <c r="J41" s="348"/>
      <c r="M41" s="7"/>
    </row>
    <row r="42" spans="1:13" x14ac:dyDescent="0.35">
      <c r="A42" s="1" t="s">
        <v>763</v>
      </c>
      <c r="B42" s="242">
        <f>ROUND(N('Prior Year'!AD85), 0)</f>
        <v>0</v>
      </c>
      <c r="C42" s="242">
        <f>data!AD85</f>
        <v>0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2" t="str">
        <f t="shared" si="3"/>
        <v/>
      </c>
      <c r="M42" s="7"/>
    </row>
    <row r="43" spans="1:13" x14ac:dyDescent="0.35">
      <c r="A43" s="1" t="s">
        <v>764</v>
      </c>
      <c r="B43" s="242">
        <f>ROUND(N('Prior Year'!AE85), 0)</f>
        <v>1728839</v>
      </c>
      <c r="C43" s="242">
        <f>data!AE85</f>
        <v>1396170</v>
      </c>
      <c r="D43" s="242">
        <f>ROUND(N('Prior Year'!AE59), 0)</f>
        <v>25452</v>
      </c>
      <c r="E43" s="1">
        <f>data!AE59</f>
        <v>19702</v>
      </c>
      <c r="F43" s="217">
        <f t="shared" si="0"/>
        <v>67.925467546754675</v>
      </c>
      <c r="G43" s="217">
        <f t="shared" si="4"/>
        <v>70.864379250837473</v>
      </c>
      <c r="H43" s="6" t="str">
        <f t="shared" si="6"/>
        <v/>
      </c>
      <c r="I43" s="242" t="str">
        <f t="shared" si="3"/>
        <v/>
      </c>
      <c r="M43" s="7"/>
    </row>
    <row r="44" spans="1:13" x14ac:dyDescent="0.35">
      <c r="A44" s="1" t="s">
        <v>765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2" t="str">
        <f t="shared" si="3"/>
        <v/>
      </c>
      <c r="M44" s="7"/>
    </row>
    <row r="45" spans="1:13" x14ac:dyDescent="0.35">
      <c r="A45" s="1" t="s">
        <v>766</v>
      </c>
      <c r="B45" s="242">
        <f>ROUND(N('Prior Year'!AG85), 0)</f>
        <v>4586659</v>
      </c>
      <c r="C45" s="242">
        <f>data!AG85</f>
        <v>4590856</v>
      </c>
      <c r="D45" s="242">
        <f>ROUND(N('Prior Year'!AG59), 0)</f>
        <v>5265</v>
      </c>
      <c r="E45" s="1">
        <f>data!AG59</f>
        <v>5149</v>
      </c>
      <c r="F45" s="217">
        <f t="shared" si="0"/>
        <v>871.16030389363721</v>
      </c>
      <c r="G45" s="217">
        <f t="shared" si="4"/>
        <v>891.60147601476012</v>
      </c>
      <c r="H45" s="6" t="str">
        <f t="shared" si="6"/>
        <v/>
      </c>
      <c r="I45" s="242" t="str">
        <f t="shared" si="3"/>
        <v/>
      </c>
      <c r="M45" s="7"/>
    </row>
    <row r="46" spans="1:13" x14ac:dyDescent="0.35">
      <c r="A46" s="1" t="s">
        <v>767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2" t="str">
        <f t="shared" si="3"/>
        <v/>
      </c>
      <c r="M46" s="7"/>
    </row>
    <row r="47" spans="1:13" x14ac:dyDescent="0.35">
      <c r="A47" s="1" t="s">
        <v>768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2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2">
        <f>ROUND(N('Prior Year'!AJ85), 0)</f>
        <v>1680908</v>
      </c>
      <c r="C48" s="242">
        <f>data!AJ85</f>
        <v>1518762</v>
      </c>
      <c r="D48" s="242">
        <f>ROUND(N('Prior Year'!AJ59), 0)</f>
        <v>3186</v>
      </c>
      <c r="E48" s="1">
        <f>data!AJ59</f>
        <v>2974</v>
      </c>
      <c r="F48" s="217">
        <f t="shared" si="0"/>
        <v>527.59196484620213</v>
      </c>
      <c r="G48" s="217">
        <f t="shared" si="4"/>
        <v>510.67989240080698</v>
      </c>
      <c r="H48" s="6" t="str">
        <f t="shared" si="6"/>
        <v/>
      </c>
      <c r="I48" s="242" t="str">
        <f t="shared" si="7"/>
        <v/>
      </c>
      <c r="M48" s="7"/>
    </row>
    <row r="49" spans="1:13" x14ac:dyDescent="0.35">
      <c r="A49" s="1" t="s">
        <v>770</v>
      </c>
      <c r="B49" s="242">
        <f>ROUND(N('Prior Year'!AK85), 0)</f>
        <v>0</v>
      </c>
      <c r="C49" s="242">
        <f>data!AK85</f>
        <v>299385</v>
      </c>
      <c r="D49" s="242">
        <f>ROUND(N('Prior Year'!AK59), 0)</f>
        <v>0</v>
      </c>
      <c r="E49" s="1">
        <f>data!AK59</f>
        <v>6378</v>
      </c>
      <c r="F49" s="217" t="str">
        <f t="shared" si="0"/>
        <v/>
      </c>
      <c r="G49" s="217">
        <f t="shared" si="4"/>
        <v>46.940263405456257</v>
      </c>
      <c r="H49" s="6" t="str">
        <f t="shared" si="6"/>
        <v/>
      </c>
      <c r="I49" s="242" t="str">
        <f t="shared" si="7"/>
        <v/>
      </c>
      <c r="M49" s="7"/>
    </row>
    <row r="50" spans="1:13" x14ac:dyDescent="0.35">
      <c r="A50" s="1" t="s">
        <v>771</v>
      </c>
      <c r="B50" s="242">
        <f>ROUND(N('Prior Year'!AL85), 0)</f>
        <v>0</v>
      </c>
      <c r="C50" s="242">
        <f>data!AL85</f>
        <v>225550</v>
      </c>
      <c r="D50" s="242">
        <f>ROUND(N('Prior Year'!AL59), 0)</f>
        <v>0</v>
      </c>
      <c r="E50" s="1">
        <f>data!AL59</f>
        <v>2129</v>
      </c>
      <c r="F50" s="217" t="str">
        <f t="shared" si="0"/>
        <v/>
      </c>
      <c r="G50" s="217">
        <f t="shared" si="4"/>
        <v>105.94175669328324</v>
      </c>
      <c r="H50" s="6" t="str">
        <f t="shared" si="6"/>
        <v/>
      </c>
      <c r="I50" s="242" t="str">
        <f t="shared" si="7"/>
        <v/>
      </c>
      <c r="M50" s="7"/>
    </row>
    <row r="51" spans="1:13" x14ac:dyDescent="0.35">
      <c r="A51" s="1" t="s">
        <v>772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2" t="str">
        <f t="shared" si="7"/>
        <v/>
      </c>
      <c r="M51" s="7"/>
    </row>
    <row r="52" spans="1:13" x14ac:dyDescent="0.35">
      <c r="A52" s="1" t="s">
        <v>773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2" t="str">
        <f t="shared" si="7"/>
        <v/>
      </c>
      <c r="M52" s="7"/>
    </row>
    <row r="53" spans="1:13" ht="48.75" customHeight="1" x14ac:dyDescent="0.35">
      <c r="A53" s="1" t="s">
        <v>774</v>
      </c>
      <c r="B53" s="242">
        <f>ROUND(N('Prior Year'!AO85), 0)</f>
        <v>183842</v>
      </c>
      <c r="C53" s="242">
        <f>data!AO85</f>
        <v>283760</v>
      </c>
      <c r="D53" s="242">
        <f>ROUND(N('Prior Year'!AO59), 0)</f>
        <v>4431</v>
      </c>
      <c r="E53" s="1">
        <f>data!AO59</f>
        <v>5148</v>
      </c>
      <c r="F53" s="217">
        <f t="shared" si="0"/>
        <v>41.489957120288871</v>
      </c>
      <c r="G53" s="217">
        <f t="shared" si="4"/>
        <v>55.120435120435118</v>
      </c>
      <c r="H53" s="6">
        <f t="shared" si="6"/>
        <v>0.32852475505405754</v>
      </c>
      <c r="I53" s="346" t="s">
        <v>1369</v>
      </c>
      <c r="M53" s="7"/>
    </row>
    <row r="54" spans="1:13" x14ac:dyDescent="0.35">
      <c r="A54" s="1" t="s">
        <v>775</v>
      </c>
      <c r="B54" s="242">
        <f>ROUND(N('Prior Year'!AP85), 0)</f>
        <v>0</v>
      </c>
      <c r="C54" s="242">
        <f>data!AP85</f>
        <v>0</v>
      </c>
      <c r="D54" s="242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2" t="str">
        <f t="shared" si="7"/>
        <v/>
      </c>
      <c r="M54" s="7"/>
    </row>
    <row r="55" spans="1:13" x14ac:dyDescent="0.35">
      <c r="A55" s="1" t="s">
        <v>776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2" t="str">
        <f t="shared" si="7"/>
        <v/>
      </c>
      <c r="M55" s="7"/>
    </row>
    <row r="56" spans="1:13" x14ac:dyDescent="0.35">
      <c r="A56" s="1" t="s">
        <v>777</v>
      </c>
      <c r="B56" s="242">
        <f>ROUND(N('Prior Year'!AR85), 0)</f>
        <v>0</v>
      </c>
      <c r="C56" s="242">
        <f>data!AR85</f>
        <v>0</v>
      </c>
      <c r="D56" s="242">
        <f>ROUND(N('Prior Year'!AR59), 0)</f>
        <v>0</v>
      </c>
      <c r="E56" s="1">
        <f>data!AR59</f>
        <v>0</v>
      </c>
      <c r="F56" s="217"/>
      <c r="G56" s="217" t="str">
        <f t="shared" si="4"/>
        <v/>
      </c>
      <c r="H56" s="6" t="str">
        <f t="shared" si="6"/>
        <v/>
      </c>
      <c r="I56" s="242" t="str">
        <f t="shared" si="7"/>
        <v/>
      </c>
      <c r="M56" s="7"/>
    </row>
    <row r="57" spans="1:13" x14ac:dyDescent="0.35">
      <c r="A57" s="1" t="s">
        <v>778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2" t="str">
        <f t="shared" si="7"/>
        <v/>
      </c>
      <c r="M57" s="7"/>
    </row>
    <row r="58" spans="1:13" x14ac:dyDescent="0.35">
      <c r="A58" s="1" t="s">
        <v>779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2" t="str">
        <f t="shared" si="7"/>
        <v/>
      </c>
      <c r="M58" s="7"/>
    </row>
    <row r="59" spans="1:13" x14ac:dyDescent="0.35">
      <c r="A59" s="1" t="s">
        <v>780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2" t="str">
        <f t="shared" si="7"/>
        <v/>
      </c>
      <c r="M59" s="7"/>
    </row>
    <row r="60" spans="1:13" x14ac:dyDescent="0.35">
      <c r="A60" s="1" t="s">
        <v>781</v>
      </c>
      <c r="B60" s="242">
        <f>ROUND(N('Prior Year'!AV85), 0)</f>
        <v>140534</v>
      </c>
      <c r="C60" s="242">
        <f>data!AV85</f>
        <v>124387</v>
      </c>
      <c r="D60" s="242" t="s">
        <v>752</v>
      </c>
      <c r="E60" s="4" t="s">
        <v>752</v>
      </c>
      <c r="F60" s="217" t="s">
        <v>5</v>
      </c>
      <c r="G60" s="217"/>
      <c r="H60" s="6" t="s">
        <v>5</v>
      </c>
      <c r="I60" s="242" t="str">
        <f t="shared" si="7"/>
        <v/>
      </c>
      <c r="M60" s="7"/>
    </row>
    <row r="61" spans="1:13" x14ac:dyDescent="0.35">
      <c r="A61" s="1" t="s">
        <v>782</v>
      </c>
      <c r="B61" s="242">
        <f>ROUND(N('Prior Year'!AW85), 0)</f>
        <v>0</v>
      </c>
      <c r="C61" s="242">
        <f>data!AW85</f>
        <v>0</v>
      </c>
      <c r="D61" s="242" t="s">
        <v>752</v>
      </c>
      <c r="E61" s="4" t="s">
        <v>752</v>
      </c>
      <c r="F61" s="217" t="s">
        <v>5</v>
      </c>
      <c r="G61" s="217"/>
      <c r="H61" s="6" t="s">
        <v>5</v>
      </c>
      <c r="I61" s="242" t="str">
        <f t="shared" si="7"/>
        <v/>
      </c>
      <c r="M61" s="7"/>
    </row>
    <row r="62" spans="1:13" x14ac:dyDescent="0.35">
      <c r="A62" s="1" t="s">
        <v>783</v>
      </c>
      <c r="B62" s="242">
        <f>ROUND(N('Prior Year'!AX85), 0)</f>
        <v>0</v>
      </c>
      <c r="C62" s="242">
        <f>data!AX85</f>
        <v>0</v>
      </c>
      <c r="D62" s="242" t="s">
        <v>752</v>
      </c>
      <c r="E62" s="4" t="s">
        <v>752</v>
      </c>
      <c r="F62" s="217" t="s">
        <v>5</v>
      </c>
      <c r="G62" s="217"/>
      <c r="H62" s="6" t="s">
        <v>5</v>
      </c>
      <c r="I62" s="242" t="str">
        <f t="shared" si="7"/>
        <v/>
      </c>
      <c r="M62" s="7"/>
    </row>
    <row r="63" spans="1:13" ht="29" x14ac:dyDescent="0.35">
      <c r="A63" s="1" t="s">
        <v>784</v>
      </c>
      <c r="B63" s="242">
        <f>ROUND(N('Prior Year'!AY85), 0)</f>
        <v>1210696</v>
      </c>
      <c r="C63" s="242">
        <f>data!AY85</f>
        <v>828301</v>
      </c>
      <c r="D63" s="242">
        <f>ROUND(N('Prior Year'!AY59), 0)</f>
        <v>48522</v>
      </c>
      <c r="E63" s="1">
        <f>data!AY59</f>
        <v>46661</v>
      </c>
      <c r="F63" s="217">
        <f>IF(B63=0,"",IF(D63=0,"",B63/D63))</f>
        <v>24.951485923910802</v>
      </c>
      <c r="G63" s="217">
        <f t="shared" si="4"/>
        <v>17.751462677610853</v>
      </c>
      <c r="H63" s="6">
        <f>IF(B63 = 0, "", IF(C63 = 0, "", IF(D63 = 0, "", IF(E63 = 0, "", IF(G63 / F63 - 1 &lt; -0.25, G63 / F63 - 1, IF(G63 / F63 - 1 &gt; 0.25, G63 / F63 - 1, ""))))))</f>
        <v>-0.28856090047127114</v>
      </c>
      <c r="I63" s="346" t="s">
        <v>1370</v>
      </c>
      <c r="M63" s="7"/>
    </row>
    <row r="64" spans="1:13" x14ac:dyDescent="0.35">
      <c r="A64" s="1" t="s">
        <v>785</v>
      </c>
      <c r="B64" s="242">
        <f>ROUND(N('Prior Year'!AZ85), 0)</f>
        <v>241273</v>
      </c>
      <c r="C64" s="242">
        <f>data!AZ85</f>
        <v>77131</v>
      </c>
      <c r="D64" s="242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7"/>
        <v/>
      </c>
      <c r="M64" s="7"/>
    </row>
    <row r="65" spans="1:13" x14ac:dyDescent="0.35">
      <c r="A65" s="1" t="s">
        <v>786</v>
      </c>
      <c r="B65" s="242">
        <f>ROUND(N('Prior Year'!BA85), 0)</f>
        <v>480626</v>
      </c>
      <c r="C65" s="242">
        <f>data!BA85</f>
        <v>90179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7"/>
        <v/>
      </c>
      <c r="M65" s="7"/>
    </row>
    <row r="66" spans="1:13" x14ac:dyDescent="0.35">
      <c r="A66" s="1" t="s">
        <v>787</v>
      </c>
      <c r="B66" s="242">
        <f>ROUND(N('Prior Year'!BB85), 0)</f>
        <v>76767</v>
      </c>
      <c r="C66" s="242">
        <f>data!BB85</f>
        <v>89711</v>
      </c>
      <c r="D66" s="242" t="s">
        <v>752</v>
      </c>
      <c r="E66" s="4" t="s">
        <v>752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2" t="str">
        <f t="shared" si="7"/>
        <v/>
      </c>
      <c r="M66" s="7"/>
    </row>
    <row r="67" spans="1:13" x14ac:dyDescent="0.35">
      <c r="A67" s="1" t="s">
        <v>788</v>
      </c>
      <c r="B67" s="242">
        <f>ROUND(N('Prior Year'!BC85), 0)</f>
        <v>0</v>
      </c>
      <c r="C67" s="242">
        <f>data!BC85</f>
        <v>0</v>
      </c>
      <c r="D67" s="242" t="s">
        <v>752</v>
      </c>
      <c r="E67" s="4" t="s">
        <v>752</v>
      </c>
      <c r="F67" s="217" t="s">
        <v>5</v>
      </c>
      <c r="G67" s="217" t="str">
        <f t="shared" si="8"/>
        <v/>
      </c>
      <c r="H67" s="6" t="s">
        <v>5</v>
      </c>
      <c r="I67" s="242" t="str">
        <f t="shared" si="7"/>
        <v/>
      </c>
      <c r="M67" s="7"/>
    </row>
    <row r="68" spans="1:13" x14ac:dyDescent="0.35">
      <c r="A68" s="1" t="s">
        <v>789</v>
      </c>
      <c r="B68" s="242">
        <f>ROUND(N('Prior Year'!BD85), 0)</f>
        <v>0</v>
      </c>
      <c r="C68" s="242">
        <f>data!BD85</f>
        <v>332590</v>
      </c>
      <c r="D68" s="242" t="s">
        <v>752</v>
      </c>
      <c r="E68" s="4" t="s">
        <v>752</v>
      </c>
      <c r="F68" s="217" t="s">
        <v>5</v>
      </c>
      <c r="G68" s="217" t="str">
        <f t="shared" si="8"/>
        <v/>
      </c>
      <c r="H68" s="6" t="s">
        <v>5</v>
      </c>
      <c r="I68" s="242" t="str">
        <f t="shared" si="7"/>
        <v/>
      </c>
      <c r="M68" s="7"/>
    </row>
    <row r="69" spans="1:13" x14ac:dyDescent="0.35">
      <c r="A69" s="1" t="s">
        <v>790</v>
      </c>
      <c r="B69" s="242">
        <f>ROUND(N('Prior Year'!BE85), 0)</f>
        <v>967586</v>
      </c>
      <c r="C69" s="242">
        <f>data!BE85</f>
        <v>1078674</v>
      </c>
      <c r="D69" s="242">
        <f>ROUND(N('Prior Year'!BE59), 0)</f>
        <v>92278</v>
      </c>
      <c r="E69" s="1">
        <f>data!BE59</f>
        <v>92174</v>
      </c>
      <c r="F69" s="217">
        <f>IF(B69=0,"",IF(D69=0,"",B69/D69))</f>
        <v>10.48555452003728</v>
      </c>
      <c r="G69" s="217">
        <f t="shared" si="4"/>
        <v>11.702584242845054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7"/>
        <v/>
      </c>
      <c r="M69" s="7"/>
    </row>
    <row r="70" spans="1:13" x14ac:dyDescent="0.35">
      <c r="A70" s="1" t="s">
        <v>791</v>
      </c>
      <c r="B70" s="242">
        <f>ROUND(N('Prior Year'!BF85), 0)</f>
        <v>565590</v>
      </c>
      <c r="C70" s="242">
        <f>data!BF85</f>
        <v>561710</v>
      </c>
      <c r="D70" s="242" t="s">
        <v>752</v>
      </c>
      <c r="E70" s="4" t="s">
        <v>752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2" t="str">
        <f t="shared" si="7"/>
        <v/>
      </c>
      <c r="M70" s="7"/>
    </row>
    <row r="71" spans="1:13" x14ac:dyDescent="0.35">
      <c r="A71" s="1" t="s">
        <v>792</v>
      </c>
      <c r="B71" s="242">
        <f>ROUND(N('Prior Year'!BG85), 0)</f>
        <v>76965</v>
      </c>
      <c r="C71" s="242">
        <f>data!BG85</f>
        <v>58116</v>
      </c>
      <c r="D71" s="242" t="s">
        <v>752</v>
      </c>
      <c r="E71" s="4" t="s">
        <v>752</v>
      </c>
      <c r="F71" s="217" t="s">
        <v>5</v>
      </c>
      <c r="G71" s="217" t="str">
        <f t="shared" si="9"/>
        <v/>
      </c>
      <c r="H71" s="6" t="s">
        <v>5</v>
      </c>
      <c r="I71" s="242" t="str">
        <f t="shared" si="7"/>
        <v/>
      </c>
      <c r="M71" s="7"/>
    </row>
    <row r="72" spans="1:13" x14ac:dyDescent="0.35">
      <c r="A72" s="1" t="s">
        <v>793</v>
      </c>
      <c r="B72" s="242">
        <f>ROUND(N('Prior Year'!BH85), 0)</f>
        <v>921449</v>
      </c>
      <c r="C72" s="242">
        <f>data!BH85</f>
        <v>919140</v>
      </c>
      <c r="D72" s="242" t="s">
        <v>752</v>
      </c>
      <c r="E72" s="4" t="s">
        <v>752</v>
      </c>
      <c r="F72" s="217" t="s">
        <v>5</v>
      </c>
      <c r="G72" s="217" t="str">
        <f t="shared" si="9"/>
        <v/>
      </c>
      <c r="H72" s="6" t="s">
        <v>5</v>
      </c>
      <c r="I72" s="242" t="str">
        <f t="shared" si="7"/>
        <v/>
      </c>
      <c r="M72" s="7"/>
    </row>
    <row r="73" spans="1:13" x14ac:dyDescent="0.35">
      <c r="A73" s="1" t="s">
        <v>794</v>
      </c>
      <c r="B73" s="242">
        <f>ROUND(N('Prior Year'!BI85), 0)</f>
        <v>0</v>
      </c>
      <c r="C73" s="242">
        <f>data!BI85</f>
        <v>0</v>
      </c>
      <c r="D73" s="242" t="s">
        <v>752</v>
      </c>
      <c r="E73" s="4" t="s">
        <v>752</v>
      </c>
      <c r="F73" s="217" t="s">
        <v>5</v>
      </c>
      <c r="G73" s="217" t="str">
        <f t="shared" si="9"/>
        <v/>
      </c>
      <c r="H73" s="6" t="s">
        <v>5</v>
      </c>
      <c r="I73" s="242" t="str">
        <f t="shared" si="7"/>
        <v/>
      </c>
      <c r="M73" s="7"/>
    </row>
    <row r="74" spans="1:13" x14ac:dyDescent="0.35">
      <c r="A74" s="1" t="s">
        <v>795</v>
      </c>
      <c r="B74" s="242">
        <f>ROUND(N('Prior Year'!BJ85), 0)</f>
        <v>1420988</v>
      </c>
      <c r="C74" s="242">
        <f>data!BJ85</f>
        <v>809312</v>
      </c>
      <c r="D74" s="242" t="s">
        <v>752</v>
      </c>
      <c r="E74" s="4" t="s">
        <v>752</v>
      </c>
      <c r="F74" s="217" t="s">
        <v>5</v>
      </c>
      <c r="G74" s="217" t="str">
        <f t="shared" si="9"/>
        <v/>
      </c>
      <c r="H74" s="6" t="s">
        <v>5</v>
      </c>
      <c r="I74" s="242" t="str">
        <f t="shared" si="7"/>
        <v/>
      </c>
      <c r="M74" s="7"/>
    </row>
    <row r="75" spans="1:13" x14ac:dyDescent="0.35">
      <c r="A75" s="1" t="s">
        <v>796</v>
      </c>
      <c r="B75" s="242">
        <f>ROUND(N('Prior Year'!BK85), 0)</f>
        <v>0</v>
      </c>
      <c r="C75" s="242">
        <f>data!BK85</f>
        <v>629763</v>
      </c>
      <c r="D75" s="242" t="s">
        <v>752</v>
      </c>
      <c r="E75" s="4" t="s">
        <v>752</v>
      </c>
      <c r="F75" s="217" t="s">
        <v>5</v>
      </c>
      <c r="G75" s="217" t="str">
        <f t="shared" si="9"/>
        <v/>
      </c>
      <c r="H75" s="6" t="s">
        <v>5</v>
      </c>
      <c r="I75" s="242" t="str">
        <f t="shared" si="7"/>
        <v/>
      </c>
      <c r="M75" s="7"/>
    </row>
    <row r="76" spans="1:13" x14ac:dyDescent="0.35">
      <c r="A76" s="1" t="s">
        <v>797</v>
      </c>
      <c r="B76" s="242">
        <f>ROUND(N('Prior Year'!BL85), 0)</f>
        <v>575715</v>
      </c>
      <c r="C76" s="242">
        <f>data!BL85</f>
        <v>549182</v>
      </c>
      <c r="D76" s="242" t="s">
        <v>752</v>
      </c>
      <c r="E76" s="4" t="s">
        <v>752</v>
      </c>
      <c r="F76" s="217" t="s">
        <v>5</v>
      </c>
      <c r="G76" s="217" t="str">
        <f t="shared" si="9"/>
        <v/>
      </c>
      <c r="H76" s="6" t="s">
        <v>5</v>
      </c>
      <c r="I76" s="242" t="str">
        <f t="shared" si="7"/>
        <v/>
      </c>
      <c r="M76" s="7"/>
    </row>
    <row r="77" spans="1:13" x14ac:dyDescent="0.35">
      <c r="A77" s="1" t="s">
        <v>798</v>
      </c>
      <c r="B77" s="242">
        <f>ROUND(N('Prior Year'!BM85), 0)</f>
        <v>0</v>
      </c>
      <c r="C77" s="242">
        <f>data!BM85</f>
        <v>0</v>
      </c>
      <c r="D77" s="242" t="s">
        <v>752</v>
      </c>
      <c r="E77" s="4" t="s">
        <v>752</v>
      </c>
      <c r="F77" s="217" t="s">
        <v>5</v>
      </c>
      <c r="G77" s="217" t="str">
        <f t="shared" si="9"/>
        <v/>
      </c>
      <c r="H77" s="6" t="s">
        <v>5</v>
      </c>
      <c r="I77" s="242" t="str">
        <f t="shared" si="7"/>
        <v/>
      </c>
      <c r="M77" s="7"/>
    </row>
    <row r="78" spans="1:13" x14ac:dyDescent="0.35">
      <c r="A78" s="1" t="s">
        <v>799</v>
      </c>
      <c r="B78" s="242">
        <f>ROUND(N('Prior Year'!BN85), 0)</f>
        <v>1113281</v>
      </c>
      <c r="C78" s="242">
        <f>data!BN85</f>
        <v>2905154</v>
      </c>
      <c r="D78" s="242" t="s">
        <v>752</v>
      </c>
      <c r="E78" s="4" t="s">
        <v>752</v>
      </c>
      <c r="F78" s="217" t="s">
        <v>5</v>
      </c>
      <c r="G78" s="217" t="str">
        <f t="shared" si="9"/>
        <v/>
      </c>
      <c r="H78" s="6" t="s">
        <v>5</v>
      </c>
      <c r="I78" s="242" t="str">
        <f t="shared" si="7"/>
        <v/>
      </c>
      <c r="M78" s="7"/>
    </row>
    <row r="79" spans="1:13" x14ac:dyDescent="0.35">
      <c r="A79" s="1" t="s">
        <v>800</v>
      </c>
      <c r="B79" s="242">
        <f>ROUND(N('Prior Year'!BO85), 0)</f>
        <v>0</v>
      </c>
      <c r="C79" s="242">
        <f>data!BO85</f>
        <v>0</v>
      </c>
      <c r="D79" s="242" t="s">
        <v>752</v>
      </c>
      <c r="E79" s="4" t="s">
        <v>752</v>
      </c>
      <c r="F79" s="217" t="s">
        <v>5</v>
      </c>
      <c r="G79" s="217" t="str">
        <f t="shared" si="9"/>
        <v/>
      </c>
      <c r="H79" s="6" t="s">
        <v>5</v>
      </c>
      <c r="I79" s="242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2">
        <f>ROUND(N('Prior Year'!BP85), 0)</f>
        <v>0</v>
      </c>
      <c r="C80" s="242">
        <f>data!BP85</f>
        <v>0</v>
      </c>
      <c r="D80" s="242" t="s">
        <v>752</v>
      </c>
      <c r="E80" s="4" t="s">
        <v>752</v>
      </c>
      <c r="F80" s="217" t="s">
        <v>5</v>
      </c>
      <c r="G80" s="217" t="str">
        <f t="shared" si="9"/>
        <v/>
      </c>
      <c r="H80" s="6" t="s">
        <v>5</v>
      </c>
      <c r="I80" s="242" t="str">
        <f t="shared" si="10"/>
        <v/>
      </c>
      <c r="M80" s="7"/>
    </row>
    <row r="81" spans="1:13" x14ac:dyDescent="0.35">
      <c r="A81" s="1" t="s">
        <v>802</v>
      </c>
      <c r="B81" s="242">
        <f>ROUND(N('Prior Year'!BQ85), 0)</f>
        <v>0</v>
      </c>
      <c r="C81" s="242">
        <f>data!BQ85</f>
        <v>0</v>
      </c>
      <c r="D81" s="242" t="s">
        <v>752</v>
      </c>
      <c r="E81" s="4" t="s">
        <v>752</v>
      </c>
      <c r="F81" s="217" t="s">
        <v>5</v>
      </c>
      <c r="G81" s="217" t="str">
        <f t="shared" si="9"/>
        <v/>
      </c>
      <c r="H81" s="6" t="s">
        <v>5</v>
      </c>
      <c r="I81" s="242" t="str">
        <f t="shared" si="10"/>
        <v/>
      </c>
      <c r="M81" s="7"/>
    </row>
    <row r="82" spans="1:13" x14ac:dyDescent="0.35">
      <c r="A82" s="1" t="s">
        <v>803</v>
      </c>
      <c r="B82" s="242">
        <f>ROUND(N('Prior Year'!BR85), 0)</f>
        <v>459173</v>
      </c>
      <c r="C82" s="242">
        <f>data!BR85</f>
        <v>503518</v>
      </c>
      <c r="D82" s="242" t="s">
        <v>752</v>
      </c>
      <c r="E82" s="4" t="s">
        <v>752</v>
      </c>
      <c r="F82" s="217" t="s">
        <v>5</v>
      </c>
      <c r="G82" s="217" t="str">
        <f t="shared" si="9"/>
        <v/>
      </c>
      <c r="H82" s="6" t="s">
        <v>5</v>
      </c>
      <c r="I82" s="242" t="str">
        <f t="shared" si="10"/>
        <v/>
      </c>
      <c r="M82" s="7"/>
    </row>
    <row r="83" spans="1:13" x14ac:dyDescent="0.35">
      <c r="A83" s="1" t="s">
        <v>804</v>
      </c>
      <c r="B83" s="242">
        <f>ROUND(N('Prior Year'!BS85), 0)</f>
        <v>0</v>
      </c>
      <c r="C83" s="242">
        <f>data!BS85</f>
        <v>0</v>
      </c>
      <c r="D83" s="242" t="s">
        <v>752</v>
      </c>
      <c r="E83" s="4" t="s">
        <v>752</v>
      </c>
      <c r="F83" s="217" t="s">
        <v>5</v>
      </c>
      <c r="G83" s="217" t="str">
        <f t="shared" si="9"/>
        <v/>
      </c>
      <c r="H83" s="6" t="s">
        <v>5</v>
      </c>
      <c r="I83" s="242" t="str">
        <f t="shared" si="10"/>
        <v/>
      </c>
      <c r="M83" s="7"/>
    </row>
    <row r="84" spans="1:13" x14ac:dyDescent="0.35">
      <c r="A84" s="1" t="s">
        <v>805</v>
      </c>
      <c r="B84" s="242">
        <f>ROUND(N('Prior Year'!BT85), 0)</f>
        <v>0</v>
      </c>
      <c r="C84" s="242">
        <f>data!BT85</f>
        <v>0</v>
      </c>
      <c r="D84" s="242" t="s">
        <v>752</v>
      </c>
      <c r="E84" s="4" t="s">
        <v>752</v>
      </c>
      <c r="F84" s="217" t="s">
        <v>5</v>
      </c>
      <c r="G84" s="217" t="str">
        <f t="shared" si="9"/>
        <v/>
      </c>
      <c r="H84" s="6" t="s">
        <v>5</v>
      </c>
      <c r="I84" s="242" t="str">
        <f t="shared" si="10"/>
        <v/>
      </c>
      <c r="M84" s="7"/>
    </row>
    <row r="85" spans="1:13" x14ac:dyDescent="0.35">
      <c r="A85" s="1" t="s">
        <v>806</v>
      </c>
      <c r="B85" s="242">
        <f>ROUND(N('Prior Year'!BU85), 0)</f>
        <v>0</v>
      </c>
      <c r="C85" s="242">
        <f>data!BU85</f>
        <v>0</v>
      </c>
      <c r="D85" s="242" t="s">
        <v>752</v>
      </c>
      <c r="E85" s="4" t="s">
        <v>752</v>
      </c>
      <c r="F85" s="217" t="s">
        <v>5</v>
      </c>
      <c r="G85" s="217" t="str">
        <f t="shared" si="9"/>
        <v/>
      </c>
      <c r="H85" s="6" t="s">
        <v>5</v>
      </c>
      <c r="I85" s="242" t="str">
        <f t="shared" si="10"/>
        <v/>
      </c>
      <c r="M85" s="7"/>
    </row>
    <row r="86" spans="1:13" x14ac:dyDescent="0.35">
      <c r="A86" s="1" t="s">
        <v>807</v>
      </c>
      <c r="B86" s="242">
        <f>ROUND(N('Prior Year'!BV85), 0)</f>
        <v>901891</v>
      </c>
      <c r="C86" s="242">
        <f>data!BV85</f>
        <v>790204</v>
      </c>
      <c r="D86" s="242" t="s">
        <v>752</v>
      </c>
      <c r="E86" s="4" t="s">
        <v>752</v>
      </c>
      <c r="F86" s="217" t="s">
        <v>5</v>
      </c>
      <c r="G86" s="217" t="str">
        <f t="shared" si="9"/>
        <v/>
      </c>
      <c r="H86" s="6" t="s">
        <v>5</v>
      </c>
      <c r="I86" s="242" t="str">
        <f t="shared" si="10"/>
        <v/>
      </c>
      <c r="M86" s="7"/>
    </row>
    <row r="87" spans="1:13" x14ac:dyDescent="0.35">
      <c r="A87" s="1" t="s">
        <v>808</v>
      </c>
      <c r="B87" s="242">
        <f>ROUND(N('Prior Year'!BW85), 0)</f>
        <v>0</v>
      </c>
      <c r="C87" s="242">
        <f>data!BW85</f>
        <v>0</v>
      </c>
      <c r="D87" s="242" t="s">
        <v>752</v>
      </c>
      <c r="E87" s="4" t="s">
        <v>752</v>
      </c>
      <c r="F87" s="217" t="s">
        <v>5</v>
      </c>
      <c r="G87" s="217" t="str">
        <f t="shared" si="9"/>
        <v/>
      </c>
      <c r="H87" s="6" t="s">
        <v>5</v>
      </c>
      <c r="I87" s="242" t="str">
        <f t="shared" si="10"/>
        <v/>
      </c>
      <c r="M87" s="7"/>
    </row>
    <row r="88" spans="1:13" x14ac:dyDescent="0.35">
      <c r="A88" s="1" t="s">
        <v>809</v>
      </c>
      <c r="B88" s="242">
        <f>ROUND(N('Prior Year'!BX85), 0)</f>
        <v>0</v>
      </c>
      <c r="C88" s="242">
        <f>data!BX85</f>
        <v>0</v>
      </c>
      <c r="D88" s="242" t="s">
        <v>752</v>
      </c>
      <c r="E88" s="4" t="s">
        <v>752</v>
      </c>
      <c r="F88" s="217" t="s">
        <v>5</v>
      </c>
      <c r="G88" s="217" t="str">
        <f t="shared" si="9"/>
        <v/>
      </c>
      <c r="H88" s="6" t="s">
        <v>5</v>
      </c>
      <c r="I88" s="242" t="str">
        <f t="shared" si="10"/>
        <v/>
      </c>
      <c r="M88" s="7"/>
    </row>
    <row r="89" spans="1:13" x14ac:dyDescent="0.35">
      <c r="A89" s="1" t="s">
        <v>810</v>
      </c>
      <c r="B89" s="242">
        <f>ROUND(N('Prior Year'!BY85), 0)</f>
        <v>704401</v>
      </c>
      <c r="C89" s="242">
        <f>data!BY85</f>
        <v>455264</v>
      </c>
      <c r="D89" s="242" t="s">
        <v>752</v>
      </c>
      <c r="E89" s="4" t="s">
        <v>752</v>
      </c>
      <c r="F89" s="217" t="s">
        <v>5</v>
      </c>
      <c r="G89" s="217" t="str">
        <f t="shared" si="9"/>
        <v/>
      </c>
      <c r="H89" s="6" t="s">
        <v>5</v>
      </c>
      <c r="I89" s="242" t="str">
        <f t="shared" si="10"/>
        <v/>
      </c>
      <c r="M89" s="7"/>
    </row>
    <row r="90" spans="1:13" x14ac:dyDescent="0.35">
      <c r="A90" s="1" t="s">
        <v>811</v>
      </c>
      <c r="B90" s="242">
        <f>ROUND(N('Prior Year'!BZ85), 0)</f>
        <v>0</v>
      </c>
      <c r="C90" s="242">
        <f>data!BZ85</f>
        <v>0</v>
      </c>
      <c r="D90" s="242" t="s">
        <v>752</v>
      </c>
      <c r="E90" s="4" t="s">
        <v>752</v>
      </c>
      <c r="F90" s="217" t="s">
        <v>5</v>
      </c>
      <c r="G90" s="217" t="str">
        <f t="shared" si="9"/>
        <v/>
      </c>
      <c r="H90" s="6" t="s">
        <v>5</v>
      </c>
      <c r="I90" s="242" t="str">
        <f t="shared" si="10"/>
        <v/>
      </c>
      <c r="M90" s="7"/>
    </row>
    <row r="91" spans="1:13" x14ac:dyDescent="0.35">
      <c r="A91" s="1" t="s">
        <v>812</v>
      </c>
      <c r="B91" s="242">
        <f>ROUND(N('Prior Year'!CA85), 0)</f>
        <v>0</v>
      </c>
      <c r="C91" s="242">
        <f>data!CA85</f>
        <v>0</v>
      </c>
      <c r="D91" s="242" t="s">
        <v>752</v>
      </c>
      <c r="E91" s="4" t="s">
        <v>752</v>
      </c>
      <c r="F91" s="217" t="s">
        <v>5</v>
      </c>
      <c r="G91" s="217" t="str">
        <f t="shared" si="9"/>
        <v/>
      </c>
      <c r="H91" s="6" t="s">
        <v>5</v>
      </c>
      <c r="I91" s="242" t="str">
        <f t="shared" si="10"/>
        <v/>
      </c>
      <c r="M91" s="7"/>
    </row>
    <row r="92" spans="1:13" x14ac:dyDescent="0.35">
      <c r="A92" s="1" t="s">
        <v>813</v>
      </c>
      <c r="B92" s="242">
        <f>ROUND(N('Prior Year'!CB85), 0)</f>
        <v>0</v>
      </c>
      <c r="C92" s="242">
        <f>data!CB85</f>
        <v>0</v>
      </c>
      <c r="D92" s="242" t="s">
        <v>752</v>
      </c>
      <c r="E92" s="4" t="s">
        <v>752</v>
      </c>
      <c r="F92" s="217" t="s">
        <v>5</v>
      </c>
      <c r="G92" s="217" t="str">
        <f t="shared" si="9"/>
        <v/>
      </c>
      <c r="H92" s="6" t="s">
        <v>5</v>
      </c>
      <c r="I92" s="242" t="str">
        <f t="shared" si="10"/>
        <v/>
      </c>
      <c r="M92" s="7"/>
    </row>
    <row r="93" spans="1:13" x14ac:dyDescent="0.35">
      <c r="A93" s="1" t="s">
        <v>814</v>
      </c>
      <c r="B93" s="242">
        <f>ROUND(N('Prior Year'!CC85), 0)</f>
        <v>0</v>
      </c>
      <c r="C93" s="242">
        <f>data!CC85</f>
        <v>0</v>
      </c>
      <c r="D93" s="242" t="s">
        <v>752</v>
      </c>
      <c r="E93" s="4" t="s">
        <v>752</v>
      </c>
      <c r="F93" s="217" t="s">
        <v>5</v>
      </c>
      <c r="G93" s="217" t="str">
        <f t="shared" si="9"/>
        <v/>
      </c>
      <c r="H93" s="6" t="s">
        <v>5</v>
      </c>
      <c r="I93" s="242" t="str">
        <f t="shared" si="10"/>
        <v/>
      </c>
      <c r="M93" s="7"/>
    </row>
    <row r="94" spans="1:13" x14ac:dyDescent="0.35">
      <c r="A94" s="1" t="s">
        <v>815</v>
      </c>
      <c r="B94" s="242">
        <f>ROUND(N('Prior Year'!CD85), 0)</f>
        <v>-859494</v>
      </c>
      <c r="C94" s="242">
        <f>data!CD85</f>
        <v>495811</v>
      </c>
      <c r="D94" s="242" t="s">
        <v>752</v>
      </c>
      <c r="E94" s="4" t="s">
        <v>752</v>
      </c>
      <c r="F94" s="217" t="s">
        <v>5</v>
      </c>
      <c r="G94" s="217" t="str">
        <f t="shared" si="9"/>
        <v/>
      </c>
      <c r="H94" s="6" t="s">
        <v>5</v>
      </c>
      <c r="I94" s="242" t="str">
        <f t="shared" si="10"/>
        <v/>
      </c>
      <c r="M94" s="7"/>
    </row>
  </sheetData>
  <pageMargins left="0.7" right="0.7" top="0.75" bottom="0.75" header="0.3" footer="0.3"/>
  <pageSetup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9314-EB8C-452A-AA8D-224A85ED86B5}">
  <sheetPr>
    <tabColor rgb="FF92D050"/>
  </sheetPr>
  <dimension ref="A1:D28"/>
  <sheetViews>
    <sheetView topLeftCell="A18" workbookViewId="0">
      <selection activeCell="D12" sqref="D12"/>
    </sheetView>
  </sheetViews>
  <sheetFormatPr defaultRowHeight="12.5" x14ac:dyDescent="0.25"/>
  <cols>
    <col min="1" max="1" width="15.25" bestFit="1" customWidth="1"/>
    <col min="2" max="2" width="10.08203125" bestFit="1" customWidth="1"/>
    <col min="3" max="3" width="48.75" bestFit="1" customWidth="1"/>
    <col min="4" max="5" width="13.4140625" bestFit="1" customWidth="1"/>
    <col min="6" max="7" width="6.33203125" bestFit="1" customWidth="1"/>
  </cols>
  <sheetData>
    <row r="1" spans="1:4" ht="14.5" x14ac:dyDescent="0.35">
      <c r="A1" s="280" t="s">
        <v>816</v>
      </c>
      <c r="B1" s="279"/>
      <c r="C1" s="279"/>
      <c r="D1" s="279"/>
    </row>
    <row r="2" spans="1:4" ht="14.5" x14ac:dyDescent="0.35">
      <c r="A2" s="279"/>
      <c r="B2" s="279"/>
      <c r="C2" s="279"/>
      <c r="D2" s="279"/>
    </row>
    <row r="3" spans="1:4" ht="14.5" x14ac:dyDescent="0.35">
      <c r="A3" s="282" t="s">
        <v>817</v>
      </c>
      <c r="B3" s="279"/>
      <c r="C3" s="279"/>
      <c r="D3" s="279"/>
    </row>
    <row r="4" spans="1:4" ht="14.5" x14ac:dyDescent="0.35">
      <c r="A4" s="279" t="s">
        <v>818</v>
      </c>
      <c r="B4" s="279"/>
      <c r="C4" s="279"/>
      <c r="D4" s="279"/>
    </row>
    <row r="5" spans="1:4" ht="14.5" x14ac:dyDescent="0.35">
      <c r="A5" s="279" t="s">
        <v>819</v>
      </c>
      <c r="B5" s="279"/>
      <c r="C5" s="279"/>
      <c r="D5" s="279"/>
    </row>
    <row r="6" spans="1:4" ht="14.5" x14ac:dyDescent="0.35">
      <c r="A6" s="279"/>
      <c r="B6" s="279"/>
      <c r="C6" s="279"/>
      <c r="D6" s="279"/>
    </row>
    <row r="7" spans="1:4" ht="14.5" x14ac:dyDescent="0.35">
      <c r="A7" s="279" t="s">
        <v>820</v>
      </c>
      <c r="B7" s="279"/>
      <c r="C7" s="279"/>
      <c r="D7" s="279"/>
    </row>
    <row r="8" spans="1:4" ht="14.5" x14ac:dyDescent="0.35">
      <c r="A8" s="279" t="s">
        <v>821</v>
      </c>
      <c r="B8" s="279"/>
      <c r="C8" s="279"/>
      <c r="D8" s="279"/>
    </row>
    <row r="9" spans="1:4" ht="14.5" x14ac:dyDescent="0.35">
      <c r="A9" s="279"/>
      <c r="B9" s="279"/>
      <c r="C9" s="279"/>
      <c r="D9" s="279"/>
    </row>
    <row r="10" spans="1:4" ht="14.5" x14ac:dyDescent="0.35">
      <c r="A10" s="279"/>
      <c r="B10" s="279"/>
      <c r="C10" s="279"/>
      <c r="D10" s="279"/>
    </row>
    <row r="11" spans="1:4" ht="14.5" x14ac:dyDescent="0.35">
      <c r="A11" s="281" t="s">
        <v>822</v>
      </c>
      <c r="B11" s="279"/>
      <c r="C11" s="279"/>
      <c r="D11" s="279">
        <f>N(data!C380)</f>
        <v>852587</v>
      </c>
    </row>
    <row r="12" spans="1:4" ht="14.5" x14ac:dyDescent="0.35">
      <c r="A12" s="281" t="s">
        <v>823</v>
      </c>
      <c r="B12" s="279"/>
      <c r="C12" s="279"/>
      <c r="D12" s="279" t="str">
        <f>IF(OR(N(data!C380) &gt; 1000000, N(data!C380) / (N(data!D360) + N(data!D383)) &gt; 0.01), "Yes", "No")</f>
        <v>Yes</v>
      </c>
    </row>
    <row r="13" spans="1:4" ht="14.5" x14ac:dyDescent="0.35">
      <c r="A13" s="279"/>
      <c r="B13" s="279"/>
      <c r="C13" s="279"/>
      <c r="D13" s="279"/>
    </row>
    <row r="14" spans="1:4" ht="14.5" x14ac:dyDescent="0.35">
      <c r="A14" s="281" t="s">
        <v>824</v>
      </c>
      <c r="B14" s="279"/>
      <c r="C14" s="279"/>
      <c r="D14" s="281" t="s">
        <v>825</v>
      </c>
    </row>
    <row r="15" spans="1:4" ht="30" customHeight="1" x14ac:dyDescent="0.35">
      <c r="A15" s="353" t="s">
        <v>1372</v>
      </c>
      <c r="B15" s="353"/>
      <c r="C15" s="279"/>
      <c r="D15" s="351">
        <v>130869</v>
      </c>
    </row>
    <row r="16" spans="1:4" ht="14.5" x14ac:dyDescent="0.35">
      <c r="A16" s="350" t="s">
        <v>1373</v>
      </c>
      <c r="B16" s="279"/>
      <c r="C16" s="279"/>
      <c r="D16" s="351">
        <v>32804</v>
      </c>
    </row>
    <row r="17" spans="1:4" ht="14.5" x14ac:dyDescent="0.35">
      <c r="A17" s="353" t="s">
        <v>1379</v>
      </c>
      <c r="B17" s="353"/>
      <c r="C17" s="279"/>
      <c r="D17" s="351">
        <v>3</v>
      </c>
    </row>
    <row r="18" spans="1:4" ht="14.5" x14ac:dyDescent="0.35">
      <c r="A18" s="353" t="s">
        <v>1374</v>
      </c>
      <c r="B18" s="353"/>
      <c r="C18" s="279"/>
      <c r="D18" s="279">
        <v>18905</v>
      </c>
    </row>
    <row r="19" spans="1:4" ht="14.5" x14ac:dyDescent="0.35">
      <c r="A19" s="353" t="s">
        <v>1375</v>
      </c>
      <c r="B19" s="353"/>
      <c r="C19" s="279"/>
      <c r="D19" s="279">
        <v>17469</v>
      </c>
    </row>
    <row r="20" spans="1:4" ht="14.5" x14ac:dyDescent="0.35">
      <c r="A20" s="350" t="s">
        <v>1376</v>
      </c>
      <c r="B20" s="279"/>
      <c r="C20" s="279"/>
      <c r="D20" s="279">
        <v>-4</v>
      </c>
    </row>
    <row r="21" spans="1:4" ht="14.5" x14ac:dyDescent="0.35">
      <c r="A21" s="353" t="s">
        <v>1377</v>
      </c>
      <c r="B21" s="353"/>
      <c r="C21" s="279"/>
      <c r="D21" s="279">
        <v>282403</v>
      </c>
    </row>
    <row r="22" spans="1:4" ht="14.5" x14ac:dyDescent="0.35">
      <c r="A22" s="353" t="s">
        <v>1378</v>
      </c>
      <c r="B22" s="353"/>
      <c r="C22" s="279"/>
      <c r="D22" s="349">
        <v>370144</v>
      </c>
    </row>
    <row r="23" spans="1:4" ht="14.5" x14ac:dyDescent="0.35">
      <c r="A23" s="279"/>
      <c r="B23" s="279"/>
      <c r="C23" s="279"/>
      <c r="D23" s="279">
        <f>SUM(D15:D22)</f>
        <v>852593</v>
      </c>
    </row>
    <row r="24" spans="1:4" ht="14.5" x14ac:dyDescent="0.35">
      <c r="A24" s="279"/>
      <c r="B24" s="279"/>
      <c r="C24" s="279"/>
      <c r="D24" s="279"/>
    </row>
    <row r="25" spans="1:4" ht="14.5" x14ac:dyDescent="0.35">
      <c r="A25" s="279"/>
      <c r="B25" s="279"/>
      <c r="C25" s="279"/>
      <c r="D25" s="279"/>
    </row>
    <row r="26" spans="1:4" ht="14.5" x14ac:dyDescent="0.35">
      <c r="A26" s="281" t="s">
        <v>826</v>
      </c>
      <c r="B26" s="279"/>
      <c r="C26" s="279"/>
      <c r="D26" s="279">
        <f>N(data!C414)</f>
        <v>281884</v>
      </c>
    </row>
    <row r="27" spans="1:4" ht="14.5" x14ac:dyDescent="0.35">
      <c r="A27" s="281" t="s">
        <v>823</v>
      </c>
      <c r="B27" s="279"/>
      <c r="C27" s="279"/>
      <c r="D27" s="279" t="str">
        <f>IF(OR(N(data!C414)&gt;1000000,N(data!C414)/(N(data!D416))&gt;0.01),"Yes","No")</f>
        <v>No</v>
      </c>
    </row>
    <row r="28" spans="1:4" ht="14.5" x14ac:dyDescent="0.35">
      <c r="A28" s="279"/>
      <c r="B28" s="279"/>
      <c r="C28" s="279"/>
      <c r="D28" s="279"/>
    </row>
  </sheetData>
  <mergeCells count="6">
    <mergeCell ref="A22:B22"/>
    <mergeCell ref="A15:B15"/>
    <mergeCell ref="A17:B17"/>
    <mergeCell ref="A18:B18"/>
    <mergeCell ref="A19:B19"/>
    <mergeCell ref="A21:B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139B-062C-4BA4-BFEF-96939046BA71}">
  <sheetPr codeName="Sheet3">
    <pageSetUpPr fitToPage="1"/>
  </sheetPr>
  <dimension ref="A1:G40"/>
  <sheetViews>
    <sheetView topLeftCell="A25"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827</v>
      </c>
    </row>
    <row r="2" spans="1:7" ht="20.149999999999999" customHeight="1" x14ac:dyDescent="0.35">
      <c r="A2" s="71" t="s">
        <v>828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H-107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NORTH VALLEY HOSPITAL OCPHD#4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"&amp;data!C103</f>
        <v xml:space="preserve">  OKANOGAN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829</v>
      </c>
      <c r="C7" s="76"/>
      <c r="D7" s="73" t="str">
        <f>"  "&amp;data!C104</f>
        <v xml:space="preserve">  John McReynolds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830</v>
      </c>
      <c r="C8" s="76"/>
      <c r="D8" s="73" t="str">
        <f>"  "&amp;data!C105</f>
        <v xml:space="preserve">  Matthew Matthiessen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831</v>
      </c>
      <c r="C9" s="76"/>
      <c r="D9" s="73" t="str">
        <f>"  "&amp;data!C106</f>
        <v xml:space="preserve">  Adam Tibbs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832</v>
      </c>
      <c r="C10" s="76"/>
      <c r="D10" s="73" t="str">
        <f>"  "&amp;data!C107</f>
        <v xml:space="preserve">  509-486-3119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833</v>
      </c>
      <c r="C11" s="76"/>
      <c r="D11" s="73" t="str">
        <f>"  "&amp;data!C108</f>
        <v xml:space="preserve">  509-486-4637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834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835</v>
      </c>
      <c r="E16" s="243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412</v>
      </c>
      <c r="E17" s="243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836</v>
      </c>
      <c r="C18" s="76"/>
      <c r="D18" s="76"/>
      <c r="E18" s="243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837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838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839</v>
      </c>
      <c r="C23" s="73"/>
      <c r="D23" s="73"/>
      <c r="E23" s="73"/>
      <c r="F23" s="72">
        <f>data!C127</f>
        <v>265</v>
      </c>
      <c r="G23" s="76">
        <f>data!D127</f>
        <v>971</v>
      </c>
    </row>
    <row r="24" spans="1:7" ht="20.149999999999999" customHeight="1" x14ac:dyDescent="0.35">
      <c r="A24" s="72"/>
      <c r="B24" s="73" t="s">
        <v>840</v>
      </c>
      <c r="C24" s="73"/>
      <c r="D24" s="73"/>
      <c r="E24" s="73"/>
      <c r="F24" s="72">
        <f>data!C128</f>
        <v>63</v>
      </c>
      <c r="G24" s="76">
        <f>data!D128</f>
        <v>14517</v>
      </c>
    </row>
    <row r="25" spans="1:7" ht="20.149999999999999" customHeight="1" x14ac:dyDescent="0.35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42</v>
      </c>
    </row>
    <row r="31" spans="1:7" ht="20.149999999999999" customHeight="1" x14ac:dyDescent="0.35">
      <c r="A31" s="72"/>
      <c r="B31" s="92" t="s">
        <v>843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844</v>
      </c>
      <c r="C32" s="76"/>
      <c r="D32" s="76">
        <f>data!C134</f>
        <v>18</v>
      </c>
      <c r="E32" s="73" t="s">
        <v>845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848</v>
      </c>
      <c r="C34" s="76"/>
      <c r="D34" s="76">
        <f>data!C136</f>
        <v>0</v>
      </c>
      <c r="E34" s="73" t="s">
        <v>352</v>
      </c>
      <c r="F34" s="76"/>
      <c r="G34" s="76">
        <f>data!E143</f>
        <v>60</v>
      </c>
    </row>
    <row r="35" spans="1:7" ht="20.149999999999999" customHeight="1" x14ac:dyDescent="0.35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67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851</v>
      </c>
      <c r="C40" s="100" t="s">
        <v>299</v>
      </c>
      <c r="D40" s="81">
        <f>data!C147</f>
        <v>305297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9927-A8E0-4EE1-813C-4DFFDCAD8254}">
  <sheetPr codeName="Sheet4">
    <pageSetUpPr fitToPage="1"/>
  </sheetPr>
  <dimension ref="A1:G33"/>
  <sheetViews>
    <sheetView topLeftCell="A4"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852</v>
      </c>
      <c r="G1" s="70" t="s">
        <v>853</v>
      </c>
    </row>
    <row r="2" spans="1:7" ht="20.149999999999999" customHeight="1" x14ac:dyDescent="0.35">
      <c r="A2" s="1" t="str">
        <f>"Hospital: "&amp;data!C98</f>
        <v>Hospital: NORTH VALLEY HOSPITAL OCPHD#4</v>
      </c>
      <c r="G2" s="4" t="s">
        <v>854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855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856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857</v>
      </c>
      <c r="B6" s="88" t="s">
        <v>337</v>
      </c>
      <c r="C6" s="88" t="s">
        <v>858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180</v>
      </c>
      <c r="C7" s="136">
        <f>data!B155</f>
        <v>439</v>
      </c>
      <c r="D7" s="136">
        <f>data!B156</f>
        <v>0</v>
      </c>
      <c r="E7" s="136">
        <f>data!B157</f>
        <v>2253689</v>
      </c>
      <c r="F7" s="136">
        <f>data!B158</f>
        <v>18194273</v>
      </c>
      <c r="G7" s="136">
        <f>data!B157+data!B158</f>
        <v>20447962</v>
      </c>
    </row>
    <row r="8" spans="1:7" ht="20.149999999999999" customHeight="1" x14ac:dyDescent="0.35">
      <c r="A8" s="72" t="s">
        <v>359</v>
      </c>
      <c r="B8" s="136">
        <f>data!C154</f>
        <v>3</v>
      </c>
      <c r="C8" s="136">
        <f>data!C155</f>
        <v>7</v>
      </c>
      <c r="D8" s="136">
        <f>data!C156</f>
        <v>0</v>
      </c>
      <c r="E8" s="136">
        <f>data!C157</f>
        <v>35936</v>
      </c>
      <c r="F8" s="136">
        <f>data!C158</f>
        <v>290114</v>
      </c>
      <c r="G8" s="136">
        <f>data!C157+data!C158</f>
        <v>326050</v>
      </c>
    </row>
    <row r="9" spans="1:7" ht="20.149999999999999" customHeight="1" x14ac:dyDescent="0.35">
      <c r="A9" s="72" t="s">
        <v>859</v>
      </c>
      <c r="B9" s="136">
        <f>data!D154</f>
        <v>82</v>
      </c>
      <c r="C9" s="136">
        <f>data!D155</f>
        <v>525</v>
      </c>
      <c r="D9" s="136">
        <f>data!D156</f>
        <v>0</v>
      </c>
      <c r="E9" s="136">
        <f>data!D157</f>
        <v>2695186</v>
      </c>
      <c r="F9" s="136">
        <f>data!D158</f>
        <v>21758527</v>
      </c>
      <c r="G9" s="136">
        <f>data!D157+data!D158</f>
        <v>24453713</v>
      </c>
    </row>
    <row r="10" spans="1:7" ht="20.149999999999999" customHeight="1" x14ac:dyDescent="0.35">
      <c r="A10" s="87" t="s">
        <v>230</v>
      </c>
      <c r="B10" s="136">
        <f>data!E154</f>
        <v>265</v>
      </c>
      <c r="C10" s="136">
        <f>data!E155</f>
        <v>971</v>
      </c>
      <c r="D10" s="136">
        <f>data!E156</f>
        <v>0</v>
      </c>
      <c r="E10" s="136">
        <f>data!E157</f>
        <v>4984811</v>
      </c>
      <c r="F10" s="136">
        <f>data!E158</f>
        <v>40242914</v>
      </c>
      <c r="G10" s="136">
        <f>E10+F10</f>
        <v>45227725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860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856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857</v>
      </c>
      <c r="B15" s="88" t="s">
        <v>337</v>
      </c>
      <c r="C15" s="88" t="s">
        <v>858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47</v>
      </c>
      <c r="C16" s="136">
        <f>data!B161</f>
        <v>1497</v>
      </c>
      <c r="D16" s="136">
        <f>data!B162</f>
        <v>0</v>
      </c>
      <c r="E16" s="136">
        <f>data!B163</f>
        <v>2191804</v>
      </c>
      <c r="F16" s="136">
        <f>data!B164</f>
        <v>0</v>
      </c>
      <c r="G16" s="136">
        <f>data!B163+data!B164</f>
        <v>2191804</v>
      </c>
    </row>
    <row r="17" spans="1:7" ht="20.149999999999999" customHeight="1" x14ac:dyDescent="0.35">
      <c r="A17" s="72" t="s">
        <v>359</v>
      </c>
      <c r="B17" s="136">
        <f>data!C160</f>
        <v>5</v>
      </c>
      <c r="C17" s="136">
        <f>data!C161</f>
        <v>9824</v>
      </c>
      <c r="D17" s="136">
        <f>data!C162</f>
        <v>0</v>
      </c>
      <c r="E17" s="136">
        <f>data!C163</f>
        <v>2922372</v>
      </c>
      <c r="F17" s="136">
        <f>data!C164</f>
        <v>0</v>
      </c>
      <c r="G17" s="136">
        <f>data!C163+data!C164</f>
        <v>2922372</v>
      </c>
    </row>
    <row r="18" spans="1:7" ht="20.149999999999999" customHeight="1" x14ac:dyDescent="0.35">
      <c r="A18" s="72" t="s">
        <v>859</v>
      </c>
      <c r="B18" s="136">
        <f>data!D160</f>
        <v>11</v>
      </c>
      <c r="C18" s="136">
        <f>data!D161</f>
        <v>3196</v>
      </c>
      <c r="D18" s="136">
        <f>data!D162</f>
        <v>0</v>
      </c>
      <c r="E18" s="136">
        <f>data!D163</f>
        <v>1690254</v>
      </c>
      <c r="F18" s="136">
        <f>data!D164</f>
        <v>0</v>
      </c>
      <c r="G18" s="136">
        <f>data!D163+data!D164</f>
        <v>1690254</v>
      </c>
    </row>
    <row r="19" spans="1:7" ht="20.149999999999999" customHeight="1" x14ac:dyDescent="0.35">
      <c r="A19" s="87" t="s">
        <v>230</v>
      </c>
      <c r="B19" s="136">
        <f>data!E160</f>
        <v>63</v>
      </c>
      <c r="C19" s="136">
        <f>data!E161</f>
        <v>14517</v>
      </c>
      <c r="D19" s="136">
        <f>data!E162</f>
        <v>0</v>
      </c>
      <c r="E19" s="136">
        <f>data!E163</f>
        <v>6804430</v>
      </c>
      <c r="F19" s="136">
        <f>data!E164</f>
        <v>0</v>
      </c>
      <c r="G19" s="136">
        <f>data!E163+data!E164</f>
        <v>6804430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861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856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857</v>
      </c>
      <c r="B24" s="88" t="s">
        <v>337</v>
      </c>
      <c r="C24" s="88" t="s">
        <v>858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862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863</v>
      </c>
      <c r="C32" s="148">
        <f>data!B173</f>
        <v>4991379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864</v>
      </c>
      <c r="C33" s="144">
        <f>data!C173</f>
        <v>1656779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6007E-D114-4920-B7F2-1B69BB3B2615}">
  <sheetPr codeName="Sheet5">
    <pageSetUpPr fitToPage="1"/>
  </sheetPr>
  <dimension ref="A1:C41"/>
  <sheetViews>
    <sheetView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865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NORTH VALLEY HOSPITAL OCPHD#4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866</v>
      </c>
      <c r="C6" s="72">
        <f>data!C181</f>
        <v>835038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201036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148672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1839774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184413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251357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867</v>
      </c>
      <c r="C14" s="72">
        <f>data!D189</f>
        <v>3460290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868</v>
      </c>
      <c r="C18" s="72">
        <f>data!C191</f>
        <v>26069</v>
      </c>
    </row>
    <row r="19" spans="1:3" ht="20.149999999999999" customHeight="1" x14ac:dyDescent="0.35">
      <c r="A19" s="72">
        <v>13</v>
      </c>
      <c r="B19" s="73" t="s">
        <v>869</v>
      </c>
      <c r="C19" s="72">
        <f>data!C192</f>
        <v>438421</v>
      </c>
    </row>
    <row r="20" spans="1:3" ht="20.149999999999999" customHeight="1" x14ac:dyDescent="0.35">
      <c r="A20" s="72">
        <v>14</v>
      </c>
      <c r="B20" s="73" t="s">
        <v>870</v>
      </c>
      <c r="C20" s="72">
        <f>data!D193</f>
        <v>464490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871</v>
      </c>
      <c r="C24" s="157"/>
    </row>
    <row r="25" spans="1:3" ht="20.149999999999999" customHeight="1" x14ac:dyDescent="0.35">
      <c r="A25" s="72">
        <v>17</v>
      </c>
      <c r="B25" s="73" t="s">
        <v>872</v>
      </c>
      <c r="C25" s="72">
        <f>data!C195</f>
        <v>259595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105172</v>
      </c>
    </row>
    <row r="27" spans="1:3" ht="20.149999999999999" customHeight="1" x14ac:dyDescent="0.35">
      <c r="A27" s="72">
        <v>19</v>
      </c>
      <c r="B27" s="73" t="s">
        <v>873</v>
      </c>
      <c r="C27" s="72">
        <f>data!D197</f>
        <v>364767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874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44812</v>
      </c>
    </row>
    <row r="32" spans="1:3" ht="20.149999999999999" customHeight="1" x14ac:dyDescent="0.35">
      <c r="A32" s="72">
        <v>22</v>
      </c>
      <c r="B32" s="73" t="s">
        <v>875</v>
      </c>
      <c r="C32" s="72">
        <f>data!C200</f>
        <v>115753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-10</v>
      </c>
    </row>
    <row r="34" spans="1:3" ht="20.149999999999999" customHeight="1" x14ac:dyDescent="0.35">
      <c r="A34" s="72">
        <v>24</v>
      </c>
      <c r="B34" s="73" t="s">
        <v>876</v>
      </c>
      <c r="C34" s="72">
        <f>data!D202</f>
        <v>160555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877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218914</v>
      </c>
    </row>
    <row r="40" spans="1:3" ht="20.149999999999999" customHeight="1" x14ac:dyDescent="0.35">
      <c r="A40" s="72">
        <v>28</v>
      </c>
      <c r="B40" s="73" t="s">
        <v>878</v>
      </c>
      <c r="C40" s="72">
        <f>data!D206</f>
        <v>218914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3248-AC19-4A64-BA66-6CDA90285A31}">
  <sheetPr codeName="Sheet6">
    <pageSetUpPr fitToPage="1"/>
  </sheetPr>
  <dimension ref="A1:F32"/>
  <sheetViews>
    <sheetView topLeftCell="A16"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879</v>
      </c>
    </row>
    <row r="3" spans="1:6" ht="20.149999999999999" customHeight="1" x14ac:dyDescent="0.35">
      <c r="A3" s="129" t="str">
        <f>"Hospital: "&amp;data!C98</f>
        <v>Hospital: NORTH VALLEY HOSPITAL OCPHD#4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880</v>
      </c>
      <c r="D5" s="160"/>
      <c r="E5" s="160"/>
      <c r="F5" s="160" t="s">
        <v>881</v>
      </c>
    </row>
    <row r="6" spans="1:6" ht="20.149999999999999" customHeight="1" x14ac:dyDescent="0.35">
      <c r="A6" s="161"/>
      <c r="B6" s="79"/>
      <c r="C6" s="162" t="s">
        <v>882</v>
      </c>
      <c r="D6" s="162" t="s">
        <v>391</v>
      </c>
      <c r="E6" s="162" t="s">
        <v>883</v>
      </c>
      <c r="F6" s="162" t="s">
        <v>882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358540</v>
      </c>
      <c r="D7" s="76">
        <f>data!C211</f>
        <v>0</v>
      </c>
      <c r="E7" s="76">
        <f>data!D211</f>
        <v>0</v>
      </c>
      <c r="F7" s="76">
        <f>data!E211</f>
        <v>358540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719936</v>
      </c>
      <c r="D8" s="76">
        <f>data!C212</f>
        <v>0</v>
      </c>
      <c r="E8" s="76">
        <f>data!D212</f>
        <v>0</v>
      </c>
      <c r="F8" s="76">
        <f>data!E212</f>
        <v>719936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14372998</v>
      </c>
      <c r="D9" s="76">
        <f>data!C213</f>
        <v>100216</v>
      </c>
      <c r="E9" s="76">
        <f>data!D213</f>
        <v>0</v>
      </c>
      <c r="F9" s="76">
        <f>data!E213</f>
        <v>14473214</v>
      </c>
    </row>
    <row r="10" spans="1:6" ht="20.149999999999999" customHeight="1" x14ac:dyDescent="0.35">
      <c r="A10" s="72">
        <v>4</v>
      </c>
      <c r="B10" s="76" t="s">
        <v>884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885</v>
      </c>
      <c r="C11" s="76">
        <f>data!B215</f>
        <v>7342811</v>
      </c>
      <c r="D11" s="76">
        <f>data!C215</f>
        <v>30697</v>
      </c>
      <c r="E11" s="76">
        <f>data!D215</f>
        <v>0</v>
      </c>
      <c r="F11" s="76">
        <f>data!E215</f>
        <v>7373508</v>
      </c>
    </row>
    <row r="12" spans="1:6" ht="20.149999999999999" customHeight="1" x14ac:dyDescent="0.35">
      <c r="A12" s="72">
        <v>6</v>
      </c>
      <c r="B12" s="76" t="s">
        <v>886</v>
      </c>
      <c r="C12" s="76">
        <f>data!B216</f>
        <v>9096175</v>
      </c>
      <c r="D12" s="76">
        <f>data!C216</f>
        <v>293464</v>
      </c>
      <c r="E12" s="76">
        <f>data!D216</f>
        <v>0</v>
      </c>
      <c r="F12" s="76">
        <f>data!E216</f>
        <v>9389639</v>
      </c>
    </row>
    <row r="13" spans="1:6" ht="20.149999999999999" customHeight="1" x14ac:dyDescent="0.35">
      <c r="A13" s="72">
        <v>7</v>
      </c>
      <c r="B13" s="76" t="s">
        <v>887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888</v>
      </c>
      <c r="C15" s="76">
        <f>data!B219</f>
        <v>1505130</v>
      </c>
      <c r="D15" s="76">
        <f>data!C219</f>
        <v>2055518</v>
      </c>
      <c r="E15" s="76">
        <f>data!D219</f>
        <v>0</v>
      </c>
      <c r="F15" s="76">
        <f>data!E219</f>
        <v>3560648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33395590</v>
      </c>
      <c r="D16" s="76">
        <f>data!C220</f>
        <v>2479895</v>
      </c>
      <c r="E16" s="76">
        <f>data!D220</f>
        <v>0</v>
      </c>
      <c r="F16" s="76">
        <f>data!E220</f>
        <v>35875485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spans="1:6" ht="20.149999999999999" customHeight="1" x14ac:dyDescent="0.35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717609</v>
      </c>
      <c r="D24" s="76">
        <f>data!C225</f>
        <v>365</v>
      </c>
      <c r="E24" s="76">
        <f>data!D225</f>
        <v>0</v>
      </c>
      <c r="F24" s="76">
        <f>data!E225</f>
        <v>717974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7397336</v>
      </c>
      <c r="D25" s="76">
        <f>data!C226</f>
        <v>430106</v>
      </c>
      <c r="E25" s="76">
        <f>data!D226</f>
        <v>0</v>
      </c>
      <c r="F25" s="76">
        <f>data!E226</f>
        <v>7827442</v>
      </c>
    </row>
    <row r="26" spans="1:6" ht="20.149999999999999" customHeight="1" x14ac:dyDescent="0.35">
      <c r="A26" s="72">
        <v>14</v>
      </c>
      <c r="B26" s="76" t="s">
        <v>884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885</v>
      </c>
      <c r="C27" s="76">
        <f>data!B228</f>
        <v>5498782</v>
      </c>
      <c r="D27" s="76">
        <f>data!C228</f>
        <v>168205</v>
      </c>
      <c r="E27" s="76">
        <f>data!D228</f>
        <v>0</v>
      </c>
      <c r="F27" s="76">
        <f>data!E228</f>
        <v>5666987</v>
      </c>
    </row>
    <row r="28" spans="1:6" ht="20.149999999999999" customHeight="1" x14ac:dyDescent="0.35">
      <c r="A28" s="72">
        <v>16</v>
      </c>
      <c r="B28" s="76" t="s">
        <v>886</v>
      </c>
      <c r="C28" s="76">
        <f>data!B229</f>
        <v>7126275</v>
      </c>
      <c r="D28" s="76">
        <f>data!C229</f>
        <v>708841</v>
      </c>
      <c r="E28" s="76">
        <f>data!D229</f>
        <v>0</v>
      </c>
      <c r="F28" s="76">
        <f>data!E229</f>
        <v>7835116</v>
      </c>
    </row>
    <row r="29" spans="1:6" ht="20.149999999999999" customHeight="1" x14ac:dyDescent="0.35">
      <c r="A29" s="72">
        <v>17</v>
      </c>
      <c r="B29" s="76" t="s">
        <v>887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20740002</v>
      </c>
      <c r="D32" s="76">
        <f>data!C233</f>
        <v>1307517</v>
      </c>
      <c r="E32" s="76">
        <f>data!D233</f>
        <v>0</v>
      </c>
      <c r="F32" s="76">
        <f>data!E233</f>
        <v>22047519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743-E9A3-46F5-80BF-ADE6E2E943FC}">
  <sheetPr codeName="Sheet7">
    <pageSetUpPr fitToPage="1"/>
  </sheetPr>
  <dimension ref="A1:D34"/>
  <sheetViews>
    <sheetView topLeftCell="A10" workbookViewId="0">
      <selection activeCell="D28" sqref="D28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890</v>
      </c>
      <c r="B1" s="71"/>
      <c r="C1" s="71"/>
      <c r="D1" s="70" t="s">
        <v>891</v>
      </c>
    </row>
    <row r="2" spans="1:4" ht="20.149999999999999" customHeight="1" x14ac:dyDescent="0.35">
      <c r="A2" s="129" t="str">
        <f>"Hospital: "&amp;data!C98</f>
        <v>Hospital: NORTH VALLEY HOSPITAL OCPHD#4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892</v>
      </c>
      <c r="C4" s="165" t="s">
        <v>893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923584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11814099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6977886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894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466358</v>
      </c>
    </row>
    <row r="13" spans="1:4" ht="20.149999999999999" customHeight="1" x14ac:dyDescent="0.35">
      <c r="A13" s="72">
        <v>9</v>
      </c>
      <c r="B13" s="76"/>
      <c r="C13" s="76" t="s">
        <v>895</v>
      </c>
      <c r="D13" s="76">
        <f>data!D245</f>
        <v>19258343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896</v>
      </c>
      <c r="D16" s="72">
        <f>data!C247</f>
        <v>964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130423</v>
      </c>
    </row>
    <row r="19" spans="1:4" ht="20.149999999999999" customHeight="1" x14ac:dyDescent="0.35">
      <c r="A19" s="170">
        <v>15</v>
      </c>
      <c r="B19" s="167">
        <v>5910</v>
      </c>
      <c r="C19" s="89" t="s">
        <v>897</v>
      </c>
      <c r="D19" s="76">
        <f>data!C250</f>
        <v>717801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898</v>
      </c>
      <c r="D22" s="76">
        <f>data!D252</f>
        <v>848224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900</v>
      </c>
      <c r="C27" s="88"/>
      <c r="D27" s="76">
        <f>data!D258</f>
        <v>21030151</v>
      </c>
    </row>
    <row r="28" spans="1:4" ht="20.149999999999999" customHeight="1" x14ac:dyDescent="0.35">
      <c r="A28" s="81">
        <v>24</v>
      </c>
      <c r="B28" s="147" t="s">
        <v>901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000000K55820240628000925.xlsx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