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7C0148BC-2FA2-429F-A5A4-77E159A4E703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3" i="24" l="1"/>
  <c r="L92" i="24" l="1"/>
  <c r="BL60" i="24"/>
  <c r="BK60" i="24"/>
  <c r="AJ60" i="24"/>
  <c r="P60" i="24"/>
  <c r="AJ90" i="24"/>
  <c r="AK59" i="24"/>
  <c r="C414" i="24" l="1"/>
  <c r="C394" i="24"/>
  <c r="C314" i="24" l="1"/>
  <c r="C271" i="24"/>
  <c r="C268" i="24"/>
  <c r="D163" i="24"/>
  <c r="D157" i="24" s="1"/>
  <c r="B163" i="24"/>
  <c r="B157" i="24" s="1"/>
  <c r="D158" i="24"/>
  <c r="C158" i="24"/>
  <c r="C157" i="24"/>
  <c r="B158" i="24"/>
  <c r="D161" i="24"/>
  <c r="C161" i="24"/>
  <c r="B161" i="24"/>
  <c r="D155" i="24"/>
  <c r="C155" i="24"/>
  <c r="B155" i="24"/>
  <c r="C216" i="24"/>
  <c r="B211" i="24"/>
  <c r="C183" i="24"/>
  <c r="B160" i="24"/>
  <c r="D154" i="24"/>
  <c r="C154" i="24"/>
  <c r="B154" i="24"/>
  <c r="AB66" i="24" l="1"/>
  <c r="AB64" i="24"/>
  <c r="AV88" i="24" l="1"/>
  <c r="AV87" i="24"/>
  <c r="AO88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D615" i="34" s="1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F35" i="15" s="1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F29" i="15" s="1"/>
  <c r="E28" i="15"/>
  <c r="D28" i="15"/>
  <c r="B28" i="15"/>
  <c r="E27" i="15"/>
  <c r="D27" i="15"/>
  <c r="B27" i="15"/>
  <c r="F27" i="15" s="1"/>
  <c r="E26" i="15"/>
  <c r="D26" i="15"/>
  <c r="B26" i="15"/>
  <c r="E25" i="15"/>
  <c r="D25" i="15"/>
  <c r="B25" i="15"/>
  <c r="F25" i="15" s="1"/>
  <c r="E24" i="15"/>
  <c r="D24" i="15"/>
  <c r="B24" i="15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E19" i="15"/>
  <c r="D19" i="15"/>
  <c r="B19" i="15"/>
  <c r="F19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6" s="1"/>
  <c r="CE92" i="24"/>
  <c r="I382" i="36" s="1"/>
  <c r="CF91" i="24"/>
  <c r="CE91" i="24"/>
  <c r="I381" i="36" s="1"/>
  <c r="CE90" i="24"/>
  <c r="I380" i="36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CE63" i="24"/>
  <c r="I365" i="36" s="1"/>
  <c r="CE61" i="24"/>
  <c r="I363" i="36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33" i="15" l="1"/>
  <c r="F36" i="15"/>
  <c r="F24" i="15"/>
  <c r="F41" i="15"/>
  <c r="F49" i="15"/>
  <c r="F17" i="15"/>
  <c r="F50" i="15"/>
  <c r="F28" i="15"/>
  <c r="F45" i="15"/>
  <c r="F37" i="15"/>
  <c r="F48" i="15"/>
  <c r="F65" i="15"/>
  <c r="F26" i="15"/>
  <c r="F43" i="15"/>
  <c r="F51" i="15"/>
  <c r="CE69" i="24"/>
  <c r="I371" i="36" s="1"/>
  <c r="I612" i="24"/>
  <c r="BT85" i="24"/>
  <c r="I309" i="36" s="1"/>
  <c r="CF90" i="24"/>
  <c r="H6" i="31"/>
  <c r="G12" i="36"/>
  <c r="G85" i="24"/>
  <c r="H10" i="31"/>
  <c r="D44" i="36"/>
  <c r="K85" i="24"/>
  <c r="H14" i="31"/>
  <c r="H44" i="36"/>
  <c r="O85" i="24"/>
  <c r="H18" i="31"/>
  <c r="E76" i="36"/>
  <c r="S85" i="24"/>
  <c r="H26" i="31"/>
  <c r="F108" i="36"/>
  <c r="AA85" i="24"/>
  <c r="H30" i="31"/>
  <c r="C140" i="36"/>
  <c r="AE85" i="24"/>
  <c r="H34" i="31"/>
  <c r="G140" i="36"/>
  <c r="AI85" i="24"/>
  <c r="H38" i="31"/>
  <c r="D172" i="36"/>
  <c r="AM85" i="24"/>
  <c r="H42" i="31"/>
  <c r="H172" i="36"/>
  <c r="AQ85" i="24"/>
  <c r="H46" i="31"/>
  <c r="E204" i="36"/>
  <c r="AU85" i="24"/>
  <c r="H50" i="31"/>
  <c r="I204" i="36"/>
  <c r="AY85" i="24"/>
  <c r="H54" i="31"/>
  <c r="F236" i="36"/>
  <c r="BC85" i="24"/>
  <c r="H58" i="31"/>
  <c r="C268" i="36"/>
  <c r="BG85" i="24"/>
  <c r="H62" i="31"/>
  <c r="G268" i="36"/>
  <c r="BK85" i="24"/>
  <c r="H66" i="31"/>
  <c r="D300" i="36"/>
  <c r="BO85" i="24"/>
  <c r="H70" i="31"/>
  <c r="H300" i="36"/>
  <c r="BS85" i="24"/>
  <c r="H74" i="31"/>
  <c r="E332" i="36"/>
  <c r="BW85" i="24"/>
  <c r="H78" i="31"/>
  <c r="I332" i="36"/>
  <c r="CA85" i="24"/>
  <c r="M4" i="31"/>
  <c r="E17" i="36"/>
  <c r="M8" i="31"/>
  <c r="I17" i="36"/>
  <c r="M12" i="31"/>
  <c r="F49" i="36"/>
  <c r="M16" i="31"/>
  <c r="C81" i="36"/>
  <c r="M20" i="31"/>
  <c r="G81" i="36"/>
  <c r="M24" i="31"/>
  <c r="D113" i="36"/>
  <c r="M28" i="31"/>
  <c r="H113" i="36"/>
  <c r="M32" i="31"/>
  <c r="E145" i="36"/>
  <c r="M36" i="31"/>
  <c r="I145" i="36"/>
  <c r="M40" i="31"/>
  <c r="F177" i="36"/>
  <c r="M44" i="31"/>
  <c r="C209" i="36"/>
  <c r="M48" i="31"/>
  <c r="G209" i="36"/>
  <c r="M52" i="31"/>
  <c r="D241" i="36"/>
  <c r="M56" i="31"/>
  <c r="H241" i="36"/>
  <c r="M60" i="31"/>
  <c r="E273" i="36"/>
  <c r="M64" i="31"/>
  <c r="I273" i="36"/>
  <c r="M68" i="31"/>
  <c r="F305" i="36"/>
  <c r="M76" i="31"/>
  <c r="G337" i="36"/>
  <c r="M80" i="31"/>
  <c r="D369" i="36"/>
  <c r="H2" i="31"/>
  <c r="C12" i="36"/>
  <c r="C85" i="24"/>
  <c r="CE62" i="24"/>
  <c r="I364" i="36" s="1"/>
  <c r="H22" i="31"/>
  <c r="I76" i="36"/>
  <c r="W85" i="24"/>
  <c r="M5" i="31"/>
  <c r="F17" i="36"/>
  <c r="M9" i="31"/>
  <c r="C49" i="36"/>
  <c r="M13" i="31"/>
  <c r="G49" i="36"/>
  <c r="M17" i="31"/>
  <c r="D81" i="36"/>
  <c r="M21" i="31"/>
  <c r="H81" i="36"/>
  <c r="M25" i="31"/>
  <c r="E113" i="36"/>
  <c r="M29" i="31"/>
  <c r="I113" i="36"/>
  <c r="M33" i="31"/>
  <c r="F145" i="36"/>
  <c r="M37" i="31"/>
  <c r="C177" i="36"/>
  <c r="M41" i="31"/>
  <c r="G177" i="36"/>
  <c r="M45" i="31"/>
  <c r="D209" i="36"/>
  <c r="M49" i="31"/>
  <c r="H209" i="36"/>
  <c r="M53" i="31"/>
  <c r="E241" i="36"/>
  <c r="M57" i="31"/>
  <c r="I241" i="36"/>
  <c r="M61" i="31"/>
  <c r="F273" i="36"/>
  <c r="M65" i="31"/>
  <c r="C305" i="36"/>
  <c r="M69" i="31"/>
  <c r="G305" i="36"/>
  <c r="M73" i="31"/>
  <c r="D337" i="36"/>
  <c r="D85" i="24"/>
  <c r="H4" i="31"/>
  <c r="E12" i="36"/>
  <c r="E85" i="24"/>
  <c r="H8" i="31"/>
  <c r="I12" i="36"/>
  <c r="I85" i="24"/>
  <c r="H12" i="31"/>
  <c r="F44" i="36"/>
  <c r="M85" i="24"/>
  <c r="H16" i="31"/>
  <c r="C76" i="36"/>
  <c r="Q85" i="24"/>
  <c r="H20" i="31"/>
  <c r="G76" i="36"/>
  <c r="U85" i="24"/>
  <c r="H24" i="31"/>
  <c r="D108" i="36"/>
  <c r="Y85" i="24"/>
  <c r="H28" i="31"/>
  <c r="H108" i="36"/>
  <c r="AC85" i="24"/>
  <c r="H32" i="31"/>
  <c r="E140" i="36"/>
  <c r="AG85" i="24"/>
  <c r="H36" i="31"/>
  <c r="I140" i="36"/>
  <c r="AK85" i="24"/>
  <c r="H40" i="31"/>
  <c r="F172" i="36"/>
  <c r="AO85" i="24"/>
  <c r="H44" i="31"/>
  <c r="C204" i="36"/>
  <c r="AS85" i="24"/>
  <c r="H48" i="31"/>
  <c r="G204" i="36"/>
  <c r="AW85" i="24"/>
  <c r="H52" i="31"/>
  <c r="D236" i="36"/>
  <c r="BA85" i="24"/>
  <c r="H56" i="31"/>
  <c r="H236" i="36"/>
  <c r="BE85" i="24"/>
  <c r="H60" i="31"/>
  <c r="E268" i="36"/>
  <c r="BI85" i="24"/>
  <c r="H64" i="31"/>
  <c r="I268" i="36"/>
  <c r="BM85" i="24"/>
  <c r="H68" i="31"/>
  <c r="F300" i="36"/>
  <c r="BQ85" i="24"/>
  <c r="H72" i="31"/>
  <c r="C332" i="36"/>
  <c r="BU85" i="24"/>
  <c r="H76" i="31"/>
  <c r="G332" i="36"/>
  <c r="BY85" i="24"/>
  <c r="H80" i="31"/>
  <c r="D364" i="36"/>
  <c r="CC85" i="24"/>
  <c r="M2" i="31"/>
  <c r="C17" i="36"/>
  <c r="CE67" i="24"/>
  <c r="I369" i="36" s="1"/>
  <c r="M6" i="31"/>
  <c r="G17" i="36"/>
  <c r="M10" i="31"/>
  <c r="D49" i="36"/>
  <c r="M14" i="31"/>
  <c r="H49" i="36"/>
  <c r="M18" i="31"/>
  <c r="E81" i="36"/>
  <c r="M22" i="31"/>
  <c r="I81" i="36"/>
  <c r="M26" i="31"/>
  <c r="F113" i="36"/>
  <c r="M30" i="31"/>
  <c r="C145" i="36"/>
  <c r="M34" i="31"/>
  <c r="G145" i="36"/>
  <c r="M38" i="31"/>
  <c r="D177" i="36"/>
  <c r="M42" i="31"/>
  <c r="H177" i="36"/>
  <c r="M46" i="31"/>
  <c r="E209" i="36"/>
  <c r="M50" i="31"/>
  <c r="I209" i="36"/>
  <c r="M54" i="31"/>
  <c r="F241" i="36"/>
  <c r="M58" i="31"/>
  <c r="C273" i="36"/>
  <c r="M62" i="31"/>
  <c r="G273" i="36"/>
  <c r="M66" i="31"/>
  <c r="D305" i="36"/>
  <c r="M70" i="31"/>
  <c r="H305" i="36"/>
  <c r="M74" i="31"/>
  <c r="E337" i="36"/>
  <c r="M78" i="31"/>
  <c r="I337" i="36"/>
  <c r="H85" i="24"/>
  <c r="AN85" i="24"/>
  <c r="BD85" i="24"/>
  <c r="H5" i="31"/>
  <c r="F12" i="36"/>
  <c r="F85" i="24"/>
  <c r="H9" i="31"/>
  <c r="C44" i="36"/>
  <c r="J85" i="24"/>
  <c r="H13" i="31"/>
  <c r="G44" i="36"/>
  <c r="N85" i="24"/>
  <c r="H17" i="31"/>
  <c r="D76" i="36"/>
  <c r="R85" i="24"/>
  <c r="H21" i="31"/>
  <c r="H76" i="36"/>
  <c r="V85" i="24"/>
  <c r="H25" i="31"/>
  <c r="E108" i="36"/>
  <c r="Z85" i="24"/>
  <c r="H29" i="31"/>
  <c r="I108" i="36"/>
  <c r="AD85" i="24"/>
  <c r="H33" i="31"/>
  <c r="F140" i="36"/>
  <c r="AH85" i="24"/>
  <c r="H37" i="31"/>
  <c r="C172" i="36"/>
  <c r="AL85" i="24"/>
  <c r="H41" i="31"/>
  <c r="G172" i="36"/>
  <c r="AP85" i="24"/>
  <c r="H45" i="31"/>
  <c r="D204" i="36"/>
  <c r="AT85" i="24"/>
  <c r="H49" i="31"/>
  <c r="H204" i="36"/>
  <c r="AX85" i="24"/>
  <c r="H53" i="31"/>
  <c r="E236" i="36"/>
  <c r="BB85" i="24"/>
  <c r="H57" i="31"/>
  <c r="I236" i="36"/>
  <c r="BF85" i="24"/>
  <c r="H61" i="31"/>
  <c r="F268" i="36"/>
  <c r="BJ85" i="24"/>
  <c r="H65" i="31"/>
  <c r="C300" i="36"/>
  <c r="BN85" i="24"/>
  <c r="H69" i="31"/>
  <c r="G300" i="36"/>
  <c r="BR85" i="24"/>
  <c r="H73" i="31"/>
  <c r="D332" i="36"/>
  <c r="BV85" i="24"/>
  <c r="H77" i="31"/>
  <c r="H332" i="36"/>
  <c r="BZ85" i="24"/>
  <c r="M3" i="31"/>
  <c r="D17" i="36"/>
  <c r="M7" i="31"/>
  <c r="H17" i="36"/>
  <c r="M11" i="31"/>
  <c r="E49" i="36"/>
  <c r="M15" i="31"/>
  <c r="I49" i="36"/>
  <c r="M19" i="31"/>
  <c r="F81" i="36"/>
  <c r="M23" i="31"/>
  <c r="C113" i="36"/>
  <c r="M27" i="31"/>
  <c r="G113" i="36"/>
  <c r="M31" i="31"/>
  <c r="D145" i="36"/>
  <c r="M35" i="31"/>
  <c r="H145" i="36"/>
  <c r="M39" i="31"/>
  <c r="E177" i="36"/>
  <c r="M43" i="31"/>
  <c r="I177" i="36"/>
  <c r="M47" i="31"/>
  <c r="F209" i="36"/>
  <c r="M51" i="31"/>
  <c r="C241" i="36"/>
  <c r="M55" i="31"/>
  <c r="G241" i="36"/>
  <c r="M59" i="31"/>
  <c r="D273" i="36"/>
  <c r="M63" i="31"/>
  <c r="H273" i="36"/>
  <c r="M67" i="31"/>
  <c r="E305" i="36"/>
  <c r="AB85" i="24"/>
  <c r="CE48" i="24"/>
  <c r="M71" i="31"/>
  <c r="I305" i="36"/>
  <c r="H11" i="31"/>
  <c r="E44" i="36"/>
  <c r="H23" i="31"/>
  <c r="C108" i="36"/>
  <c r="H35" i="31"/>
  <c r="H140" i="36"/>
  <c r="H47" i="31"/>
  <c r="F204" i="36"/>
  <c r="H59" i="31"/>
  <c r="D268" i="36"/>
  <c r="H67" i="31"/>
  <c r="E300" i="36"/>
  <c r="I366" i="36"/>
  <c r="F612" i="24"/>
  <c r="M77" i="31"/>
  <c r="H337" i="36"/>
  <c r="O9" i="31"/>
  <c r="C51" i="36"/>
  <c r="O21" i="31"/>
  <c r="H83" i="36"/>
  <c r="O29" i="31"/>
  <c r="I115" i="36"/>
  <c r="O41" i="31"/>
  <c r="G179" i="36"/>
  <c r="O49" i="31"/>
  <c r="H211" i="36"/>
  <c r="O57" i="31"/>
  <c r="I243" i="36"/>
  <c r="AJ85" i="24"/>
  <c r="BP85" i="24"/>
  <c r="AE4" i="31"/>
  <c r="E26" i="36"/>
  <c r="AE16" i="31"/>
  <c r="C90" i="36"/>
  <c r="AE24" i="31"/>
  <c r="D122" i="36"/>
  <c r="AE28" i="31"/>
  <c r="H122" i="36"/>
  <c r="AE40" i="31"/>
  <c r="F186" i="36"/>
  <c r="CP2" i="30"/>
  <c r="D416" i="24"/>
  <c r="BK2" i="30"/>
  <c r="I362" i="36"/>
  <c r="H612" i="24"/>
  <c r="X85" i="24"/>
  <c r="CF2" i="38"/>
  <c r="D5" i="7"/>
  <c r="D258" i="24"/>
  <c r="C113" i="8"/>
  <c r="D367" i="24"/>
  <c r="D710" i="34"/>
  <c r="D706" i="34"/>
  <c r="D702" i="34"/>
  <c r="D698" i="34"/>
  <c r="D694" i="34"/>
  <c r="D712" i="34"/>
  <c r="D711" i="34"/>
  <c r="D704" i="34"/>
  <c r="D703" i="34"/>
  <c r="D696" i="34"/>
  <c r="D695" i="34"/>
  <c r="D691" i="34"/>
  <c r="D687" i="34"/>
  <c r="D683" i="34"/>
  <c r="D679" i="34"/>
  <c r="D716" i="34"/>
  <c r="D707" i="34"/>
  <c r="D699" i="34"/>
  <c r="D686" i="34"/>
  <c r="D676" i="34"/>
  <c r="D672" i="34"/>
  <c r="D668" i="34"/>
  <c r="D713" i="34"/>
  <c r="D705" i="34"/>
  <c r="D697" i="34"/>
  <c r="D685" i="34"/>
  <c r="D684" i="34"/>
  <c r="D677" i="34"/>
  <c r="D673" i="34"/>
  <c r="D669" i="34"/>
  <c r="D708" i="34"/>
  <c r="D700" i="34"/>
  <c r="D692" i="34"/>
  <c r="D690" i="34"/>
  <c r="D682" i="34"/>
  <c r="D678" i="34"/>
  <c r="D674" i="34"/>
  <c r="D670" i="34"/>
  <c r="D647" i="34"/>
  <c r="D646" i="34"/>
  <c r="D645" i="34"/>
  <c r="D709" i="34"/>
  <c r="D701" i="34"/>
  <c r="D693" i="34"/>
  <c r="D689" i="34"/>
  <c r="D688" i="34"/>
  <c r="D681" i="34"/>
  <c r="D680" i="34"/>
  <c r="D675" i="34"/>
  <c r="D671" i="34"/>
  <c r="D643" i="34"/>
  <c r="D639" i="34"/>
  <c r="D634" i="34"/>
  <c r="D628" i="34"/>
  <c r="D622" i="34"/>
  <c r="D620" i="34"/>
  <c r="D618" i="34"/>
  <c r="D616" i="34"/>
  <c r="D644" i="34"/>
  <c r="D640" i="34"/>
  <c r="D635" i="34"/>
  <c r="D627" i="34"/>
  <c r="D641" i="34"/>
  <c r="D637" i="34"/>
  <c r="D629" i="34"/>
  <c r="D626" i="34"/>
  <c r="D623" i="34"/>
  <c r="D621" i="34"/>
  <c r="D619" i="34"/>
  <c r="D617" i="34"/>
  <c r="D642" i="34"/>
  <c r="D638" i="34"/>
  <c r="D636" i="34"/>
  <c r="D633" i="34"/>
  <c r="D632" i="34"/>
  <c r="D631" i="34"/>
  <c r="D630" i="34"/>
  <c r="D625" i="34"/>
  <c r="D624" i="34"/>
  <c r="M79" i="31"/>
  <c r="C369" i="36"/>
  <c r="H7" i="31"/>
  <c r="H12" i="36"/>
  <c r="H19" i="31"/>
  <c r="F76" i="36"/>
  <c r="H31" i="31"/>
  <c r="D140" i="36"/>
  <c r="H43" i="31"/>
  <c r="I172" i="36"/>
  <c r="H55" i="31"/>
  <c r="G236" i="36"/>
  <c r="H63" i="31"/>
  <c r="H268" i="36"/>
  <c r="H71" i="31"/>
  <c r="I300" i="36"/>
  <c r="H75" i="31"/>
  <c r="F332" i="36"/>
  <c r="M72" i="31"/>
  <c r="C337" i="36"/>
  <c r="O5" i="31"/>
  <c r="F19" i="36"/>
  <c r="O17" i="31"/>
  <c r="D83" i="36"/>
  <c r="O33" i="31"/>
  <c r="F147" i="36"/>
  <c r="O53" i="31"/>
  <c r="E243" i="36"/>
  <c r="AE12" i="31"/>
  <c r="F58" i="36"/>
  <c r="AE20" i="31"/>
  <c r="G90" i="36"/>
  <c r="AE32" i="31"/>
  <c r="E154" i="36"/>
  <c r="AE44" i="31"/>
  <c r="C218" i="36"/>
  <c r="CE89" i="24"/>
  <c r="I384" i="36"/>
  <c r="L612" i="24"/>
  <c r="O3" i="31"/>
  <c r="D19" i="36"/>
  <c r="O7" i="31"/>
  <c r="H19" i="36"/>
  <c r="O11" i="31"/>
  <c r="E51" i="36"/>
  <c r="O15" i="31"/>
  <c r="I51" i="36"/>
  <c r="O19" i="31"/>
  <c r="F83" i="36"/>
  <c r="O23" i="31"/>
  <c r="C115" i="36"/>
  <c r="O27" i="31"/>
  <c r="G115" i="36"/>
  <c r="O31" i="31"/>
  <c r="D147" i="36"/>
  <c r="O35" i="31"/>
  <c r="H147" i="36"/>
  <c r="O39" i="31"/>
  <c r="E179" i="36"/>
  <c r="O43" i="31"/>
  <c r="I179" i="36"/>
  <c r="O47" i="31"/>
  <c r="F211" i="36"/>
  <c r="O51" i="31"/>
  <c r="C243" i="36"/>
  <c r="O55" i="31"/>
  <c r="G243" i="36"/>
  <c r="O59" i="31"/>
  <c r="D275" i="36"/>
  <c r="O63" i="31"/>
  <c r="H275" i="36"/>
  <c r="O67" i="31"/>
  <c r="E307" i="36"/>
  <c r="O71" i="31"/>
  <c r="I307" i="36"/>
  <c r="O75" i="31"/>
  <c r="F339" i="36"/>
  <c r="O79" i="31"/>
  <c r="C371" i="36"/>
  <c r="L85" i="24"/>
  <c r="AR85" i="24"/>
  <c r="BH85" i="24"/>
  <c r="BX85" i="24"/>
  <c r="M75" i="31"/>
  <c r="F337" i="36"/>
  <c r="H3" i="31"/>
  <c r="D12" i="36"/>
  <c r="H15" i="31"/>
  <c r="I44" i="36"/>
  <c r="H27" i="31"/>
  <c r="G108" i="36"/>
  <c r="H39" i="31"/>
  <c r="E172" i="36"/>
  <c r="H51" i="31"/>
  <c r="C236" i="36"/>
  <c r="H79" i="31"/>
  <c r="C364" i="36"/>
  <c r="O13" i="31"/>
  <c r="G51" i="36"/>
  <c r="O25" i="31"/>
  <c r="E115" i="36"/>
  <c r="O37" i="31"/>
  <c r="C179" i="36"/>
  <c r="O45" i="31"/>
  <c r="D211" i="36"/>
  <c r="O61" i="31"/>
  <c r="F275" i="36"/>
  <c r="T85" i="24"/>
  <c r="AZ85" i="24"/>
  <c r="AE8" i="31"/>
  <c r="I26" i="36"/>
  <c r="AE36" i="31"/>
  <c r="I154" i="36"/>
  <c r="CE52" i="24"/>
  <c r="O4" i="31"/>
  <c r="E19" i="36"/>
  <c r="O8" i="31"/>
  <c r="I19" i="36"/>
  <c r="O12" i="31"/>
  <c r="F51" i="36"/>
  <c r="O16" i="31"/>
  <c r="C83" i="36"/>
  <c r="O20" i="31"/>
  <c r="G83" i="36"/>
  <c r="O24" i="31"/>
  <c r="D115" i="36"/>
  <c r="O28" i="31"/>
  <c r="H115" i="36"/>
  <c r="O32" i="31"/>
  <c r="E147" i="36"/>
  <c r="O36" i="31"/>
  <c r="I147" i="36"/>
  <c r="O40" i="31"/>
  <c r="F179" i="36"/>
  <c r="O44" i="31"/>
  <c r="C211" i="36"/>
  <c r="O48" i="31"/>
  <c r="G211" i="36"/>
  <c r="P85" i="24"/>
  <c r="AF85" i="24"/>
  <c r="AV85" i="24"/>
  <c r="BL85" i="24"/>
  <c r="CB85" i="24"/>
  <c r="BQ2" i="30"/>
  <c r="D383" i="24"/>
  <c r="C137" i="8" s="1"/>
  <c r="O52" i="31"/>
  <c r="D243" i="36"/>
  <c r="O56" i="31"/>
  <c r="H243" i="36"/>
  <c r="O60" i="31"/>
  <c r="E275" i="36"/>
  <c r="O64" i="31"/>
  <c r="I275" i="36"/>
  <c r="O68" i="31"/>
  <c r="F307" i="36"/>
  <c r="O72" i="31"/>
  <c r="C339" i="36"/>
  <c r="O76" i="31"/>
  <c r="G339" i="36"/>
  <c r="O80" i="31"/>
  <c r="D371" i="36"/>
  <c r="AE5" i="31"/>
  <c r="F26" i="36"/>
  <c r="AE9" i="31"/>
  <c r="C58" i="36"/>
  <c r="AE13" i="31"/>
  <c r="G58" i="36"/>
  <c r="AE17" i="31"/>
  <c r="D90" i="36"/>
  <c r="AE21" i="31"/>
  <c r="H90" i="36"/>
  <c r="AE25" i="31"/>
  <c r="E122" i="36"/>
  <c r="AE29" i="31"/>
  <c r="I122" i="36"/>
  <c r="AE33" i="31"/>
  <c r="F154" i="36"/>
  <c r="AE37" i="31"/>
  <c r="C186" i="36"/>
  <c r="AE41" i="31"/>
  <c r="G186" i="36"/>
  <c r="AE45" i="31"/>
  <c r="D218" i="36"/>
  <c r="G10" i="4"/>
  <c r="D341" i="24"/>
  <c r="C87" i="8" s="1"/>
  <c r="J612" i="24"/>
  <c r="C615" i="24"/>
  <c r="O65" i="31"/>
  <c r="C307" i="36"/>
  <c r="O69" i="31"/>
  <c r="G307" i="36"/>
  <c r="O73" i="31"/>
  <c r="D339" i="36"/>
  <c r="O77" i="31"/>
  <c r="H339" i="36"/>
  <c r="CD85" i="24"/>
  <c r="AE2" i="31"/>
  <c r="C26" i="36"/>
  <c r="AE6" i="31"/>
  <c r="G26" i="36"/>
  <c r="AE10" i="31"/>
  <c r="D58" i="36"/>
  <c r="AE14" i="31"/>
  <c r="H58" i="36"/>
  <c r="AE18" i="31"/>
  <c r="E90" i="36"/>
  <c r="AE22" i="31"/>
  <c r="I90" i="36"/>
  <c r="AE26" i="31"/>
  <c r="F122" i="36"/>
  <c r="AE30" i="31"/>
  <c r="C154" i="36"/>
  <c r="AE34" i="31"/>
  <c r="G154" i="36"/>
  <c r="AE38" i="31"/>
  <c r="D186" i="36"/>
  <c r="AE42" i="31"/>
  <c r="H186" i="36"/>
  <c r="AE46" i="31"/>
  <c r="E218" i="36"/>
  <c r="E19" i="4"/>
  <c r="G19" i="4"/>
  <c r="E220" i="24"/>
  <c r="E233" i="24"/>
  <c r="F32" i="6" s="1"/>
  <c r="G612" i="24"/>
  <c r="F64" i="15"/>
  <c r="O2" i="31"/>
  <c r="C19" i="36"/>
  <c r="O6" i="31"/>
  <c r="G19" i="36"/>
  <c r="O10" i="31"/>
  <c r="D51" i="36"/>
  <c r="O14" i="31"/>
  <c r="H51" i="36"/>
  <c r="O18" i="31"/>
  <c r="E83" i="36"/>
  <c r="O22" i="31"/>
  <c r="I83" i="36"/>
  <c r="O26" i="31"/>
  <c r="F115" i="36"/>
  <c r="O30" i="31"/>
  <c r="C147" i="36"/>
  <c r="O34" i="31"/>
  <c r="G147" i="36"/>
  <c r="O38" i="31"/>
  <c r="D179" i="36"/>
  <c r="O42" i="31"/>
  <c r="H179" i="36"/>
  <c r="O46" i="31"/>
  <c r="E211" i="36"/>
  <c r="O50" i="31"/>
  <c r="I211" i="36"/>
  <c r="O54" i="31"/>
  <c r="F243" i="36"/>
  <c r="O58" i="31"/>
  <c r="C275" i="36"/>
  <c r="O62" i="31"/>
  <c r="G275" i="36"/>
  <c r="O66" i="31"/>
  <c r="D307" i="36"/>
  <c r="O70" i="31"/>
  <c r="H307" i="36"/>
  <c r="O74" i="31"/>
  <c r="E339" i="36"/>
  <c r="O78" i="31"/>
  <c r="I339" i="36"/>
  <c r="AE3" i="31"/>
  <c r="D26" i="36"/>
  <c r="AE7" i="31"/>
  <c r="H26" i="36"/>
  <c r="AE11" i="31"/>
  <c r="E58" i="36"/>
  <c r="AE15" i="31"/>
  <c r="I58" i="36"/>
  <c r="AE19" i="31"/>
  <c r="F90" i="36"/>
  <c r="AE23" i="31"/>
  <c r="C122" i="36"/>
  <c r="AE27" i="31"/>
  <c r="G122" i="36"/>
  <c r="AE31" i="31"/>
  <c r="D154" i="36"/>
  <c r="AE35" i="31"/>
  <c r="H154" i="36"/>
  <c r="AE39" i="31"/>
  <c r="E186" i="36"/>
  <c r="AE43" i="31"/>
  <c r="I186" i="36"/>
  <c r="AE47" i="31"/>
  <c r="F218" i="36"/>
  <c r="E28" i="4"/>
  <c r="G28" i="4"/>
  <c r="D308" i="24"/>
  <c r="DF2" i="30"/>
  <c r="C170" i="8"/>
  <c r="D612" i="24"/>
  <c r="H15" i="15"/>
  <c r="I15" i="15" s="1"/>
  <c r="H16" i="15"/>
  <c r="I16" i="15" s="1"/>
  <c r="H18" i="15"/>
  <c r="I18" i="15" s="1"/>
  <c r="H19" i="15"/>
  <c r="I19" i="15" s="1"/>
  <c r="H20" i="15"/>
  <c r="I20" i="15" s="1"/>
  <c r="H21" i="15"/>
  <c r="I21" i="15" s="1"/>
  <c r="H22" i="15"/>
  <c r="I22" i="15" s="1"/>
  <c r="H23" i="15"/>
  <c r="I23" i="15" s="1"/>
  <c r="H25" i="15"/>
  <c r="I25" i="15" s="1"/>
  <c r="H27" i="15"/>
  <c r="I27" i="15" s="1"/>
  <c r="H29" i="15"/>
  <c r="I29" i="15" s="1"/>
  <c r="H34" i="15"/>
  <c r="I34" i="15" s="1"/>
  <c r="H38" i="15"/>
  <c r="I38" i="15" s="1"/>
  <c r="H39" i="15"/>
  <c r="I39" i="15" s="1"/>
  <c r="H42" i="15"/>
  <c r="I42" i="15" s="1"/>
  <c r="H44" i="15"/>
  <c r="I44" i="15" s="1"/>
  <c r="H47" i="15"/>
  <c r="I47" i="15" s="1"/>
  <c r="H52" i="15"/>
  <c r="I52" i="15" s="1"/>
  <c r="H53" i="15"/>
  <c r="I53" i="15" s="1"/>
  <c r="H54" i="15"/>
  <c r="I54" i="15" s="1"/>
  <c r="H55" i="15"/>
  <c r="I55" i="15" s="1"/>
  <c r="H56" i="15"/>
  <c r="I56" i="15" s="1"/>
  <c r="H57" i="15"/>
  <c r="I57" i="15" s="1"/>
  <c r="H58" i="15"/>
  <c r="I58" i="15" s="1"/>
  <c r="H59" i="15"/>
  <c r="I59" i="15" s="1"/>
  <c r="E623" i="34"/>
  <c r="C648" i="34"/>
  <c r="M716" i="34" s="1"/>
  <c r="C715" i="34"/>
  <c r="D350" i="24" l="1"/>
  <c r="C640" i="24"/>
  <c r="C84" i="15"/>
  <c r="G84" i="15" s="1"/>
  <c r="F16" i="6"/>
  <c r="F234" i="24"/>
  <c r="D149" i="36"/>
  <c r="C697" i="24"/>
  <c r="C44" i="15"/>
  <c r="G44" i="15" s="1"/>
  <c r="F85" i="36"/>
  <c r="C685" i="24"/>
  <c r="C32" i="15"/>
  <c r="G32" i="15" s="1"/>
  <c r="E53" i="36"/>
  <c r="C677" i="24"/>
  <c r="C24" i="15"/>
  <c r="C117" i="36"/>
  <c r="C689" i="24"/>
  <c r="C36" i="15"/>
  <c r="C167" i="8"/>
  <c r="D26" i="35"/>
  <c r="E414" i="24"/>
  <c r="E309" i="36"/>
  <c r="C80" i="15"/>
  <c r="G80" i="15" s="1"/>
  <c r="C621" i="24"/>
  <c r="H341" i="36"/>
  <c r="C90" i="15"/>
  <c r="G90" i="15" s="1"/>
  <c r="C646" i="24"/>
  <c r="F277" i="36"/>
  <c r="C74" i="15"/>
  <c r="G74" i="15" s="1"/>
  <c r="C617" i="24"/>
  <c r="D213" i="36"/>
  <c r="C711" i="24"/>
  <c r="C58" i="15"/>
  <c r="G58" i="15" s="1"/>
  <c r="I117" i="36"/>
  <c r="C695" i="24"/>
  <c r="C42" i="15"/>
  <c r="G42" i="15" s="1"/>
  <c r="G53" i="36"/>
  <c r="C679" i="24"/>
  <c r="C26" i="15"/>
  <c r="G245" i="36"/>
  <c r="C68" i="15"/>
  <c r="G68" i="15" s="1"/>
  <c r="C624" i="24"/>
  <c r="D373" i="36"/>
  <c r="C93" i="15"/>
  <c r="G93" i="15" s="1"/>
  <c r="C620" i="24"/>
  <c r="I277" i="36"/>
  <c r="C77" i="15"/>
  <c r="G77" i="15" s="1"/>
  <c r="C638" i="24"/>
  <c r="G213" i="36"/>
  <c r="C61" i="15"/>
  <c r="C631" i="24"/>
  <c r="E149" i="36"/>
  <c r="C45" i="15"/>
  <c r="C698" i="24"/>
  <c r="C85" i="36"/>
  <c r="C682" i="24"/>
  <c r="C29" i="15"/>
  <c r="G29" i="15" s="1"/>
  <c r="D21" i="36"/>
  <c r="C16" i="15"/>
  <c r="G16" i="15" s="1"/>
  <c r="C669" i="24"/>
  <c r="H309" i="36"/>
  <c r="C83" i="15"/>
  <c r="G83" i="15" s="1"/>
  <c r="C639" i="24"/>
  <c r="F245" i="36"/>
  <c r="C67" i="15"/>
  <c r="G67" i="15" s="1"/>
  <c r="C633" i="24"/>
  <c r="D181" i="36"/>
  <c r="C704" i="24"/>
  <c r="C51" i="15"/>
  <c r="E85" i="36"/>
  <c r="C684" i="24"/>
  <c r="C31" i="15"/>
  <c r="G31" i="15" s="1"/>
  <c r="E716" i="34"/>
  <c r="C50" i="8"/>
  <c r="D352" i="24"/>
  <c r="C103" i="8" s="1"/>
  <c r="F309" i="24"/>
  <c r="C373" i="36"/>
  <c r="C92" i="15"/>
  <c r="G92" i="15" s="1"/>
  <c r="C622" i="24"/>
  <c r="I53" i="36"/>
  <c r="C681" i="24"/>
  <c r="C28" i="15"/>
  <c r="F341" i="36"/>
  <c r="C88" i="15"/>
  <c r="G88" i="15" s="1"/>
  <c r="C644" i="24"/>
  <c r="D12" i="35"/>
  <c r="H149" i="36"/>
  <c r="C701" i="24"/>
  <c r="C48" i="15"/>
  <c r="G117" i="36"/>
  <c r="C693" i="24"/>
  <c r="C40" i="15"/>
  <c r="G40" i="15" s="1"/>
  <c r="C309" i="36"/>
  <c r="C78" i="15"/>
  <c r="G78" i="15" s="1"/>
  <c r="C619" i="24"/>
  <c r="H213" i="36"/>
  <c r="C62" i="15"/>
  <c r="C616" i="24"/>
  <c r="F149" i="36"/>
  <c r="C699" i="24"/>
  <c r="C46" i="15"/>
  <c r="D85" i="36"/>
  <c r="C683" i="24"/>
  <c r="C30" i="15"/>
  <c r="E181" i="36"/>
  <c r="C705" i="24"/>
  <c r="C52" i="15"/>
  <c r="G52" i="15" s="1"/>
  <c r="F309" i="36"/>
  <c r="C81" i="15"/>
  <c r="G81" i="15" s="1"/>
  <c r="C623" i="24"/>
  <c r="D245" i="36"/>
  <c r="C65" i="15"/>
  <c r="C630" i="24"/>
  <c r="I149" i="36"/>
  <c r="C49" i="15"/>
  <c r="C702" i="24"/>
  <c r="G85" i="36"/>
  <c r="C686" i="24"/>
  <c r="C33" i="15"/>
  <c r="E21" i="36"/>
  <c r="C670" i="24"/>
  <c r="C17" i="15"/>
  <c r="I85" i="36"/>
  <c r="C688" i="24"/>
  <c r="C35" i="15"/>
  <c r="C21" i="36"/>
  <c r="C668" i="24"/>
  <c r="CE85" i="24"/>
  <c r="C15" i="15"/>
  <c r="G15" i="15" s="1"/>
  <c r="E341" i="36"/>
  <c r="C87" i="15"/>
  <c r="G87" i="15" s="1"/>
  <c r="C643" i="24"/>
  <c r="C277" i="36"/>
  <c r="C71" i="15"/>
  <c r="G71" i="15" s="1"/>
  <c r="C618" i="24"/>
  <c r="H181" i="36"/>
  <c r="C708" i="24"/>
  <c r="C55" i="15"/>
  <c r="G55" i="15" s="1"/>
  <c r="F117" i="36"/>
  <c r="C692" i="24"/>
  <c r="C39" i="15"/>
  <c r="G39" i="15" s="1"/>
  <c r="G21" i="36"/>
  <c r="C672" i="24"/>
  <c r="C19" i="15"/>
  <c r="G19" i="15" s="1"/>
  <c r="H277" i="36"/>
  <c r="C76" i="15"/>
  <c r="G76" i="15" s="1"/>
  <c r="C637" i="24"/>
  <c r="D277" i="36"/>
  <c r="C72" i="15"/>
  <c r="G72" i="15" s="1"/>
  <c r="C636" i="24"/>
  <c r="E612" i="34"/>
  <c r="E699" i="34" s="1"/>
  <c r="C121" i="8"/>
  <c r="D384" i="24"/>
  <c r="G309" i="36"/>
  <c r="C82" i="15"/>
  <c r="G82" i="15" s="1"/>
  <c r="C626" i="24"/>
  <c r="E245" i="36"/>
  <c r="C66" i="15"/>
  <c r="G66" i="15" s="1"/>
  <c r="C632" i="24"/>
  <c r="C181" i="36"/>
  <c r="C703" i="24"/>
  <c r="C50" i="15"/>
  <c r="H85" i="36"/>
  <c r="C687" i="24"/>
  <c r="C34" i="15"/>
  <c r="G34" i="15" s="1"/>
  <c r="F21" i="36"/>
  <c r="C18" i="15"/>
  <c r="G18" i="15" s="1"/>
  <c r="C671" i="24"/>
  <c r="H21" i="36"/>
  <c r="C20" i="15"/>
  <c r="G20" i="15" s="1"/>
  <c r="C673" i="24"/>
  <c r="C341" i="36"/>
  <c r="C85" i="15"/>
  <c r="G85" i="15" s="1"/>
  <c r="C641" i="24"/>
  <c r="H245" i="36"/>
  <c r="C69" i="15"/>
  <c r="C614" i="24"/>
  <c r="F181" i="36"/>
  <c r="C53" i="15"/>
  <c r="G53" i="15" s="1"/>
  <c r="C706" i="24"/>
  <c r="D117" i="36"/>
  <c r="C690" i="24"/>
  <c r="C37" i="15"/>
  <c r="I21" i="36"/>
  <c r="C674" i="24"/>
  <c r="C21" i="15"/>
  <c r="G21" i="15" s="1"/>
  <c r="I341" i="36"/>
  <c r="C91" i="15"/>
  <c r="G91" i="15" s="1"/>
  <c r="C647" i="24"/>
  <c r="G277" i="36"/>
  <c r="C75" i="15"/>
  <c r="G75" i="15" s="1"/>
  <c r="C635" i="24"/>
  <c r="E213" i="36"/>
  <c r="C712" i="24"/>
  <c r="C59" i="15"/>
  <c r="G59" i="15" s="1"/>
  <c r="C149" i="36"/>
  <c r="C696" i="24"/>
  <c r="C43" i="15"/>
  <c r="D53" i="36"/>
  <c r="C676" i="24"/>
  <c r="C23" i="15"/>
  <c r="G23" i="15" s="1"/>
  <c r="E373" i="36"/>
  <c r="C94" i="15"/>
  <c r="G94" i="15" s="1"/>
  <c r="F213" i="36"/>
  <c r="C713" i="24"/>
  <c r="C60" i="15"/>
  <c r="C245" i="36"/>
  <c r="C64" i="15"/>
  <c r="G64" i="15" s="1"/>
  <c r="C628" i="24"/>
  <c r="I181" i="36"/>
  <c r="C709" i="24"/>
  <c r="C56" i="15"/>
  <c r="G56" i="15" s="1"/>
  <c r="I378" i="36"/>
  <c r="K612" i="24"/>
  <c r="D715" i="34"/>
  <c r="E380" i="24"/>
  <c r="D341" i="36"/>
  <c r="C86" i="15"/>
  <c r="G86" i="15" s="1"/>
  <c r="C642" i="24"/>
  <c r="I245" i="36"/>
  <c r="C70" i="15"/>
  <c r="G70" i="15" s="1"/>
  <c r="C629" i="24"/>
  <c r="G181" i="36"/>
  <c r="C707" i="24"/>
  <c r="C54" i="15"/>
  <c r="G54" i="15" s="1"/>
  <c r="E117" i="36"/>
  <c r="C691" i="24"/>
  <c r="C38" i="15"/>
  <c r="G38" i="15" s="1"/>
  <c r="C53" i="36"/>
  <c r="C22" i="15"/>
  <c r="G22" i="15" s="1"/>
  <c r="C675" i="24"/>
  <c r="G341" i="36"/>
  <c r="C89" i="15"/>
  <c r="G89" i="15" s="1"/>
  <c r="C645" i="24"/>
  <c r="E277" i="36"/>
  <c r="C73" i="15"/>
  <c r="G73" i="15" s="1"/>
  <c r="C634" i="24"/>
  <c r="C213" i="36"/>
  <c r="C710" i="24"/>
  <c r="C57" i="15"/>
  <c r="G57" i="15" s="1"/>
  <c r="H117" i="36"/>
  <c r="C694" i="24"/>
  <c r="C41" i="15"/>
  <c r="F53" i="36"/>
  <c r="C678" i="24"/>
  <c r="C25" i="15"/>
  <c r="G25" i="15" s="1"/>
  <c r="D309" i="36"/>
  <c r="C627" i="24"/>
  <c r="C79" i="15"/>
  <c r="G79" i="15" s="1"/>
  <c r="I213" i="36"/>
  <c r="C63" i="15"/>
  <c r="C625" i="24"/>
  <c r="G149" i="36"/>
  <c r="C700" i="24"/>
  <c r="C47" i="15"/>
  <c r="G47" i="15" s="1"/>
  <c r="H53" i="36"/>
  <c r="C680" i="24"/>
  <c r="C27" i="15"/>
  <c r="G27" i="15" s="1"/>
  <c r="C715" i="24" l="1"/>
  <c r="C648" i="24"/>
  <c r="M716" i="24" s="1"/>
  <c r="D615" i="24"/>
  <c r="C138" i="8"/>
  <c r="D417" i="24"/>
  <c r="I373" i="36"/>
  <c r="C716" i="24"/>
  <c r="G65" i="15"/>
  <c r="H65" i="15"/>
  <c r="I65" i="15" s="1"/>
  <c r="G30" i="15"/>
  <c r="H30" i="15"/>
  <c r="I30" i="15" s="1"/>
  <c r="G28" i="15"/>
  <c r="H28" i="15" s="1"/>
  <c r="E625" i="34"/>
  <c r="E633" i="34"/>
  <c r="E627" i="34"/>
  <c r="E676" i="34"/>
  <c r="E637" i="34"/>
  <c r="E641" i="34"/>
  <c r="E671" i="34"/>
  <c r="E698" i="34"/>
  <c r="E647" i="34"/>
  <c r="E682" i="34"/>
  <c r="E692" i="34"/>
  <c r="E673" i="34"/>
  <c r="E697" i="34"/>
  <c r="E713" i="34"/>
  <c r="E693" i="34"/>
  <c r="E709" i="34"/>
  <c r="E703" i="34"/>
  <c r="G41" i="15"/>
  <c r="H41" i="15"/>
  <c r="I41" i="15" s="1"/>
  <c r="G69" i="15"/>
  <c r="H69" i="15" s="1"/>
  <c r="G33" i="15"/>
  <c r="H33" i="15" s="1"/>
  <c r="I33" i="15" s="1"/>
  <c r="G49" i="15"/>
  <c r="H49" i="15" s="1"/>
  <c r="E628" i="34"/>
  <c r="E630" i="34"/>
  <c r="E636" i="34"/>
  <c r="E635" i="34"/>
  <c r="E679" i="34"/>
  <c r="E638" i="34"/>
  <c r="E642" i="34"/>
  <c r="E675" i="34"/>
  <c r="E706" i="34"/>
  <c r="E670" i="34"/>
  <c r="E683" i="34"/>
  <c r="E700" i="34"/>
  <c r="E677" i="34"/>
  <c r="E704" i="34"/>
  <c r="E680" i="34"/>
  <c r="E694" i="34"/>
  <c r="E710" i="34"/>
  <c r="E707" i="34"/>
  <c r="G26" i="15"/>
  <c r="H26" i="15"/>
  <c r="I26" i="15" s="1"/>
  <c r="G24" i="15"/>
  <c r="H24" i="15" s="1"/>
  <c r="I24" i="15" s="1"/>
  <c r="G63" i="15"/>
  <c r="H63" i="15" s="1"/>
  <c r="G37" i="15"/>
  <c r="H37" i="15" s="1"/>
  <c r="I37" i="15" s="1"/>
  <c r="G17" i="15"/>
  <c r="H17" i="15" s="1"/>
  <c r="I17" i="15" s="1"/>
  <c r="E634" i="34"/>
  <c r="E631" i="34"/>
  <c r="E626" i="34"/>
  <c r="E668" i="34"/>
  <c r="E686" i="34"/>
  <c r="E639" i="34"/>
  <c r="E643" i="34"/>
  <c r="E681" i="34"/>
  <c r="E645" i="34"/>
  <c r="E674" i="34"/>
  <c r="E690" i="34"/>
  <c r="E708" i="34"/>
  <c r="E685" i="34"/>
  <c r="E705" i="34"/>
  <c r="E684" i="34"/>
  <c r="E701" i="34"/>
  <c r="E695" i="34"/>
  <c r="E711" i="34"/>
  <c r="G36" i="15"/>
  <c r="H36" i="15" s="1"/>
  <c r="G43" i="15"/>
  <c r="H43" i="15" s="1"/>
  <c r="G50" i="15"/>
  <c r="H50" i="15"/>
  <c r="I50" i="15" s="1"/>
  <c r="G35" i="15"/>
  <c r="H35" i="15"/>
  <c r="I35" i="15" s="1"/>
  <c r="G46" i="15"/>
  <c r="H46" i="15" s="1"/>
  <c r="I46" i="15" s="1"/>
  <c r="G48" i="15"/>
  <c r="H48" i="15" s="1"/>
  <c r="I48" i="15" s="1"/>
  <c r="E624" i="34"/>
  <c r="E632" i="34"/>
  <c r="E629" i="34"/>
  <c r="E672" i="34"/>
  <c r="E687" i="34"/>
  <c r="E640" i="34"/>
  <c r="E644" i="34"/>
  <c r="E689" i="34"/>
  <c r="E646" i="34"/>
  <c r="E678" i="34"/>
  <c r="E691" i="34"/>
  <c r="E669" i="34"/>
  <c r="E696" i="34"/>
  <c r="E712" i="34"/>
  <c r="E688" i="34"/>
  <c r="E702" i="34"/>
  <c r="G51" i="15"/>
  <c r="H51" i="15"/>
  <c r="I51" i="15" s="1"/>
  <c r="G45" i="15"/>
  <c r="H45" i="15" s="1"/>
  <c r="I45" i="15" s="1"/>
  <c r="D712" i="24" l="1"/>
  <c r="D708" i="24"/>
  <c r="D704" i="24"/>
  <c r="D700" i="24"/>
  <c r="D696" i="24"/>
  <c r="D692" i="24"/>
  <c r="D688" i="24"/>
  <c r="D684" i="24"/>
  <c r="D680" i="24"/>
  <c r="D713" i="24"/>
  <c r="D709" i="24"/>
  <c r="D705" i="24"/>
  <c r="D701" i="24"/>
  <c r="D697" i="24"/>
  <c r="D693" i="24"/>
  <c r="D689" i="24"/>
  <c r="D685" i="24"/>
  <c r="D681" i="24"/>
  <c r="D710" i="24"/>
  <c r="D706" i="24"/>
  <c r="D702" i="24"/>
  <c r="D698" i="24"/>
  <c r="D694" i="24"/>
  <c r="D690" i="24"/>
  <c r="D686" i="24"/>
  <c r="D682" i="24"/>
  <c r="D678" i="24"/>
  <c r="D707" i="24"/>
  <c r="D691" i="24"/>
  <c r="D673" i="24"/>
  <c r="D669" i="24"/>
  <c r="D627" i="24"/>
  <c r="D711" i="24"/>
  <c r="D695" i="24"/>
  <c r="D679" i="24"/>
  <c r="D674" i="24"/>
  <c r="D670" i="24"/>
  <c r="D647" i="24"/>
  <c r="D646" i="24"/>
  <c r="D645" i="24"/>
  <c r="D629" i="24"/>
  <c r="D626" i="24"/>
  <c r="D623" i="24"/>
  <c r="D621" i="24"/>
  <c r="D619" i="24"/>
  <c r="D617" i="24"/>
  <c r="D716" i="24"/>
  <c r="D699" i="24"/>
  <c r="D683" i="24"/>
  <c r="D675" i="24"/>
  <c r="D671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5" i="24"/>
  <c r="D624" i="24"/>
  <c r="D620" i="24"/>
  <c r="D677" i="24"/>
  <c r="D668" i="24"/>
  <c r="D628" i="24"/>
  <c r="D618" i="24"/>
  <c r="D687" i="24"/>
  <c r="D672" i="24"/>
  <c r="D616" i="24"/>
  <c r="D703" i="24"/>
  <c r="D676" i="24"/>
  <c r="D622" i="24"/>
  <c r="E715" i="34"/>
  <c r="F624" i="34"/>
  <c r="C168" i="8"/>
  <c r="D421" i="24"/>
  <c r="C172" i="8" l="1"/>
  <c r="D424" i="24"/>
  <c r="C177" i="8" s="1"/>
  <c r="D715" i="24"/>
  <c r="E623" i="24"/>
  <c r="E612" i="24"/>
  <c r="F712" i="34"/>
  <c r="F708" i="34"/>
  <c r="F704" i="34"/>
  <c r="F700" i="34"/>
  <c r="F696" i="34"/>
  <c r="F692" i="34"/>
  <c r="F689" i="34"/>
  <c r="F685" i="34"/>
  <c r="F681" i="34"/>
  <c r="F710" i="34"/>
  <c r="F702" i="34"/>
  <c r="F694" i="34"/>
  <c r="F691" i="34"/>
  <c r="F690" i="34"/>
  <c r="F684" i="34"/>
  <c r="F683" i="34"/>
  <c r="F682" i="34"/>
  <c r="F678" i="34"/>
  <c r="F674" i="34"/>
  <c r="F670" i="34"/>
  <c r="F647" i="34"/>
  <c r="F646" i="34"/>
  <c r="F645" i="34"/>
  <c r="F706" i="34"/>
  <c r="F698" i="34"/>
  <c r="F675" i="34"/>
  <c r="F671" i="34"/>
  <c r="F644" i="34"/>
  <c r="F643" i="34"/>
  <c r="F642" i="34"/>
  <c r="F641" i="34"/>
  <c r="F640" i="34"/>
  <c r="F639" i="34"/>
  <c r="F638" i="34"/>
  <c r="F637" i="34"/>
  <c r="F636" i="34"/>
  <c r="F711" i="34"/>
  <c r="F709" i="34"/>
  <c r="F703" i="34"/>
  <c r="F701" i="34"/>
  <c r="F695" i="34"/>
  <c r="F693" i="34"/>
  <c r="F688" i="34"/>
  <c r="F687" i="34"/>
  <c r="F686" i="34"/>
  <c r="F680" i="34"/>
  <c r="F679" i="34"/>
  <c r="F676" i="34"/>
  <c r="F672" i="34"/>
  <c r="F668" i="34"/>
  <c r="F716" i="34"/>
  <c r="F713" i="34"/>
  <c r="F707" i="34"/>
  <c r="F705" i="34"/>
  <c r="F699" i="34"/>
  <c r="F697" i="34"/>
  <c r="F677" i="34"/>
  <c r="F673" i="34"/>
  <c r="F669" i="34"/>
  <c r="F629" i="34"/>
  <c r="F626" i="34"/>
  <c r="F633" i="34"/>
  <c r="F632" i="34"/>
  <c r="F631" i="34"/>
  <c r="F630" i="34"/>
  <c r="F625" i="34"/>
  <c r="F634" i="34"/>
  <c r="F628" i="34"/>
  <c r="F635" i="34"/>
  <c r="F627" i="34"/>
  <c r="E713" i="24" l="1"/>
  <c r="E709" i="24"/>
  <c r="E705" i="24"/>
  <c r="E701" i="24"/>
  <c r="E697" i="24"/>
  <c r="E693" i="24"/>
  <c r="E689" i="24"/>
  <c r="E685" i="24"/>
  <c r="E681" i="24"/>
  <c r="E677" i="24"/>
  <c r="E710" i="24"/>
  <c r="E706" i="24"/>
  <c r="E702" i="24"/>
  <c r="E698" i="24"/>
  <c r="E694" i="24"/>
  <c r="E690" i="24"/>
  <c r="E686" i="24"/>
  <c r="E682" i="24"/>
  <c r="E678" i="24"/>
  <c r="E716" i="24"/>
  <c r="E711" i="24"/>
  <c r="E707" i="24"/>
  <c r="E703" i="24"/>
  <c r="E699" i="24"/>
  <c r="E695" i="24"/>
  <c r="E691" i="24"/>
  <c r="E687" i="24"/>
  <c r="E683" i="24"/>
  <c r="E679" i="24"/>
  <c r="E704" i="24"/>
  <c r="E688" i="24"/>
  <c r="E674" i="24"/>
  <c r="E670" i="24"/>
  <c r="E647" i="24"/>
  <c r="E646" i="24"/>
  <c r="E645" i="24"/>
  <c r="E629" i="24"/>
  <c r="E626" i="24"/>
  <c r="E708" i="24"/>
  <c r="E692" i="24"/>
  <c r="E675" i="24"/>
  <c r="E67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5" i="24"/>
  <c r="E624" i="24"/>
  <c r="F624" i="24" s="1"/>
  <c r="E712" i="24"/>
  <c r="E696" i="24"/>
  <c r="E680" i="24"/>
  <c r="E676" i="24"/>
  <c r="E672" i="24"/>
  <c r="E668" i="24"/>
  <c r="E628" i="24"/>
  <c r="E684" i="24"/>
  <c r="E700" i="24"/>
  <c r="E669" i="24"/>
  <c r="E627" i="24"/>
  <c r="E673" i="24"/>
  <c r="F715" i="34"/>
  <c r="G625" i="34"/>
  <c r="F698" i="24" l="1"/>
  <c r="F682" i="24"/>
  <c r="F707" i="24"/>
  <c r="F691" i="24"/>
  <c r="F712" i="24"/>
  <c r="F680" i="24"/>
  <c r="F672" i="24"/>
  <c r="F710" i="24"/>
  <c r="F694" i="24"/>
  <c r="F678" i="24"/>
  <c r="F703" i="24"/>
  <c r="F687" i="24"/>
  <c r="F708" i="24"/>
  <c r="F692" i="24"/>
  <c r="F701" i="24"/>
  <c r="F644" i="24"/>
  <c r="F640" i="24"/>
  <c r="F636" i="24"/>
  <c r="F632" i="24"/>
  <c r="F705" i="24"/>
  <c r="F668" i="24"/>
  <c r="F677" i="24"/>
  <c r="F713" i="24"/>
  <c r="F697" i="24"/>
  <c r="F629" i="24"/>
  <c r="F706" i="24"/>
  <c r="F690" i="24"/>
  <c r="F716" i="24"/>
  <c r="F699" i="24"/>
  <c r="F683" i="24"/>
  <c r="F704" i="24"/>
  <c r="F688" i="24"/>
  <c r="F685" i="24"/>
  <c r="F643" i="24"/>
  <c r="F639" i="24"/>
  <c r="F635" i="24"/>
  <c r="F631" i="24"/>
  <c r="F689" i="24"/>
  <c r="F628" i="24"/>
  <c r="F673" i="24"/>
  <c r="F674" i="24"/>
  <c r="F670" i="24"/>
  <c r="F626" i="24"/>
  <c r="F702" i="24"/>
  <c r="F686" i="24"/>
  <c r="F711" i="24"/>
  <c r="F695" i="24"/>
  <c r="F679" i="24"/>
  <c r="F700" i="24"/>
  <c r="F684" i="24"/>
  <c r="F675" i="24"/>
  <c r="F642" i="24"/>
  <c r="F638" i="24"/>
  <c r="F634" i="24"/>
  <c r="F630" i="24"/>
  <c r="F676" i="24"/>
  <c r="F709" i="24"/>
  <c r="F669" i="24"/>
  <c r="F646" i="24"/>
  <c r="F647" i="24"/>
  <c r="F696" i="24"/>
  <c r="F671" i="24"/>
  <c r="F641" i="24"/>
  <c r="F637" i="24"/>
  <c r="F633" i="24"/>
  <c r="F625" i="24"/>
  <c r="G625" i="24" s="1"/>
  <c r="F693" i="24"/>
  <c r="F627" i="24"/>
  <c r="F681" i="24"/>
  <c r="F645" i="24"/>
  <c r="G716" i="34"/>
  <c r="G713" i="34"/>
  <c r="G709" i="34"/>
  <c r="G705" i="34"/>
  <c r="G701" i="34"/>
  <c r="G697" i="34"/>
  <c r="G693" i="34"/>
  <c r="G708" i="34"/>
  <c r="G707" i="34"/>
  <c r="G706" i="34"/>
  <c r="G700" i="34"/>
  <c r="G699" i="34"/>
  <c r="G698" i="34"/>
  <c r="G692" i="34"/>
  <c r="G690" i="34"/>
  <c r="G686" i="34"/>
  <c r="G682" i="34"/>
  <c r="G675" i="34"/>
  <c r="G671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711" i="34"/>
  <c r="G703" i="34"/>
  <c r="G695" i="34"/>
  <c r="G689" i="34"/>
  <c r="G688" i="34"/>
  <c r="G687" i="34"/>
  <c r="G681" i="34"/>
  <c r="G680" i="34"/>
  <c r="G679" i="34"/>
  <c r="G676" i="34"/>
  <c r="G672" i="34"/>
  <c r="G668" i="34"/>
  <c r="G677" i="34"/>
  <c r="G673" i="34"/>
  <c r="G669" i="34"/>
  <c r="G712" i="34"/>
  <c r="G710" i="34"/>
  <c r="G704" i="34"/>
  <c r="G702" i="34"/>
  <c r="G696" i="34"/>
  <c r="G694" i="34"/>
  <c r="G691" i="34"/>
  <c r="G685" i="34"/>
  <c r="G684" i="34"/>
  <c r="G683" i="34"/>
  <c r="G678" i="34"/>
  <c r="G674" i="34"/>
  <c r="G670" i="34"/>
  <c r="G646" i="34"/>
  <c r="G632" i="34"/>
  <c r="G631" i="34"/>
  <c r="G630" i="34"/>
  <c r="G628" i="34"/>
  <c r="G647" i="34"/>
  <c r="G645" i="34"/>
  <c r="G627" i="34"/>
  <c r="G629" i="34"/>
  <c r="G626" i="34"/>
  <c r="E715" i="24"/>
  <c r="F715" i="24" l="1"/>
  <c r="G703" i="24"/>
  <c r="M703" i="24" s="1"/>
  <c r="C183" i="36" s="1"/>
  <c r="G687" i="24"/>
  <c r="M687" i="24" s="1"/>
  <c r="H87" i="36" s="1"/>
  <c r="G708" i="24"/>
  <c r="M708" i="24" s="1"/>
  <c r="H183" i="36" s="1"/>
  <c r="G692" i="24"/>
  <c r="M692" i="24" s="1"/>
  <c r="G713" i="24"/>
  <c r="M713" i="24" s="1"/>
  <c r="F215" i="36" s="1"/>
  <c r="G697" i="24"/>
  <c r="M697" i="24" s="1"/>
  <c r="D151" i="36" s="1"/>
  <c r="G681" i="24"/>
  <c r="M681" i="24" s="1"/>
  <c r="I55" i="36" s="1"/>
  <c r="G676" i="24"/>
  <c r="M676" i="24" s="1"/>
  <c r="D55" i="36" s="1"/>
  <c r="G702" i="24"/>
  <c r="M702" i="24" s="1"/>
  <c r="I151" i="36" s="1"/>
  <c r="G627" i="24"/>
  <c r="G670" i="24"/>
  <c r="M670" i="24" s="1"/>
  <c r="E23" i="36" s="1"/>
  <c r="G629" i="24"/>
  <c r="I629" i="24" s="1"/>
  <c r="I708" i="24" s="1"/>
  <c r="G694" i="24"/>
  <c r="M694" i="24" s="1"/>
  <c r="H119" i="36" s="1"/>
  <c r="G640" i="24"/>
  <c r="G632" i="24"/>
  <c r="G641" i="24"/>
  <c r="G633" i="24"/>
  <c r="G707" i="24"/>
  <c r="M707" i="24" s="1"/>
  <c r="G183" i="36" s="1"/>
  <c r="G683" i="24"/>
  <c r="M683" i="24" s="1"/>
  <c r="D87" i="36" s="1"/>
  <c r="G700" i="24"/>
  <c r="M700" i="24" s="1"/>
  <c r="G151" i="36" s="1"/>
  <c r="G680" i="24"/>
  <c r="M680" i="24" s="1"/>
  <c r="H55" i="36" s="1"/>
  <c r="G693" i="24"/>
  <c r="M693" i="24" s="1"/>
  <c r="G119" i="36" s="1"/>
  <c r="G698" i="24"/>
  <c r="M698" i="24" s="1"/>
  <c r="E151" i="36" s="1"/>
  <c r="G628" i="24"/>
  <c r="G706" i="24"/>
  <c r="M706" i="24" s="1"/>
  <c r="F183" i="36" s="1"/>
  <c r="G646" i="24"/>
  <c r="G671" i="24"/>
  <c r="M671" i="24" s="1"/>
  <c r="F23" i="36" s="1"/>
  <c r="G638" i="24"/>
  <c r="G710" i="24"/>
  <c r="M710" i="24" s="1"/>
  <c r="C215" i="36" s="1"/>
  <c r="G635" i="24"/>
  <c r="G699" i="24"/>
  <c r="M699" i="24" s="1"/>
  <c r="F151" i="36" s="1"/>
  <c r="G679" i="24"/>
  <c r="M679" i="24" s="1"/>
  <c r="G696" i="24"/>
  <c r="M696" i="24" s="1"/>
  <c r="C151" i="36" s="1"/>
  <c r="G709" i="24"/>
  <c r="M709" i="24" s="1"/>
  <c r="I183" i="36" s="1"/>
  <c r="G689" i="24"/>
  <c r="M689" i="24" s="1"/>
  <c r="C119" i="36" s="1"/>
  <c r="G682" i="24"/>
  <c r="M682" i="24" s="1"/>
  <c r="C87" i="36" s="1"/>
  <c r="G686" i="24"/>
  <c r="M686" i="24" s="1"/>
  <c r="G87" i="36" s="1"/>
  <c r="G690" i="24"/>
  <c r="M690" i="24" s="1"/>
  <c r="D119" i="36" s="1"/>
  <c r="G645" i="24"/>
  <c r="L647" i="24" s="1"/>
  <c r="L704" i="24" s="1"/>
  <c r="G675" i="24"/>
  <c r="M675" i="24" s="1"/>
  <c r="C55" i="36" s="1"/>
  <c r="G636" i="24"/>
  <c r="G643" i="24"/>
  <c r="G631" i="24"/>
  <c r="K644" i="24" s="1"/>
  <c r="K704" i="24" s="1"/>
  <c r="G716" i="24"/>
  <c r="G695" i="24"/>
  <c r="M695" i="24" s="1"/>
  <c r="I119" i="36" s="1"/>
  <c r="G712" i="24"/>
  <c r="M712" i="24" s="1"/>
  <c r="E215" i="36" s="1"/>
  <c r="G688" i="24"/>
  <c r="M688" i="24" s="1"/>
  <c r="I87" i="36" s="1"/>
  <c r="G685" i="24"/>
  <c r="M685" i="24" s="1"/>
  <c r="F87" i="36" s="1"/>
  <c r="G673" i="24"/>
  <c r="M673" i="24" s="1"/>
  <c r="H23" i="36" s="1"/>
  <c r="G626" i="24"/>
  <c r="H628" i="24" s="1"/>
  <c r="G634" i="24"/>
  <c r="G711" i="24"/>
  <c r="M711" i="24" s="1"/>
  <c r="D215" i="36" s="1"/>
  <c r="G684" i="24"/>
  <c r="M684" i="24" s="1"/>
  <c r="E87" i="36" s="1"/>
  <c r="G677" i="24"/>
  <c r="M677" i="24" s="1"/>
  <c r="G669" i="24"/>
  <c r="M669" i="24" s="1"/>
  <c r="D23" i="36" s="1"/>
  <c r="G678" i="24"/>
  <c r="M678" i="24" s="1"/>
  <c r="G630" i="24"/>
  <c r="J630" i="24" s="1"/>
  <c r="J641" i="24" s="1"/>
  <c r="G691" i="24"/>
  <c r="M691" i="24" s="1"/>
  <c r="G705" i="24"/>
  <c r="M705" i="24" s="1"/>
  <c r="E183" i="36" s="1"/>
  <c r="G672" i="24"/>
  <c r="M672" i="24" s="1"/>
  <c r="G23" i="36" s="1"/>
  <c r="G674" i="24"/>
  <c r="M674" i="24" s="1"/>
  <c r="I23" i="36" s="1"/>
  <c r="G644" i="24"/>
  <c r="G639" i="24"/>
  <c r="G704" i="24"/>
  <c r="M704" i="24" s="1"/>
  <c r="D183" i="36" s="1"/>
  <c r="G701" i="24"/>
  <c r="M701" i="24" s="1"/>
  <c r="H151" i="36" s="1"/>
  <c r="G668" i="24"/>
  <c r="M668" i="24" s="1"/>
  <c r="M715" i="24" s="1"/>
  <c r="G647" i="24"/>
  <c r="G642" i="24"/>
  <c r="G637" i="24"/>
  <c r="H628" i="34"/>
  <c r="G715" i="34"/>
  <c r="I700" i="24" l="1"/>
  <c r="I684" i="24"/>
  <c r="I640" i="24"/>
  <c r="I712" i="24"/>
  <c r="I668" i="24"/>
  <c r="I694" i="24"/>
  <c r="I691" i="24"/>
  <c r="I646" i="24"/>
  <c r="I673" i="24"/>
  <c r="I705" i="24"/>
  <c r="I711" i="24"/>
  <c r="I670" i="24"/>
  <c r="I679" i="24"/>
  <c r="I704" i="24"/>
  <c r="I671" i="24"/>
  <c r="I686" i="24"/>
  <c r="I698" i="24"/>
  <c r="C23" i="36"/>
  <c r="I631" i="24"/>
  <c r="J680" i="24"/>
  <c r="J632" i="24"/>
  <c r="I685" i="24"/>
  <c r="I675" i="24"/>
  <c r="I676" i="24"/>
  <c r="I690" i="24"/>
  <c r="I645" i="24"/>
  <c r="I706" i="24"/>
  <c r="I644" i="24"/>
  <c r="I677" i="24"/>
  <c r="I641" i="24"/>
  <c r="I630" i="24"/>
  <c r="I643" i="24"/>
  <c r="I669" i="24"/>
  <c r="I716" i="24"/>
  <c r="I680" i="24"/>
  <c r="I688" i="24"/>
  <c r="J678" i="24"/>
  <c r="J647" i="24"/>
  <c r="E55" i="36"/>
  <c r="E119" i="36"/>
  <c r="H681" i="24"/>
  <c r="H641" i="24"/>
  <c r="H693" i="24"/>
  <c r="H644" i="24"/>
  <c r="H678" i="24"/>
  <c r="H711" i="24"/>
  <c r="H673" i="24"/>
  <c r="H690" i="24"/>
  <c r="H677" i="24"/>
  <c r="H683" i="24"/>
  <c r="H646" i="24"/>
  <c r="H700" i="24"/>
  <c r="H702" i="24"/>
  <c r="H637" i="24"/>
  <c r="H640" i="24"/>
  <c r="H674" i="24"/>
  <c r="H669" i="24"/>
  <c r="H708" i="24"/>
  <c r="H716" i="24"/>
  <c r="H691" i="24"/>
  <c r="H679" i="24"/>
  <c r="H668" i="24"/>
  <c r="H631" i="24"/>
  <c r="H630" i="24"/>
  <c r="H672" i="24"/>
  <c r="H634" i="24"/>
  <c r="H692" i="24"/>
  <c r="H670" i="24"/>
  <c r="H704" i="24"/>
  <c r="H699" i="24"/>
  <c r="H696" i="24"/>
  <c r="H684" i="24"/>
  <c r="H712" i="24"/>
  <c r="H676" i="24"/>
  <c r="L710" i="24"/>
  <c r="L678" i="24"/>
  <c r="L673" i="24"/>
  <c r="L675" i="24"/>
  <c r="L668" i="24"/>
  <c r="L715" i="24" s="1"/>
  <c r="K675" i="24"/>
  <c r="K690" i="24"/>
  <c r="K669" i="24"/>
  <c r="K678" i="24"/>
  <c r="K683" i="24"/>
  <c r="L674" i="24"/>
  <c r="L698" i="24"/>
  <c r="L682" i="24"/>
  <c r="L687" i="24"/>
  <c r="L695" i="24"/>
  <c r="L713" i="24"/>
  <c r="K701" i="24"/>
  <c r="K689" i="24"/>
  <c r="K702" i="24"/>
  <c r="K672" i="24"/>
  <c r="K673" i="24"/>
  <c r="K699" i="24"/>
  <c r="J713" i="24"/>
  <c r="J638" i="24"/>
  <c r="J700" i="24"/>
  <c r="J694" i="24"/>
  <c r="L697" i="24"/>
  <c r="L676" i="24"/>
  <c r="L684" i="24"/>
  <c r="L709" i="24"/>
  <c r="L677" i="24"/>
  <c r="L699" i="24"/>
  <c r="K706" i="24"/>
  <c r="K684" i="24"/>
  <c r="K679" i="24"/>
  <c r="K700" i="24"/>
  <c r="K692" i="24"/>
  <c r="K693" i="24"/>
  <c r="J690" i="24"/>
  <c r="J636" i="24"/>
  <c r="J702" i="24"/>
  <c r="J637" i="24"/>
  <c r="K686" i="24"/>
  <c r="L690" i="24"/>
  <c r="L711" i="24"/>
  <c r="L708" i="24"/>
  <c r="L692" i="24"/>
  <c r="L701" i="24"/>
  <c r="L686" i="24"/>
  <c r="K708" i="24"/>
  <c r="K671" i="24"/>
  <c r="K703" i="24"/>
  <c r="K687" i="24"/>
  <c r="K712" i="24"/>
  <c r="K709" i="24"/>
  <c r="J674" i="24"/>
  <c r="J689" i="24"/>
  <c r="J645" i="24"/>
  <c r="J703" i="24"/>
  <c r="J676" i="24"/>
  <c r="J633" i="24"/>
  <c r="J707" i="24"/>
  <c r="J644" i="24"/>
  <c r="J697" i="24"/>
  <c r="J682" i="24"/>
  <c r="J705" i="24"/>
  <c r="J672" i="24"/>
  <c r="J716" i="24"/>
  <c r="J668" i="24"/>
  <c r="J675" i="24"/>
  <c r="J698" i="24"/>
  <c r="J631" i="24"/>
  <c r="J691" i="24"/>
  <c r="J669" i="24"/>
  <c r="J710" i="24"/>
  <c r="J687" i="24"/>
  <c r="J671" i="24"/>
  <c r="J693" i="24"/>
  <c r="J683" i="24"/>
  <c r="J639" i="24"/>
  <c r="J701" i="24"/>
  <c r="J699" i="24"/>
  <c r="J643" i="24"/>
  <c r="J681" i="24"/>
  <c r="J712" i="24"/>
  <c r="J670" i="24"/>
  <c r="J635" i="24"/>
  <c r="J695" i="24"/>
  <c r="J673" i="24"/>
  <c r="J684" i="24"/>
  <c r="J709" i="24"/>
  <c r="J642" i="24"/>
  <c r="J704" i="24"/>
  <c r="J685" i="24"/>
  <c r="J696" i="24"/>
  <c r="J677" i="24"/>
  <c r="J686" i="24"/>
  <c r="J692" i="24"/>
  <c r="G55" i="36"/>
  <c r="I709" i="24"/>
  <c r="I682" i="24"/>
  <c r="I647" i="24"/>
  <c r="I636" i="24"/>
  <c r="I713" i="24"/>
  <c r="I703" i="24"/>
  <c r="I642" i="24"/>
  <c r="I701" i="24"/>
  <c r="I695" i="24"/>
  <c r="I639" i="24"/>
  <c r="I697" i="24"/>
  <c r="I687" i="24"/>
  <c r="I638" i="24"/>
  <c r="I672" i="24"/>
  <c r="I678" i="24"/>
  <c r="I699" i="24"/>
  <c r="I635" i="24"/>
  <c r="I692" i="24"/>
  <c r="I710" i="24"/>
  <c r="I674" i="24"/>
  <c r="I702" i="24"/>
  <c r="I693" i="24"/>
  <c r="I707" i="24"/>
  <c r="I696" i="24"/>
  <c r="I632" i="24"/>
  <c r="I689" i="24"/>
  <c r="I683" i="24"/>
  <c r="I637" i="24"/>
  <c r="I681" i="24"/>
  <c r="I634" i="24"/>
  <c r="I633" i="24"/>
  <c r="F119" i="36"/>
  <c r="F55" i="36"/>
  <c r="J640" i="24"/>
  <c r="J688" i="24"/>
  <c r="J711" i="24"/>
  <c r="J646" i="24"/>
  <c r="J679" i="24"/>
  <c r="J634" i="24"/>
  <c r="J706" i="24"/>
  <c r="J708" i="24"/>
  <c r="H713" i="24"/>
  <c r="H686" i="24"/>
  <c r="H629" i="24"/>
  <c r="H633" i="24"/>
  <c r="H688" i="24"/>
  <c r="H698" i="24"/>
  <c r="H647" i="24"/>
  <c r="H636" i="24"/>
  <c r="H705" i="24"/>
  <c r="H687" i="24"/>
  <c r="H701" i="24"/>
  <c r="H675" i="24"/>
  <c r="H689" i="24"/>
  <c r="H643" i="24"/>
  <c r="H680" i="24"/>
  <c r="H645" i="24"/>
  <c r="H697" i="24"/>
  <c r="H695" i="24"/>
  <c r="H671" i="24"/>
  <c r="H707" i="24"/>
  <c r="H709" i="24"/>
  <c r="H682" i="24"/>
  <c r="H703" i="24"/>
  <c r="H632" i="24"/>
  <c r="H710" i="24"/>
  <c r="H639" i="24"/>
  <c r="H706" i="24"/>
  <c r="H638" i="24"/>
  <c r="H694" i="24"/>
  <c r="H635" i="24"/>
  <c r="H685" i="24"/>
  <c r="H642" i="24"/>
  <c r="L696" i="24"/>
  <c r="L693" i="24"/>
  <c r="L691" i="24"/>
  <c r="L685" i="24"/>
  <c r="L672" i="24"/>
  <c r="L706" i="24"/>
  <c r="L712" i="24"/>
  <c r="L716" i="24"/>
  <c r="L680" i="24"/>
  <c r="L707" i="24"/>
  <c r="L702" i="24"/>
  <c r="L688" i="24"/>
  <c r="K681" i="24"/>
  <c r="K711" i="24"/>
  <c r="K674" i="24"/>
  <c r="K713" i="24"/>
  <c r="K698" i="24"/>
  <c r="K697" i="24"/>
  <c r="K707" i="24"/>
  <c r="K685" i="24"/>
  <c r="K695" i="24"/>
  <c r="K668" i="24"/>
  <c r="K715" i="24" s="1"/>
  <c r="K688" i="24"/>
  <c r="K716" i="24"/>
  <c r="L671" i="24"/>
  <c r="L683" i="24"/>
  <c r="L669" i="24"/>
  <c r="L705" i="24"/>
  <c r="L670" i="24"/>
  <c r="L689" i="24"/>
  <c r="L679" i="24"/>
  <c r="L694" i="24"/>
  <c r="L700" i="24"/>
  <c r="L703" i="24"/>
  <c r="L681" i="24"/>
  <c r="K691" i="24"/>
  <c r="K710" i="24"/>
  <c r="K676" i="24"/>
  <c r="K696" i="24"/>
  <c r="K694" i="24"/>
  <c r="K680" i="24"/>
  <c r="K670" i="24"/>
  <c r="K705" i="24"/>
  <c r="K682" i="24"/>
  <c r="K677" i="24"/>
  <c r="G715" i="24"/>
  <c r="H710" i="34"/>
  <c r="H706" i="34"/>
  <c r="H702" i="34"/>
  <c r="H698" i="34"/>
  <c r="H694" i="34"/>
  <c r="H713" i="34"/>
  <c r="H705" i="34"/>
  <c r="H697" i="34"/>
  <c r="H691" i="34"/>
  <c r="H687" i="34"/>
  <c r="H683" i="34"/>
  <c r="H679" i="34"/>
  <c r="H711" i="34"/>
  <c r="H708" i="34"/>
  <c r="H703" i="34"/>
  <c r="H700" i="34"/>
  <c r="H695" i="34"/>
  <c r="H692" i="34"/>
  <c r="H689" i="34"/>
  <c r="H688" i="34"/>
  <c r="H681" i="34"/>
  <c r="H680" i="34"/>
  <c r="H676" i="34"/>
  <c r="H672" i="34"/>
  <c r="H668" i="34"/>
  <c r="H709" i="34"/>
  <c r="H701" i="34"/>
  <c r="H693" i="34"/>
  <c r="H686" i="34"/>
  <c r="H677" i="34"/>
  <c r="H673" i="34"/>
  <c r="H669" i="34"/>
  <c r="H716" i="34"/>
  <c r="H712" i="34"/>
  <c r="H707" i="34"/>
  <c r="H704" i="34"/>
  <c r="H699" i="34"/>
  <c r="H696" i="34"/>
  <c r="H685" i="34"/>
  <c r="H684" i="34"/>
  <c r="H678" i="34"/>
  <c r="H674" i="34"/>
  <c r="H670" i="34"/>
  <c r="H647" i="34"/>
  <c r="H646" i="34"/>
  <c r="H645" i="34"/>
  <c r="H690" i="34"/>
  <c r="H682" i="34"/>
  <c r="H675" i="34"/>
  <c r="H671" i="34"/>
  <c r="H644" i="34"/>
  <c r="H640" i="34"/>
  <c r="H633" i="34"/>
  <c r="H641" i="34"/>
  <c r="H637" i="34"/>
  <c r="H636" i="34"/>
  <c r="H634" i="34"/>
  <c r="H642" i="34"/>
  <c r="H638" i="34"/>
  <c r="H635" i="34"/>
  <c r="H629" i="34"/>
  <c r="H643" i="34"/>
  <c r="H639" i="34"/>
  <c r="H632" i="34"/>
  <c r="H631" i="34"/>
  <c r="H630" i="34"/>
  <c r="I715" i="24" l="1"/>
  <c r="H715" i="24"/>
  <c r="J715" i="24"/>
  <c r="H715" i="34"/>
  <c r="I629" i="34"/>
  <c r="I716" i="34" l="1"/>
  <c r="I711" i="34"/>
  <c r="I707" i="34"/>
  <c r="I703" i="34"/>
  <c r="I699" i="34"/>
  <c r="I695" i="34"/>
  <c r="I712" i="34"/>
  <c r="I704" i="34"/>
  <c r="I696" i="34"/>
  <c r="I688" i="34"/>
  <c r="I684" i="34"/>
  <c r="I680" i="34"/>
  <c r="I709" i="34"/>
  <c r="I706" i="34"/>
  <c r="I701" i="34"/>
  <c r="I698" i="34"/>
  <c r="I693" i="34"/>
  <c r="I687" i="34"/>
  <c r="I686" i="34"/>
  <c r="I679" i="34"/>
  <c r="I677" i="34"/>
  <c r="I673" i="34"/>
  <c r="I669" i="34"/>
  <c r="I685" i="34"/>
  <c r="I678" i="34"/>
  <c r="I674" i="34"/>
  <c r="I670" i="34"/>
  <c r="I647" i="34"/>
  <c r="I646" i="34"/>
  <c r="I645" i="34"/>
  <c r="I713" i="34"/>
  <c r="I710" i="34"/>
  <c r="I705" i="34"/>
  <c r="I702" i="34"/>
  <c r="I697" i="34"/>
  <c r="I694" i="34"/>
  <c r="I691" i="34"/>
  <c r="I690" i="34"/>
  <c r="I683" i="34"/>
  <c r="I682" i="34"/>
  <c r="I675" i="34"/>
  <c r="I671" i="34"/>
  <c r="I644" i="34"/>
  <c r="I643" i="34"/>
  <c r="I642" i="34"/>
  <c r="I641" i="34"/>
  <c r="I640" i="34"/>
  <c r="I639" i="34"/>
  <c r="I638" i="34"/>
  <c r="I637" i="34"/>
  <c r="I708" i="34"/>
  <c r="I700" i="34"/>
  <c r="I692" i="34"/>
  <c r="I689" i="34"/>
  <c r="I681" i="34"/>
  <c r="I676" i="34"/>
  <c r="I672" i="34"/>
  <c r="I668" i="34"/>
  <c r="I636" i="34"/>
  <c r="I634" i="34"/>
  <c r="I635" i="34"/>
  <c r="I632" i="34"/>
  <c r="I631" i="34"/>
  <c r="I630" i="34"/>
  <c r="I633" i="34"/>
  <c r="I715" i="34" l="1"/>
  <c r="J630" i="34"/>
  <c r="J712" i="34" l="1"/>
  <c r="J708" i="34"/>
  <c r="J704" i="34"/>
  <c r="J700" i="34"/>
  <c r="J696" i="34"/>
  <c r="J692" i="34"/>
  <c r="J716" i="34"/>
  <c r="J711" i="34"/>
  <c r="J710" i="34"/>
  <c r="J709" i="34"/>
  <c r="J703" i="34"/>
  <c r="J702" i="34"/>
  <c r="J701" i="34"/>
  <c r="J695" i="34"/>
  <c r="J694" i="34"/>
  <c r="J693" i="34"/>
  <c r="J689" i="34"/>
  <c r="J685" i="34"/>
  <c r="J681" i="34"/>
  <c r="J678" i="34"/>
  <c r="J674" i="34"/>
  <c r="J670" i="34"/>
  <c r="J647" i="34"/>
  <c r="L647" i="34" s="1"/>
  <c r="J646" i="34"/>
  <c r="J645" i="34"/>
  <c r="J713" i="34"/>
  <c r="J707" i="34"/>
  <c r="J705" i="34"/>
  <c r="J699" i="34"/>
  <c r="J697" i="34"/>
  <c r="J691" i="34"/>
  <c r="J690" i="34"/>
  <c r="J684" i="34"/>
  <c r="J683" i="34"/>
  <c r="J682" i="34"/>
  <c r="J675" i="34"/>
  <c r="J671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76" i="34"/>
  <c r="J672" i="34"/>
  <c r="J668" i="34"/>
  <c r="J706" i="34"/>
  <c r="J698" i="34"/>
  <c r="J688" i="34"/>
  <c r="J687" i="34"/>
  <c r="J686" i="34"/>
  <c r="J680" i="34"/>
  <c r="J679" i="34"/>
  <c r="J677" i="34"/>
  <c r="J673" i="34"/>
  <c r="J669" i="34"/>
  <c r="J632" i="34"/>
  <c r="J631" i="34"/>
  <c r="J715" i="34" s="1"/>
  <c r="J633" i="34"/>
  <c r="J634" i="34"/>
  <c r="L716" i="34" l="1"/>
  <c r="L710" i="34"/>
  <c r="M710" i="34" s="1"/>
  <c r="L706" i="34"/>
  <c r="M706" i="34" s="1"/>
  <c r="L702" i="34"/>
  <c r="M702" i="34" s="1"/>
  <c r="L698" i="34"/>
  <c r="M698" i="34" s="1"/>
  <c r="L694" i="34"/>
  <c r="M694" i="34" s="1"/>
  <c r="L708" i="34"/>
  <c r="M708" i="34" s="1"/>
  <c r="L707" i="34"/>
  <c r="M707" i="34" s="1"/>
  <c r="L700" i="34"/>
  <c r="M700" i="34" s="1"/>
  <c r="L699" i="34"/>
  <c r="M699" i="34" s="1"/>
  <c r="L692" i="34"/>
  <c r="M692" i="34" s="1"/>
  <c r="L691" i="34"/>
  <c r="M691" i="34" s="1"/>
  <c r="L687" i="34"/>
  <c r="M687" i="34" s="1"/>
  <c r="L683" i="34"/>
  <c r="M683" i="34" s="1"/>
  <c r="L679" i="34"/>
  <c r="M679" i="34" s="1"/>
  <c r="L713" i="34"/>
  <c r="M713" i="34" s="1"/>
  <c r="L712" i="34"/>
  <c r="M712" i="34" s="1"/>
  <c r="L705" i="34"/>
  <c r="M705" i="34" s="1"/>
  <c r="L704" i="34"/>
  <c r="M704" i="34" s="1"/>
  <c r="L697" i="34"/>
  <c r="M697" i="34" s="1"/>
  <c r="L696" i="34"/>
  <c r="M696" i="34" s="1"/>
  <c r="L690" i="34"/>
  <c r="M690" i="34" s="1"/>
  <c r="L682" i="34"/>
  <c r="M682" i="34" s="1"/>
  <c r="L676" i="34"/>
  <c r="M676" i="34" s="1"/>
  <c r="L672" i="34"/>
  <c r="M672" i="34" s="1"/>
  <c r="L668" i="34"/>
  <c r="L689" i="34"/>
  <c r="M689" i="34" s="1"/>
  <c r="L688" i="34"/>
  <c r="M688" i="34" s="1"/>
  <c r="L681" i="34"/>
  <c r="M681" i="34" s="1"/>
  <c r="L680" i="34"/>
  <c r="M680" i="34" s="1"/>
  <c r="L677" i="34"/>
  <c r="M677" i="34" s="1"/>
  <c r="L673" i="34"/>
  <c r="M673" i="34" s="1"/>
  <c r="L669" i="34"/>
  <c r="M669" i="34" s="1"/>
  <c r="L711" i="34"/>
  <c r="M711" i="34" s="1"/>
  <c r="L703" i="34"/>
  <c r="M703" i="34" s="1"/>
  <c r="L695" i="34"/>
  <c r="M695" i="34" s="1"/>
  <c r="L686" i="34"/>
  <c r="M686" i="34" s="1"/>
  <c r="L678" i="34"/>
  <c r="M678" i="34" s="1"/>
  <c r="L674" i="34"/>
  <c r="M674" i="34" s="1"/>
  <c r="L670" i="34"/>
  <c r="M670" i="34" s="1"/>
  <c r="L709" i="34"/>
  <c r="M709" i="34" s="1"/>
  <c r="L701" i="34"/>
  <c r="M701" i="34" s="1"/>
  <c r="L693" i="34"/>
  <c r="M693" i="34" s="1"/>
  <c r="L685" i="34"/>
  <c r="M685" i="34" s="1"/>
  <c r="L684" i="34"/>
  <c r="M684" i="34" s="1"/>
  <c r="L675" i="34"/>
  <c r="M675" i="34" s="1"/>
  <c r="L671" i="34"/>
  <c r="M671" i="34" s="1"/>
  <c r="K713" i="34"/>
  <c r="K709" i="34"/>
  <c r="K705" i="34"/>
  <c r="K701" i="34"/>
  <c r="K697" i="34"/>
  <c r="K693" i="34"/>
  <c r="K690" i="34"/>
  <c r="K686" i="34"/>
  <c r="K682" i="34"/>
  <c r="K707" i="34"/>
  <c r="K699" i="34"/>
  <c r="K691" i="34"/>
  <c r="K685" i="34"/>
  <c r="K684" i="34"/>
  <c r="K683" i="34"/>
  <c r="K675" i="34"/>
  <c r="K671" i="34"/>
  <c r="K716" i="34"/>
  <c r="K712" i="34"/>
  <c r="K710" i="34"/>
  <c r="K704" i="34"/>
  <c r="K702" i="34"/>
  <c r="K696" i="34"/>
  <c r="K694" i="34"/>
  <c r="K676" i="34"/>
  <c r="K672" i="34"/>
  <c r="K668" i="34"/>
  <c r="K715" i="34" s="1"/>
  <c r="K708" i="34"/>
  <c r="K706" i="34"/>
  <c r="K700" i="34"/>
  <c r="K698" i="34"/>
  <c r="K692" i="34"/>
  <c r="K689" i="34"/>
  <c r="K688" i="34"/>
  <c r="K687" i="34"/>
  <c r="K681" i="34"/>
  <c r="K680" i="34"/>
  <c r="K679" i="34"/>
  <c r="K677" i="34"/>
  <c r="K673" i="34"/>
  <c r="K669" i="34"/>
  <c r="K711" i="34"/>
  <c r="K703" i="34"/>
  <c r="K695" i="34"/>
  <c r="K678" i="34"/>
  <c r="K674" i="34"/>
  <c r="K670" i="34"/>
  <c r="L715" i="34" l="1"/>
  <c r="M668" i="34"/>
  <c r="M715" i="34" s="1"/>
</calcChain>
</file>

<file path=xl/sharedStrings.xml><?xml version="1.0" encoding="utf-8"?>
<sst xmlns="http://schemas.openxmlformats.org/spreadsheetml/2006/main" count="4872" uniqueCount="1377">
  <si>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</si>
  <si>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</si>
  <si>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</si>
  <si>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</si>
  <si>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</si>
  <si>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</si>
  <si>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</si>
  <si>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</si>
  <si>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</si>
  <si>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</si>
  <si>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</si>
  <si>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</si>
  <si>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</si>
  <si>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</si>
  <si>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</si>
  <si>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</si>
  <si>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</si>
  <si>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</si>
  <si>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</si>
  <si>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</si>
  <si>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</si>
  <si>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</si>
  <si>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</si>
  <si>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</si>
  <si>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</si>
  <si>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</si>
  <si>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</si>
  <si>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</si>
  <si>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</si>
  <si>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</si>
  <si>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</si>
  <si>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</si>
  <si>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</si>
  <si>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</si>
  <si>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</si>
  <si>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</si>
  <si>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</si>
  <si>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</si>
  <si>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</si>
  <si>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</si>
  <si>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</si>
  <si>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</si>
  <si>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</si>
  <si>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</si>
  <si>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</si>
  <si>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</si>
  <si>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</si>
  <si>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</si>
  <si>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</si>
  <si>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</si>
  <si>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</si>
  <si>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</si>
  <si>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</si>
  <si>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</si>
  <si>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</si>
  <si>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</si>
  <si>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</si>
  <si>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</si>
  <si>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</si>
  <si>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</si>
  <si>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</si>
  <si>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</si>
  <si>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</si>
  <si>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</si>
  <si>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</si>
  <si>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</si>
  <si>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</si>
  <si>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</si>
  <si>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</si>
  <si>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</si>
  <si>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</si>
  <si>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</si>
  <si>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</si>
  <si>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</si>
  <si>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</si>
  <si>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</si>
  <si>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</si>
  <si>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</si>
  <si>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</si>
  <si>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</si>
  <si>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</si>
  <si>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</si>
  <si>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</si>
  <si>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</si>
  <si>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</si>
  <si>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</si>
  <si>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</si>
  <si>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</si>
  <si>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</si>
  <si>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</si>
  <si>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</si>
  <si>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</si>
  <si>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</si>
  <si>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</si>
  <si>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</si>
  <si>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</si>
  <si>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</si>
  <si>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</si>
  <si>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</si>
  <si>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</si>
  <si>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</si>
  <si>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</si>
  <si>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</si>
  <si>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</si>
  <si>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</si>
  <si>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</si>
  <si>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</si>
  <si>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</si>
  <si>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</si>
  <si>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</si>
  <si>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</si>
  <si>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</si>
  <si>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</si>
  <si>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</si>
  <si>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</si>
  <si>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</si>
  <si>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</si>
  <si>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</si>
  <si>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</si>
  <si>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</si>
  <si>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</si>
  <si>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</si>
  <si>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</si>
  <si>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</si>
  <si>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</si>
  <si>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</si>
  <si>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</si>
  <si>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</si>
  <si>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</si>
  <si>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</si>
  <si>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</si>
  <si>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</si>
  <si>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</si>
  <si>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</si>
  <si>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</si>
  <si>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</si>
  <si>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</si>
  <si>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</si>
  <si>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</si>
  <si>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</si>
  <si>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</si>
  <si>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</si>
  <si>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</si>
  <si>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</si>
  <si>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</si>
  <si>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</si>
  <si>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</si>
  <si>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</si>
  <si>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</si>
  <si>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</si>
  <si>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</si>
  <si>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</si>
  <si>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</si>
  <si>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</si>
  <si>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</si>
  <si>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</si>
  <si>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</si>
  <si>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</si>
  <si>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</si>
  <si>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</si>
  <si>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</si>
  <si>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</si>
  <si>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</si>
  <si>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</si>
  <si>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</si>
  <si>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</si>
  <si>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</si>
  <si>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</si>
  <si>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</si>
  <si>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</si>
  <si>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</si>
  <si>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</si>
  <si>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</si>
  <si>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</si>
  <si>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</si>
  <si>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</si>
  <si>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</si>
  <si>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</si>
  <si>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</si>
  <si>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</si>
  <si>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</si>
  <si>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</si>
  <si>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</si>
  <si>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</si>
  <si>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</si>
  <si>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</si>
  <si>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</si>
  <si>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</si>
  <si>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</si>
  <si>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</si>
  <si>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</si>
  <si>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</si>
  <si>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</si>
  <si>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</si>
  <si>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</si>
  <si>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</si>
  <si>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</si>
  <si>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</si>
  <si>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</si>
  <si>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</si>
  <si>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</si>
  <si>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</si>
  <si>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</si>
  <si>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</si>
  <si>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</si>
  <si>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</si>
  <si>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</si>
  <si>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</si>
  <si>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</si>
  <si>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</si>
  <si>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</si>
  <si>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</si>
  <si>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</si>
  <si>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</si>
  <si>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</si>
  <si>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</si>
  <si>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</si>
  <si>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</si>
  <si>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</si>
  <si>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</si>
  <si>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</si>
  <si>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</si>
  <si>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</si>
  <si>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</si>
  <si>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</si>
  <si>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</si>
  <si>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</si>
  <si>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</si>
  <si>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</si>
  <si>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</si>
  <si>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</si>
  <si>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</si>
  <si>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</si>
  <si>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</si>
  <si>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</si>
  <si>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</si>
  <si>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</si>
  <si>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</si>
  <si>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</si>
  <si>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</si>
  <si>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</si>
  <si>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</si>
  <si>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</si>
  <si>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</si>
  <si>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</si>
  <si>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</si>
  <si>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</si>
  <si>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</si>
  <si>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</si>
  <si>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</si>
  <si>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</si>
  <si>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</si>
  <si>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</si>
  <si>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</si>
  <si>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</si>
  <si>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</si>
  <si>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</si>
  <si>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</si>
  <si>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</si>
  <si>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</si>
  <si>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</si>
  <si>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</si>
  <si>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</si>
  <si>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</si>
  <si>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</si>
  <si>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</si>
  <si>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</si>
  <si>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</si>
  <si>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</si>
  <si>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</si>
  <si>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</si>
  <si>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</si>
  <si>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</si>
  <si>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</si>
  <si>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</si>
  <si>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</si>
  <si>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</si>
  <si>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</si>
  <si>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</si>
  <si>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</si>
  <si>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</si>
  <si>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</si>
  <si>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</si>
  <si>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</si>
  <si>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</si>
  <si>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</si>
  <si>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</si>
  <si>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</si>
  <si>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</si>
  <si>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</si>
  <si>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</si>
  <si>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</si>
  <si>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</si>
  <si>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</si>
  <si>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</si>
  <si>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</si>
  <si>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</si>
  <si>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</si>
  <si>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</si>
  <si>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</si>
  <si>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137</t>
  </si>
  <si>
    <t>Hospital Name</t>
  </si>
  <si>
    <t>LINCOLN COUNTY HOSPITAL DISTRICT # 3</t>
  </si>
  <si>
    <t>Mailing Address</t>
  </si>
  <si>
    <t>10 NICHOLLS STREET</t>
  </si>
  <si>
    <t>City</t>
  </si>
  <si>
    <t>DAVENPORT</t>
  </si>
  <si>
    <t>State</t>
  </si>
  <si>
    <t>WA</t>
  </si>
  <si>
    <t>Zip</t>
  </si>
  <si>
    <t>99122</t>
  </si>
  <si>
    <t>County</t>
  </si>
  <si>
    <t xml:space="preserve">Lincoln County  </t>
  </si>
  <si>
    <t>Chief Executive Officer</t>
  </si>
  <si>
    <t>TYSON LACY</t>
  </si>
  <si>
    <t>Chief Financial Officer</t>
  </si>
  <si>
    <t>TIM O'CONNELL</t>
  </si>
  <si>
    <t>Chair of Governing Board</t>
  </si>
  <si>
    <t>ROXANN SHERWOOD</t>
  </si>
  <si>
    <t>Telephone Number</t>
  </si>
  <si>
    <t>509-725-7101</t>
  </si>
  <si>
    <t>Facsimile Number</t>
  </si>
  <si>
    <t>509-725-2112</t>
  </si>
  <si>
    <t>Name of Submitter</t>
  </si>
  <si>
    <t>Email of Submitter</t>
  </si>
  <si>
    <t>oconnetr@lhd3.org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</si>
  <si>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</si>
  <si>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</si>
  <si>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</si>
  <si>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</si>
  <si>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</si>
  <si>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</si>
  <si>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</si>
  <si>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</si>
  <si>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</si>
  <si>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</si>
  <si>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</si>
  <si>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</si>
  <si>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</si>
  <si>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</si>
  <si>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</si>
  <si>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</si>
  <si>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</si>
  <si>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</si>
  <si>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</si>
  <si>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</si>
  <si>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</si>
  <si>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</si>
  <si>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</si>
  <si>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</si>
  <si>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</si>
  <si>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</si>
  <si>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</si>
  <si>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</si>
  <si>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</si>
  <si>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</si>
  <si>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</si>
  <si>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</si>
  <si>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</si>
  <si>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</si>
  <si>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</si>
  <si>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</si>
  <si>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</si>
  <si>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</si>
  <si>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</si>
  <si>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</si>
  <si>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</si>
  <si>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</si>
  <si>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</si>
  <si>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</si>
  <si>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</si>
  <si>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</si>
  <si>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</si>
  <si>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</si>
  <si>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</si>
  <si>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</si>
  <si>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</si>
  <si>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</si>
  <si>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</si>
  <si>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</si>
  <si>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</si>
  <si>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</si>
  <si>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</si>
  <si>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</si>
  <si>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</si>
  <si>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</si>
  <si>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</si>
  <si>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</si>
  <si>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</si>
  <si>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</si>
  <si>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</si>
  <si>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</si>
  <si>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</si>
  <si>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</si>
  <si>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</si>
  <si>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</si>
  <si>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</si>
  <si>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</si>
  <si>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</si>
  <si>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</si>
  <si>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</si>
  <si>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</si>
  <si>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</si>
  <si>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</si>
  <si>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</si>
  <si>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</si>
  <si>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</si>
  <si>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</si>
  <si>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</si>
  <si>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</si>
  <si>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</si>
  <si>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</si>
  <si>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</si>
  <si>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</si>
  <si>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</si>
  <si>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</si>
  <si>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</si>
  <si>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</si>
  <si>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</si>
  <si>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</si>
  <si>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</si>
  <si>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</si>
  <si>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</si>
  <si>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</si>
  <si>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</si>
  <si>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</si>
  <si>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</si>
  <si>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</si>
  <si>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</si>
  <si>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</si>
  <si>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</si>
  <si>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</si>
  <si>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</si>
  <si>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</si>
  <si>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</si>
  <si>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</si>
  <si>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</si>
  <si>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</si>
  <si>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</si>
  <si>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</si>
  <si>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</si>
  <si>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</si>
  <si>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</si>
  <si>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</si>
  <si>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</si>
  <si>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</si>
  <si>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</si>
  <si>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</si>
  <si>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</si>
  <si>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</si>
  <si>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</si>
  <si>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</si>
  <si>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</si>
  <si>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</si>
  <si>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</si>
  <si>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</si>
  <si>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</si>
  <si>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</si>
  <si>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</si>
  <si>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</si>
  <si>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</si>
  <si>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</si>
  <si>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</si>
  <si>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</si>
  <si>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</si>
  <si>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</si>
  <si>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</si>
  <si>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</si>
  <si>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</si>
  <si>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</si>
  <si>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</si>
  <si>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</si>
  <si>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</si>
  <si>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</si>
  <si>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</si>
  <si>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</si>
  <si>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</si>
  <si>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</si>
  <si>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</si>
  <si>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</si>
  <si>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</si>
  <si>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</si>
  <si>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</si>
  <si>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</si>
  <si>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</si>
  <si>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</si>
  <si>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</si>
  <si>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</si>
  <si>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</si>
  <si>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</si>
  <si>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</si>
  <si>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</si>
  <si>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</si>
  <si>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</si>
  <si>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</si>
  <si>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</si>
  <si>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</si>
  <si>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</si>
  <si>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</si>
  <si>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</si>
  <si>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</si>
  <si>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</si>
  <si>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</si>
  <si>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</si>
  <si>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</si>
  <si>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</si>
  <si>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</si>
  <si>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</si>
  <si>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</si>
  <si>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</si>
  <si>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</si>
  <si>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</si>
  <si>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</si>
  <si>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</si>
  <si>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</si>
  <si>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</si>
  <si>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</si>
  <si>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</si>
  <si>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</si>
  <si>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</si>
  <si>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</si>
  <si>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</si>
  <si>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</si>
  <si>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</si>
  <si>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</si>
  <si>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</si>
  <si>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</si>
  <si>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</si>
  <si>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</si>
  <si>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</si>
  <si>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</si>
  <si>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</si>
  <si>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</si>
  <si>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</si>
  <si>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</si>
  <si>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</si>
  <si>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</si>
  <si>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</si>
  <si>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</si>
  <si>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</si>
  <si>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</si>
  <si>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</si>
  <si>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</si>
  <si>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</si>
  <si>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</si>
  <si>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</si>
  <si>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</si>
  <si>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</si>
  <si>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</si>
  <si>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</si>
  <si>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</si>
  <si>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</si>
  <si>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</si>
  <si>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</si>
  <si>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</si>
  <si>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</si>
  <si>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</si>
  <si>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</si>
  <si>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</si>
  <si>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</si>
  <si>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</si>
  <si>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</si>
  <si>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</si>
  <si>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</si>
  <si>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</si>
  <si>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</si>
  <si>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</si>
  <si>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</si>
  <si>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</si>
  <si>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</si>
  <si>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</si>
  <si>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</si>
  <si>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</si>
  <si>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</si>
  <si>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</si>
  <si>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</si>
  <si>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</si>
  <si>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</si>
  <si>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</si>
  <si>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</si>
  <si>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</si>
  <si>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</si>
  <si>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</si>
  <si>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</si>
  <si>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</si>
  <si>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</si>
  <si>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</si>
  <si>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</si>
  <si>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</si>
  <si>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</si>
  <si>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</si>
  <si>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</si>
  <si>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</si>
  <si>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</si>
  <si>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</si>
  <si>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</si>
  <si>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</si>
  <si>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</si>
  <si>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</si>
  <si>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</si>
  <si>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</si>
  <si>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</si>
  <si>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</si>
  <si>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</si>
  <si>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</si>
  <si>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</si>
  <si>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</si>
  <si>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</si>
  <si>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</si>
  <si>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</si>
  <si>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</si>
  <si>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</si>
  <si>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</si>
  <si>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</si>
  <si>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</si>
  <si>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</si>
  <si>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</si>
  <si>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</si>
  <si>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</si>
  <si>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</si>
  <si>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</si>
  <si>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</si>
  <si>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</si>
  <si>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</si>
  <si>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</si>
  <si>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</si>
  <si>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</si>
  <si>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</si>
  <si>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</si>
  <si>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</si>
  <si>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</si>
  <si>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</si>
  <si>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</si>
  <si>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</si>
  <si>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</si>
  <si>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</si>
  <si>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</si>
  <si>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</si>
  <si>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</si>
  <si>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</si>
  <si>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</si>
  <si>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</si>
  <si>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</si>
  <si>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</si>
  <si>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</si>
  <si>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</si>
  <si>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</si>
  <si>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</si>
  <si>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</si>
  <si>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</si>
  <si>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</si>
  <si>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</si>
  <si>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</si>
  <si>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</si>
  <si>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</si>
  <si>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</si>
  <si>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</si>
  <si>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</si>
  <si>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</si>
  <si>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</si>
  <si>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</si>
  <si>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</si>
  <si>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</si>
  <si>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</si>
  <si>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</si>
  <si>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</si>
  <si>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</si>
  <si>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</si>
  <si>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</si>
  <si>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</si>
  <si>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</si>
  <si>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</si>
  <si>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</si>
  <si>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</si>
  <si>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</si>
  <si>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</si>
  <si>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</si>
  <si>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</si>
  <si>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</si>
  <si>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</si>
  <si>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</si>
  <si>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</si>
  <si>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</si>
  <si>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</si>
  <si>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</si>
  <si>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</si>
  <si>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</si>
  <si>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</si>
  <si>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</si>
  <si>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</si>
  <si>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</si>
  <si>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</si>
  <si>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</si>
  <si>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</si>
  <si>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</si>
  <si>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</si>
  <si>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</si>
  <si>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</si>
  <si>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</si>
  <si>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</si>
  <si>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</si>
  <si>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</si>
  <si>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</si>
  <si>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</si>
  <si>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</si>
  <si>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</si>
  <si>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</si>
  <si>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</si>
  <si>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</si>
  <si>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</si>
  <si>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</si>
  <si>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</si>
  <si>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</si>
  <si>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</si>
  <si>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</si>
  <si>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</si>
  <si>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</si>
  <si>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</si>
  <si>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</si>
  <si>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</si>
  <si>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</si>
  <si>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</si>
  <si>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</si>
  <si>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</si>
  <si>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</si>
  <si>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</si>
  <si>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</si>
  <si>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</si>
  <si>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</si>
  <si>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</si>
  <si>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</si>
  <si>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</si>
  <si>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</si>
  <si>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</si>
  <si>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</si>
  <si>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</si>
  <si>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</si>
  <si>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</si>
  <si>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</si>
  <si>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</si>
  <si>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</si>
  <si>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</si>
  <si>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</si>
  <si>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</si>
  <si>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</si>
  <si>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</si>
  <si>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</si>
  <si>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</si>
  <si>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</si>
  <si>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</si>
  <si>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</si>
  <si>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</si>
  <si>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</si>
  <si>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</si>
  <si>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</si>
  <si>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</si>
  <si>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</si>
  <si>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</si>
  <si>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</si>
  <si>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</si>
  <si>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</si>
  <si>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</si>
  <si>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</si>
  <si>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</si>
  <si>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</si>
  <si>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</si>
  <si>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</si>
  <si>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</si>
  <si>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</si>
  <si>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</si>
  <si>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</si>
  <si>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</si>
  <si>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</si>
  <si>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</si>
  <si>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</si>
  <si>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</si>
  <si>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</si>
  <si>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</si>
  <si>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</si>
  <si>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</si>
  <si>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</si>
  <si>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</si>
  <si>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</si>
  <si>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</si>
  <si>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</si>
  <si>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</si>
  <si>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</si>
  <si>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</si>
  <si>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</si>
  <si>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</si>
  <si>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</si>
  <si>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</si>
  <si>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</si>
  <si>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</si>
  <si>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</si>
  <si>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</si>
  <si>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</si>
  <si>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</si>
  <si>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</si>
  <si>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</si>
  <si>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</si>
  <si>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</si>
  <si>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</si>
  <si>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</si>
  <si>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</si>
  <si>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</si>
  <si>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</si>
  <si>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</si>
  <si>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</si>
  <si>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</si>
  <si>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</si>
  <si>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</si>
  <si>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</si>
  <si>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</si>
  <si>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</si>
  <si>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</si>
  <si>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</si>
  <si>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</si>
  <si>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</si>
  <si>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</si>
  <si>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</si>
  <si>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</si>
  <si>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</si>
  <si>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</si>
  <si>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</si>
  <si>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</si>
  <si>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</si>
  <si>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</si>
  <si>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</si>
  <si>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</si>
  <si>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</si>
  <si>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</si>
  <si>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</si>
  <si>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</si>
  <si>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</si>
  <si>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</si>
  <si>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</si>
  <si>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</si>
  <si>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</si>
  <si>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</si>
  <si>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</si>
  <si>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</si>
  <si>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</si>
  <si>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</si>
  <si>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</si>
  <si>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</si>
  <si>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</si>
  <si>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</si>
  <si>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</si>
  <si>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</si>
  <si>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</si>
  <si>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</si>
  <si>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</si>
  <si>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</si>
  <si>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</si>
  <si>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</si>
  <si>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</si>
  <si>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</si>
  <si>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</si>
  <si>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</si>
  <si>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</si>
  <si>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</si>
  <si>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</si>
  <si>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</si>
  <si>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</si>
  <si>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</si>
  <si>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</si>
  <si>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</si>
  <si>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</si>
  <si>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</si>
  <si>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</si>
  <si>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</si>
  <si>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</si>
  <si>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</si>
  <si>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</si>
  <si>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</si>
  <si>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</si>
  <si>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</si>
  <si>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</si>
  <si>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</si>
  <si>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</si>
  <si>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</si>
  <si>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</si>
  <si>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</si>
  <si>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</si>
  <si>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</si>
  <si>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</si>
  <si>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</si>
  <si>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</si>
  <si>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</si>
  <si>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</si>
  <si>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</si>
  <si>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</si>
  <si>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</si>
  <si>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</si>
  <si>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</si>
  <si>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</si>
  <si>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</si>
  <si>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</si>
  <si>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</si>
  <si>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</si>
  <si>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</si>
  <si>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</si>
  <si>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</si>
  <si>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</si>
  <si>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</si>
  <si>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</si>
  <si>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</si>
  <si>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</si>
  <si>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</si>
  <si>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</si>
  <si>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</si>
  <si>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</si>
  <si>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</si>
  <si>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</si>
  <si>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</si>
  <si>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</si>
  <si>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</si>
  <si>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</si>
  <si>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</si>
  <si>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</si>
  <si>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</si>
  <si>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</si>
  <si>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</si>
  <si>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</si>
  <si>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</si>
  <si>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</si>
  <si>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</si>
  <si>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</si>
  <si>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</si>
  <si>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</si>
  <si>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</si>
  <si>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</si>
  <si>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</si>
  <si>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</si>
  <si>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</si>
  <si>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</si>
  <si>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</si>
  <si>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</si>
  <si>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</si>
  <si>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</si>
  <si>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</si>
  <si>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</si>
  <si>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</si>
  <si>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</si>
  <si>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</si>
  <si>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</si>
  <si>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</si>
  <si>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</si>
  <si>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</si>
  <si>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</si>
  <si>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</si>
  <si>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</si>
  <si>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</si>
  <si>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</si>
  <si>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</si>
  <si>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</si>
  <si>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</si>
  <si>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</si>
  <si>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</si>
  <si>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</si>
  <si>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</si>
  <si>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</si>
  <si>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</si>
  <si>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</si>
  <si>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</si>
  <si>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</si>
  <si>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</si>
  <si>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</si>
  <si>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</si>
  <si>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</si>
  <si>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</si>
  <si>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</si>
  <si>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</si>
  <si>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</si>
  <si>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</si>
  <si>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</si>
  <si>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</si>
  <si>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</si>
  <si>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</si>
  <si>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</si>
  <si>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</si>
  <si>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</si>
  <si>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</si>
  <si>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</si>
  <si>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</si>
  <si>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</si>
  <si>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</si>
  <si>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</si>
  <si>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</si>
  <si>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</si>
  <si>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</si>
  <si>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</si>
  <si>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</si>
  <si>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</si>
  <si>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</si>
  <si>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</si>
  <si>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</si>
  <si>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</si>
  <si>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</si>
  <si>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</si>
  <si>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</si>
  <si>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</si>
  <si>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</si>
  <si>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</si>
  <si>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</si>
  <si>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</si>
  <si>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</si>
  <si>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</si>
  <si>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</si>
  <si>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</si>
  <si>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</si>
  <si>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</si>
  <si>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</si>
  <si>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</si>
  <si>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</si>
  <si>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</si>
  <si>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</si>
  <si>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</si>
  <si>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</si>
  <si>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</si>
  <si>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</si>
  <si>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</si>
  <si>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</si>
  <si>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</si>
  <si>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</si>
  <si>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</si>
  <si>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</si>
  <si>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</si>
  <si>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</si>
  <si>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</si>
  <si>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</si>
  <si>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</si>
  <si>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</si>
  <si>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</si>
  <si>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</si>
  <si>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</si>
  <si>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</si>
  <si>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</si>
  <si>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</si>
  <si>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</si>
  <si>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</si>
  <si>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</si>
  <si>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</si>
  <si>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</si>
  <si>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</si>
  <si>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</si>
  <si>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</si>
  <si>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</si>
  <si>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</si>
  <si>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</si>
  <si>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</si>
  <si>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</si>
  <si>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</si>
  <si>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</si>
  <si>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</si>
  <si>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</si>
  <si>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</si>
  <si>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</si>
  <si>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</si>
  <si>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</si>
  <si>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</si>
  <si>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</si>
  <si>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</si>
  <si>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</si>
  <si>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</si>
  <si>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</si>
  <si>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</si>
  <si>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</si>
  <si>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</si>
  <si>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</si>
  <si>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</si>
  <si>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</si>
  <si>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</si>
  <si>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</si>
  <si>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</si>
  <si>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</si>
  <si>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</si>
  <si>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</si>
  <si>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</si>
  <si>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</si>
  <si>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</si>
  <si>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</si>
  <si>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</si>
  <si>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</si>
  <si>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</si>
  <si>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</si>
  <si>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</si>
  <si>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</si>
  <si>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</si>
  <si>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</si>
  <si>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</si>
  <si>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</si>
  <si>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</si>
  <si>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</si>
  <si>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</si>
  <si>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</si>
  <si>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</si>
  <si>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</si>
  <si>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</si>
  <si>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</si>
  <si>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</si>
  <si>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</si>
  <si>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</si>
  <si>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</si>
  <si>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</si>
  <si>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</si>
  <si>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</si>
  <si>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</si>
  <si>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</si>
  <si>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</si>
  <si>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</si>
  <si>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</si>
  <si>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</si>
  <si>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</si>
  <si>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</si>
  <si>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</si>
  <si>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</si>
  <si>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</si>
  <si>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</si>
  <si>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</si>
  <si>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</si>
  <si>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</si>
  <si>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</si>
  <si>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</si>
  <si>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</si>
  <si>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</si>
  <si>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</si>
  <si>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</si>
  <si>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</si>
  <si>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</si>
  <si>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</si>
  <si>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</si>
  <si>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</si>
  <si>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</si>
  <si>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</si>
  <si>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</si>
  <si>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</si>
  <si>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</si>
  <si>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</si>
  <si>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</si>
  <si>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</si>
  <si>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</si>
  <si>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</si>
  <si>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</si>
  <si>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</si>
  <si>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</si>
  <si>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</si>
  <si>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</si>
  <si>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</si>
  <si>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</si>
  <si>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</si>
  <si>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</si>
  <si>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</si>
  <si>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</si>
  <si>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</si>
  <si>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</si>
  <si>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</si>
  <si>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</si>
  <si>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</si>
  <si>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</si>
  <si>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</si>
  <si>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</si>
  <si>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</si>
  <si>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</si>
  <si>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</si>
  <si>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</si>
  <si>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</si>
  <si>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</si>
  <si>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</si>
  <si>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</si>
  <si>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</si>
  <si>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</si>
  <si>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</si>
  <si>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</si>
  <si>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</si>
  <si>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</si>
  <si>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</si>
  <si>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</si>
  <si>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</si>
  <si>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</si>
  <si>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</si>
  <si>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</si>
  <si>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</si>
  <si>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</si>
  <si>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</si>
  <si>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</si>
  <si>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</si>
  <si>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</si>
  <si>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</si>
  <si>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</si>
  <si>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</si>
  <si>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</si>
  <si>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</si>
  <si>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</si>
  <si>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</si>
  <si>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</si>
  <si>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</si>
  <si>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</si>
  <si>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</si>
  <si>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</si>
  <si>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</si>
  <si>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</si>
  <si>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</si>
  <si>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</si>
  <si>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</si>
  <si>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</si>
  <si>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</si>
  <si>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</si>
  <si>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</si>
  <si>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</si>
  <si>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</si>
  <si>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</si>
  <si>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</si>
  <si>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</si>
  <si>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</si>
  <si>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</si>
  <si>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</si>
  <si>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</si>
  <si>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</si>
  <si>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</si>
  <si>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</si>
  <si>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</si>
  <si>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</si>
  <si>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</si>
  <si>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</si>
  <si>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</si>
  <si>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</si>
  <si>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</si>
  <si>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</si>
  <si>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</si>
  <si>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</si>
  <si>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</si>
  <si>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</si>
  <si>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</si>
  <si>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</si>
  <si>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</si>
  <si>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</si>
  <si>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</si>
  <si>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</si>
  <si>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</si>
  <si>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</si>
  <si>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</si>
  <si>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</si>
  <si>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</si>
  <si>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</si>
  <si>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</si>
  <si>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</si>
  <si>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</si>
  <si>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</si>
  <si>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</si>
  <si>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</si>
  <si>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</si>
  <si>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</si>
  <si>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</si>
  <si>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</si>
  <si>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</si>
  <si>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</si>
  <si>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</si>
  <si>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</si>
  <si>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</si>
  <si>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</si>
  <si>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</si>
  <si>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</si>
  <si>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</si>
  <si>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</si>
  <si>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</si>
  <si>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</si>
  <si>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</si>
  <si>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</si>
  <si>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</si>
  <si>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</si>
  <si>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</si>
  <si>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</si>
  <si>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</si>
  <si>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</si>
  <si>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</si>
  <si>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</si>
  <si>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</si>
  <si>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</si>
  <si>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</si>
  <si>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</si>
  <si>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</si>
  <si>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</si>
  <si>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</si>
  <si>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</si>
  <si>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</si>
  <si>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</si>
  <si>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</si>
  <si>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</si>
  <si>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</si>
  <si>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</si>
  <si>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</si>
  <si>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</si>
  <si>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</si>
  <si>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</si>
  <si>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</si>
  <si>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</si>
  <si>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</si>
  <si>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</si>
  <si>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</si>
  <si>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</si>
  <si>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</si>
  <si>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</si>
  <si>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</si>
  <si>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</si>
  <si>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</si>
  <si>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</si>
  <si>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</si>
  <si>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</si>
  <si>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</si>
  <si>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</si>
  <si>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</si>
  <si>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</si>
  <si>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</si>
  <si>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</si>
  <si>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</si>
  <si>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</si>
  <si>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</si>
  <si>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</si>
  <si>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</si>
  <si>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</si>
  <si>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</si>
  <si>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</si>
  <si>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</si>
  <si>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</si>
  <si>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</si>
  <si>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</si>
  <si>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</si>
  <si>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</si>
  <si>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</si>
  <si>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</si>
  <si>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</si>
  <si>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</si>
  <si>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</si>
  <si>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</si>
  <si>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</si>
  <si>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</si>
  <si>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</si>
  <si>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</si>
  <si>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</si>
  <si>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</si>
  <si>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</si>
  <si>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</si>
  <si>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</si>
  <si>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</si>
  <si>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</si>
  <si>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</si>
  <si>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</si>
  <si>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</si>
  <si>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</si>
  <si>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</si>
  <si>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</si>
  <si>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</si>
  <si>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</si>
  <si>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</si>
  <si>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</si>
  <si>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</si>
  <si>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</si>
  <si>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</si>
  <si>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</si>
  <si>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</si>
  <si>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</si>
  <si>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</si>
  <si>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</si>
  <si>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</si>
  <si>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 xml:space="preserve">2022 had provider contract renewals with retention bonus payments. </t>
  </si>
  <si>
    <t xml:space="preserve">Our CT scanner was paid off in 2022. </t>
  </si>
  <si>
    <t xml:space="preserve">We have been down staff all of 2023 with an inability to hire. </t>
  </si>
  <si>
    <t xml:space="preserve">Prior year stat was total patient encounters not billable encounters. Since moving to EPIC, I'm unable to find a report that shows total patient contacts. </t>
  </si>
  <si>
    <t xml:space="preserve">Cost of food increased substantially. </t>
  </si>
  <si>
    <t xml:space="preserve">Prior year Sq Footage stat excluded our new Davenport clinic at 22, 116 sq ft. </t>
  </si>
  <si>
    <t>E2SHB 1272 Requirements: This template has been updated to reflect E2SHB 1272 reporting requirements.</t>
  </si>
  <si>
    <t>DOH 689-182 February 2024</t>
  </si>
  <si>
    <t>Tim O'Connell</t>
  </si>
  <si>
    <t>Tyson Lacy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</si>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</sst>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6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6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28" borderId="0"/>
    <xf numFmtId="0" fontId="39" fillId="28" borderId="0"/>
    <xf numFmtId="0" fontId="35" fillId="28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32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6" borderId="0" xfId="0" applyFont="1" applyFill="1"/>
    <xf numFmtId="37" fontId="14" fillId="6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6" borderId="0" xfId="0" quotePrefix="1" applyFont="1" applyFill="1" applyAlignment="1">
      <alignment horizontal="left"/>
    </xf>
    <xf numFmtId="37" fontId="14" fillId="6" borderId="0" xfId="0" applyFont="1" applyFill="1" applyAlignment="1">
      <alignment horizontal="right"/>
    </xf>
    <xf numFmtId="37" fontId="14" fillId="6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6" borderId="0" xfId="0" applyFont="1" applyFill="1" applyAlignment="1">
      <alignment horizontal="centerContinuous"/>
    </xf>
    <xf numFmtId="37" fontId="14" fillId="6" borderId="0" xfId="0" applyFont="1" applyFill="1" applyAlignment="1">
      <alignment horizontal="left" indent="1"/>
    </xf>
    <xf numFmtId="10" fontId="14" fillId="0" borderId="0" xfId="939" applyNumberFormat="1" applyFont="1"/>
    <xf numFmtId="37" fontId="14" fillId="6" borderId="0" xfId="0" applyFont="1" applyFill="1" applyAlignment="1">
      <alignment horizontal="left" indent="2"/>
    </xf>
    <xf numFmtId="37" fontId="14" fillId="6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6" borderId="0" xfId="547" applyFont="1" applyFill="1"/>
    <xf numFmtId="37" fontId="19" fillId="6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7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8" borderId="0" xfId="0" applyFont="1" applyFill="1"/>
    <xf numFmtId="37" fontId="25" fillId="8" borderId="0" xfId="0" applyFont="1" applyFill="1" applyAlignment="1">
      <alignment horizontal="center"/>
    </xf>
    <xf numFmtId="37" fontId="25" fillId="9" borderId="0" xfId="0" applyFont="1" applyFill="1"/>
    <xf numFmtId="37" fontId="25" fillId="9" borderId="0" xfId="0" applyFont="1" applyFill="1" applyAlignment="1">
      <alignment horizontal="left"/>
    </xf>
    <xf numFmtId="37" fontId="25" fillId="9" borderId="0" xfId="0" applyFont="1" applyFill="1" applyAlignment="1">
      <alignment horizontal="center"/>
    </xf>
    <xf numFmtId="39" fontId="25" fillId="9" borderId="0" xfId="0" applyNumberFormat="1" applyFont="1" applyFill="1"/>
    <xf numFmtId="39" fontId="25" fillId="8" borderId="0" xfId="0" applyNumberFormat="1" applyFont="1" applyFill="1"/>
    <xf numFmtId="37" fontId="14" fillId="6" borderId="0" xfId="0" quotePrefix="1" applyFont="1" applyFill="1" applyAlignment="1">
      <alignment horizontal="fill"/>
    </xf>
    <xf numFmtId="38" fontId="14" fillId="6" borderId="0" xfId="0" applyNumberFormat="1" applyFont="1" applyFill="1"/>
    <xf numFmtId="39" fontId="14" fillId="6" borderId="0" xfId="0" applyNumberFormat="1" applyFont="1" applyFill="1"/>
    <xf numFmtId="2" fontId="14" fillId="6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14" fillId="6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7" fontId="16" fillId="30" borderId="1" xfId="0" applyFont="1" applyFill="1" applyBorder="1" applyProtection="1">
      <protection locked="0"/>
    </xf>
    <xf numFmtId="37" fontId="16" fillId="30" borderId="1" xfId="0" quotePrefix="1" applyFont="1" applyFill="1" applyBorder="1" applyProtection="1">
      <protection locked="0"/>
    </xf>
    <xf numFmtId="2" fontId="16" fillId="30" borderId="1" xfId="547" quotePrefix="1" applyNumberFormat="1" applyFont="1" applyFill="1" applyBorder="1" applyProtection="1">
      <protection locked="0"/>
    </xf>
    <xf numFmtId="37" fontId="16" fillId="30" borderId="1" xfId="547" quotePrefix="1" applyNumberFormat="1" applyFont="1" applyFill="1" applyBorder="1" applyProtection="1">
      <protection locked="0"/>
    </xf>
    <xf numFmtId="37" fontId="16" fillId="30" borderId="1" xfId="547" applyNumberFormat="1" applyFont="1" applyFill="1" applyBorder="1" applyProtection="1">
      <protection locked="0"/>
    </xf>
    <xf numFmtId="2" fontId="16" fillId="30" borderId="1" xfId="0" quotePrefix="1" applyNumberFormat="1" applyFont="1" applyFill="1" applyBorder="1" applyProtection="1">
      <protection locked="0"/>
    </xf>
    <xf numFmtId="2" fontId="16" fillId="30" borderId="1" xfId="939" quotePrefix="1" applyNumberFormat="1" applyFont="1" applyFill="1" applyBorder="1" applyProtection="1">
      <protection locked="0"/>
    </xf>
    <xf numFmtId="2" fontId="16" fillId="30" borderId="1" xfId="547" applyNumberFormat="1" applyFont="1" applyFill="1" applyBorder="1" applyProtection="1">
      <protection locked="0"/>
    </xf>
    <xf numFmtId="37" fontId="16" fillId="30" borderId="1" xfId="939" quotePrefix="1" applyNumberFormat="1" applyFont="1" applyFill="1" applyBorder="1" applyProtection="1">
      <protection locked="0"/>
    </xf>
    <xf numFmtId="1" fontId="16" fillId="30" borderId="1" xfId="0" quotePrefix="1" applyNumberFormat="1" applyFont="1" applyFill="1" applyBorder="1" applyProtection="1">
      <protection locked="0"/>
    </xf>
    <xf numFmtId="37" fontId="16" fillId="29" borderId="1" xfId="0" quotePrefix="1" applyFont="1" applyFill="1" applyBorder="1" applyProtection="1">
      <protection locked="0"/>
    </xf>
    <xf numFmtId="167" fontId="16" fillId="29" borderId="1" xfId="0" quotePrefix="1" applyNumberFormat="1" applyFont="1" applyFill="1" applyBorder="1" applyProtection="1">
      <protection locked="0"/>
    </xf>
    <xf numFmtId="38" fontId="16" fillId="29" borderId="8" xfId="0" applyNumberFormat="1" applyFont="1" applyFill="1" applyBorder="1" applyProtection="1">
      <protection locked="0"/>
    </xf>
    <xf numFmtId="38" fontId="16" fillId="29" borderId="2" xfId="0" applyNumberFormat="1" applyFont="1" applyFill="1" applyBorder="1" applyProtection="1">
      <protection locked="0"/>
    </xf>
    <xf numFmtId="3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4" xfId="0" applyNumberFormat="1" applyFont="1" applyFill="1" applyBorder="1" applyProtection="1">
      <protection locked="0"/>
    </xf>
    <xf numFmtId="38" fontId="16" fillId="29" borderId="14" xfId="0" quotePrefix="1" applyNumberFormat="1" applyFont="1" applyFill="1" applyBorder="1" applyProtection="1">
      <protection locked="0"/>
    </xf>
    <xf numFmtId="166" fontId="16" fillId="29" borderId="14" xfId="0" applyNumberFormat="1" applyFont="1" applyFill="1" applyBorder="1" applyAlignment="1" applyProtection="1">
      <alignment horizontal="left"/>
      <protection locked="0"/>
    </xf>
    <xf numFmtId="49" fontId="16" fillId="29" borderId="1" xfId="0" quotePrefix="1" applyNumberFormat="1" applyFont="1" applyFill="1" applyBorder="1" applyProtection="1">
      <protection locked="0"/>
    </xf>
    <xf numFmtId="16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right"/>
      <protection locked="0"/>
    </xf>
    <xf numFmtId="38" fontId="16" fillId="30" borderId="1" xfId="0" applyNumberFormat="1" applyFont="1" applyFill="1" applyBorder="1" applyProtection="1">
      <protection locked="0"/>
    </xf>
    <xf numFmtId="37" fontId="16" fillId="29" borderId="1" xfId="0" applyFont="1" applyFill="1" applyBorder="1" applyProtection="1">
      <protection locked="0"/>
    </xf>
    <xf numFmtId="38" fontId="24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center"/>
      <protection locked="0"/>
    </xf>
    <xf numFmtId="37" fontId="31" fillId="29" borderId="36" xfId="0" quotePrefix="1" applyFont="1" applyFill="1" applyBorder="1" applyAlignment="1">
      <alignment horizontal="left"/>
    </xf>
    <xf numFmtId="37" fontId="6" fillId="29" borderId="34" xfId="0" applyFont="1" applyFill="1" applyBorder="1"/>
    <xf numFmtId="38" fontId="6" fillId="29" borderId="34" xfId="0" applyNumberFormat="1" applyFont="1" applyFill="1" applyBorder="1"/>
    <xf numFmtId="37" fontId="6" fillId="29" borderId="39" xfId="0" applyFont="1" applyFill="1" applyBorder="1"/>
    <xf numFmtId="37" fontId="6" fillId="29" borderId="37" xfId="0" quotePrefix="1" applyFont="1" applyFill="1" applyBorder="1" applyAlignment="1">
      <alignment vertical="center" readingOrder="1"/>
    </xf>
    <xf numFmtId="37" fontId="6" fillId="29" borderId="0" xfId="0" quotePrefix="1" applyFont="1" applyFill="1" applyAlignment="1">
      <alignment horizontal="left"/>
    </xf>
    <xf numFmtId="38" fontId="6" fillId="29" borderId="0" xfId="0" applyNumberFormat="1" applyFont="1" applyFill="1"/>
    <xf numFmtId="37" fontId="6" fillId="29" borderId="0" xfId="0" applyFont="1" applyFill="1"/>
    <xf numFmtId="37" fontId="6" fillId="29" borderId="40" xfId="0" applyFont="1" applyFill="1" applyBorder="1"/>
    <xf numFmtId="37" fontId="5" fillId="29" borderId="37" xfId="0" quotePrefix="1" applyFont="1" applyFill="1" applyBorder="1"/>
    <xf numFmtId="37" fontId="6" fillId="29" borderId="37" xfId="0" applyFont="1" applyFill="1" applyBorder="1" applyAlignment="1">
      <alignment vertical="center" readingOrder="1"/>
    </xf>
    <xf numFmtId="37" fontId="5" fillId="29" borderId="38" xfId="0" quotePrefix="1" applyFont="1" applyFill="1" applyBorder="1"/>
    <xf numFmtId="37" fontId="6" fillId="29" borderId="35" xfId="0" applyFont="1" applyFill="1" applyBorder="1"/>
    <xf numFmtId="38" fontId="6" fillId="29" borderId="35" xfId="0" applyNumberFormat="1" applyFont="1" applyFill="1" applyBorder="1"/>
    <xf numFmtId="37" fontId="6" fillId="29" borderId="41" xfId="0" applyFont="1" applyFill="1" applyBorder="1"/>
    <xf numFmtId="37" fontId="45" fillId="0" borderId="0" xfId="0" applyFont="1"/>
    <xf numFmtId="37" fontId="14" fillId="29" borderId="0" xfId="0" applyFont="1" applyFill="1" applyProtection="1">
      <protection locked="0"/>
    </xf>
    <xf numFmtId="37" fontId="42" fillId="0" borderId="0" xfId="0" applyFont="1"/>
    <xf numFmtId="37" fontId="46" fillId="0" borderId="0" xfId="0" applyFont="1"/>
    <xf numFmtId="37" fontId="43" fillId="0" borderId="0" xfId="0" applyFont="1"/>
    <xf numFmtId="37" fontId="44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4" borderId="2" xfId="0" applyFont="1" applyFill="1" applyBorder="1"/>
    <xf numFmtId="37" fontId="26" fillId="5" borderId="2" xfId="0" applyFont="1" applyFill="1" applyBorder="1"/>
    <xf numFmtId="37" fontId="29" fillId="0" borderId="0" xfId="0" applyFont="1"/>
    <xf numFmtId="37" fontId="26" fillId="5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5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5" borderId="2" xfId="0" quotePrefix="1" applyFont="1" applyFill="1" applyBorder="1"/>
    <xf numFmtId="39" fontId="26" fillId="5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5" borderId="2" xfId="0" applyNumberFormat="1" applyFont="1" applyFill="1" applyBorder="1"/>
    <xf numFmtId="2" fontId="26" fillId="0" borderId="2" xfId="0" applyNumberFormat="1" applyFont="1" applyBorder="1"/>
    <xf numFmtId="3" fontId="26" fillId="5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14" fillId="30" borderId="0" xfId="0" applyFont="1" applyFill="1"/>
    <xf numFmtId="2" fontId="14" fillId="30" borderId="0" xfId="0" applyNumberFormat="1" applyFont="1" applyFill="1"/>
    <xf numFmtId="37" fontId="16" fillId="3" borderId="0" xfId="0" applyFont="1" applyFill="1" applyAlignment="1">
      <alignment horizontal="center" vertical="center"/>
    </xf>
    <xf numFmtId="37" fontId="49" fillId="0" borderId="0" xfId="0" applyFont="1" applyAlignment="1">
      <alignment vertical="center"/>
    </xf>
    <xf numFmtId="37" fontId="14" fillId="0" borderId="0" xfId="0" quotePrefix="1" applyFont="1" applyFill="1" applyBorder="1" applyAlignment="1">
      <alignment horizontal="left"/>
    </xf>
    <xf numFmtId="37" fontId="20" fillId="0" borderId="0" xfId="0" applyFont="1" applyFill="1" applyBorder="1" applyAlignment="1">
      <alignment vertical="center" readingOrder="1"/>
    </xf>
    <xf numFmtId="37" fontId="14" fillId="0" borderId="0" xfId="0" applyFont="1" applyFill="1" applyBorder="1"/>
    <xf numFmtId="37" fontId="18" fillId="0" borderId="0" xfId="0" applyFont="1" applyFill="1" applyBorder="1" applyAlignment="1">
      <alignment vertical="center" readingOrder="1"/>
    </xf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  <xf numFmtId="0" fontId="9" fillId="0" borderId="0" xfId="631" applyAlignment="1" applyProtection="1"/>
    <xf numFmtId="37" fontId="50" fillId="0" borderId="0" xfId="0" applyFont="1" applyAlignment="1">
      <alignment horizontal="left" vertical="center" wrapText="1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oconnetr@lhd3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B427" sqref="B427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18" t="s">
        <v>1373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1372</v>
      </c>
    </row>
    <row r="8" spans="1:5" x14ac:dyDescent="0.35">
      <c r="C8" s="13"/>
    </row>
    <row r="9" spans="1:5" x14ac:dyDescent="0.35">
      <c r="A9" s="56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59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4" x14ac:dyDescent="0.35">
      <c r="A33" s="319" t="s">
        <v>26</v>
      </c>
      <c r="B33" s="320"/>
      <c r="C33" s="320"/>
      <c r="D33" s="320"/>
      <c r="E33" s="321"/>
      <c r="F33" s="321"/>
      <c r="G33" s="321"/>
    </row>
    <row r="34" spans="1:84" x14ac:dyDescent="0.35">
      <c r="A34" s="319" t="s">
        <v>27</v>
      </c>
      <c r="B34" s="322"/>
      <c r="C34" s="322"/>
      <c r="D34" s="322"/>
      <c r="E34" s="321"/>
      <c r="F34" s="321"/>
      <c r="G34" s="321"/>
    </row>
    <row r="35" spans="1:84" x14ac:dyDescent="0.35">
      <c r="A35" s="321"/>
      <c r="B35" s="322"/>
      <c r="C35" s="322"/>
      <c r="D35" s="322"/>
      <c r="E35" s="321"/>
      <c r="F35" s="321"/>
      <c r="G35" s="321"/>
    </row>
    <row r="36" spans="1:84" x14ac:dyDescent="0.35">
      <c r="A36" s="323" t="s">
        <v>28</v>
      </c>
      <c r="B36" s="324"/>
      <c r="C36" s="325"/>
      <c r="D36" s="324"/>
      <c r="E36" s="324"/>
      <c r="F36" s="324"/>
      <c r="G36" s="324"/>
    </row>
    <row r="37" spans="1:84" x14ac:dyDescent="0.35">
      <c r="A37" s="326" t="s">
        <v>29</v>
      </c>
      <c r="B37" s="327"/>
      <c r="C37" s="325"/>
      <c r="D37" s="324"/>
      <c r="E37" s="324"/>
      <c r="F37" s="324"/>
      <c r="G37" s="324"/>
    </row>
    <row r="38" spans="1:84" x14ac:dyDescent="0.35">
      <c r="A38" s="328" t="s">
        <v>30</v>
      </c>
      <c r="B38" s="327"/>
      <c r="C38" s="325"/>
      <c r="D38" s="324"/>
      <c r="E38" s="324"/>
      <c r="F38" s="324"/>
      <c r="G38" s="324"/>
    </row>
    <row r="39" spans="1:84" x14ac:dyDescent="0.35">
      <c r="A39" s="329" t="s">
        <v>31</v>
      </c>
      <c r="B39" s="324"/>
      <c r="C39" s="325"/>
      <c r="D39" s="324"/>
      <c r="E39" s="324"/>
      <c r="F39" s="324"/>
      <c r="G39" s="324"/>
    </row>
    <row r="40" spans="1:84" x14ac:dyDescent="0.35">
      <c r="A40" s="328" t="s">
        <v>32</v>
      </c>
      <c r="B40" s="324"/>
      <c r="C40" s="325"/>
      <c r="D40" s="324"/>
      <c r="E40" s="324"/>
      <c r="F40" s="324"/>
      <c r="G40" s="324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450027.57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332707.73</v>
      </c>
      <c r="M47" s="235">
        <v>0</v>
      </c>
      <c r="N47" s="235">
        <v>26226.44</v>
      </c>
      <c r="O47" s="235">
        <v>0</v>
      </c>
      <c r="P47" s="235">
        <v>123586.87</v>
      </c>
      <c r="Q47" s="235">
        <v>0</v>
      </c>
      <c r="R47" s="235">
        <v>86868.19</v>
      </c>
      <c r="S47" s="235">
        <v>0</v>
      </c>
      <c r="T47" s="235">
        <v>0</v>
      </c>
      <c r="U47" s="235">
        <v>147672.35999999999</v>
      </c>
      <c r="V47" s="235">
        <v>0</v>
      </c>
      <c r="W47" s="235">
        <v>0</v>
      </c>
      <c r="X47" s="235">
        <v>0</v>
      </c>
      <c r="Y47" s="235">
        <v>145155.54999999999</v>
      </c>
      <c r="Z47" s="235">
        <v>0</v>
      </c>
      <c r="AA47" s="235">
        <v>0</v>
      </c>
      <c r="AB47" s="235">
        <v>86479.360000000001</v>
      </c>
      <c r="AC47" s="235">
        <v>24013.53</v>
      </c>
      <c r="AD47" s="235">
        <v>0</v>
      </c>
      <c r="AE47" s="235">
        <v>136597.60999999999</v>
      </c>
      <c r="AF47" s="235">
        <v>0</v>
      </c>
      <c r="AG47" s="235">
        <v>42023.64</v>
      </c>
      <c r="AH47" s="235">
        <v>11793.14</v>
      </c>
      <c r="AI47" s="235">
        <v>0</v>
      </c>
      <c r="AJ47" s="235">
        <v>823581.01</v>
      </c>
      <c r="AK47" s="235">
        <v>18131.87</v>
      </c>
      <c r="AL47" s="235">
        <v>7897.36</v>
      </c>
      <c r="AM47" s="235">
        <v>13226.93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28861.23</v>
      </c>
      <c r="AW47" s="235">
        <v>0</v>
      </c>
      <c r="AX47" s="235">
        <v>0</v>
      </c>
      <c r="AY47" s="235">
        <v>136064.54</v>
      </c>
      <c r="AZ47" s="235">
        <v>0</v>
      </c>
      <c r="BA47" s="235">
        <v>31081.57</v>
      </c>
      <c r="BB47" s="235">
        <v>19745.2</v>
      </c>
      <c r="BC47" s="235">
        <v>0</v>
      </c>
      <c r="BD47" s="235">
        <v>41792.89</v>
      </c>
      <c r="BE47" s="235">
        <v>72910.97</v>
      </c>
      <c r="BF47" s="235">
        <v>65370.75</v>
      </c>
      <c r="BG47" s="235">
        <v>0</v>
      </c>
      <c r="BH47" s="235">
        <v>56691.23</v>
      </c>
      <c r="BI47" s="235">
        <v>0</v>
      </c>
      <c r="BJ47" s="235">
        <v>71530.100000000006</v>
      </c>
      <c r="BK47" s="235">
        <v>142494.34</v>
      </c>
      <c r="BL47" s="235">
        <v>143435.5</v>
      </c>
      <c r="BM47" s="235">
        <v>0</v>
      </c>
      <c r="BN47" s="235">
        <v>308013.44</v>
      </c>
      <c r="BO47" s="235">
        <v>22144.75</v>
      </c>
      <c r="BP47" s="235">
        <v>0</v>
      </c>
      <c r="BQ47" s="235">
        <v>0</v>
      </c>
      <c r="BR47" s="235">
        <v>42143.65</v>
      </c>
      <c r="BS47" s="235">
        <v>0</v>
      </c>
      <c r="BT47" s="235">
        <v>0</v>
      </c>
      <c r="BU47" s="235">
        <v>0</v>
      </c>
      <c r="BV47" s="235">
        <v>42602.78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19914.78</v>
      </c>
      <c r="CD47" s="16"/>
      <c r="CE47" s="25">
        <f>SUM(C47:CC47)</f>
        <v>3720786.88</v>
      </c>
      <c r="CF47" s="315">
        <v>0</v>
      </c>
    </row>
    <row r="48" spans="1:84" x14ac:dyDescent="0.35">
      <c r="A48" s="25" t="s">
        <v>232</v>
      </c>
      <c r="B48" s="234">
        <v>0</v>
      </c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  <c r="CF48" s="315">
        <v>0</v>
      </c>
    </row>
    <row r="49" spans="1:84" x14ac:dyDescent="0.35">
      <c r="A49" s="16" t="s">
        <v>233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35">
      <c r="A51" s="21" t="s">
        <v>234</v>
      </c>
      <c r="B51" s="235">
        <v>0</v>
      </c>
      <c r="C51" s="235">
        <v>0</v>
      </c>
      <c r="D51" s="235">
        <v>0</v>
      </c>
      <c r="E51" s="235">
        <v>103194.19</v>
      </c>
      <c r="F51" s="235"/>
      <c r="G51" s="235"/>
      <c r="H51" s="235"/>
      <c r="I51" s="235"/>
      <c r="J51" s="235"/>
      <c r="K51" s="235">
        <v>16583.59</v>
      </c>
      <c r="L51" s="235">
        <v>16583.59</v>
      </c>
      <c r="M51" s="235"/>
      <c r="N51" s="235"/>
      <c r="O51" s="235"/>
      <c r="P51" s="235">
        <v>66462.720000000001</v>
      </c>
      <c r="Q51" s="235"/>
      <c r="R51" s="235"/>
      <c r="S51" s="235"/>
      <c r="T51" s="235"/>
      <c r="U51" s="235">
        <v>33339</v>
      </c>
      <c r="V51" s="235"/>
      <c r="W51" s="235"/>
      <c r="X51" s="235">
        <v>710.28</v>
      </c>
      <c r="Y51" s="235">
        <v>154798.63</v>
      </c>
      <c r="Z51" s="235"/>
      <c r="AA51" s="235"/>
      <c r="AB51" s="235"/>
      <c r="AC51" s="235"/>
      <c r="AD51" s="235"/>
      <c r="AE51" s="235">
        <v>23074.18</v>
      </c>
      <c r="AF51" s="235"/>
      <c r="AG51" s="235">
        <v>9578.15</v>
      </c>
      <c r="AH51" s="235">
        <v>34759.65</v>
      </c>
      <c r="AI51" s="235"/>
      <c r="AJ51" s="235">
        <v>32395.09</v>
      </c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>
        <v>723</v>
      </c>
      <c r="AZ51" s="235"/>
      <c r="BA51" s="235">
        <v>819.36</v>
      </c>
      <c r="BB51" s="235"/>
      <c r="BC51" s="235"/>
      <c r="BD51" s="235"/>
      <c r="BE51" s="235">
        <v>31537.279999999999</v>
      </c>
      <c r="BF51" s="235">
        <v>2151.84</v>
      </c>
      <c r="BG51" s="235"/>
      <c r="BH51" s="235">
        <v>582726.57000000007</v>
      </c>
      <c r="BI51" s="235"/>
      <c r="BJ51" s="235">
        <v>22433.32</v>
      </c>
      <c r="BK51" s="235"/>
      <c r="BL51" s="235"/>
      <c r="BM51" s="235"/>
      <c r="BN51" s="235">
        <v>3396.64</v>
      </c>
      <c r="BO51" s="235"/>
      <c r="BP51" s="235"/>
      <c r="BQ51" s="235"/>
      <c r="BR51" s="235">
        <v>5000.0200000000004</v>
      </c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>
        <v>459497.16</v>
      </c>
      <c r="CD51" s="16"/>
      <c r="CE51" s="25">
        <f>SUM(C51:CD51)</f>
        <v>1599764.26</v>
      </c>
      <c r="CF51" s="315">
        <v>0</v>
      </c>
    </row>
    <row r="52" spans="1:84" x14ac:dyDescent="0.35">
      <c r="A52" s="31" t="s">
        <v>235</v>
      </c>
      <c r="B52" s="234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  <c r="CF52" s="315">
        <v>0</v>
      </c>
    </row>
    <row r="53" spans="1:84" x14ac:dyDescent="0.35">
      <c r="A53" s="16" t="s">
        <v>233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35">
      <c r="A59" s="31" t="s">
        <v>261</v>
      </c>
      <c r="B59" s="25"/>
      <c r="C59" s="235">
        <v>0</v>
      </c>
      <c r="D59" s="235">
        <v>0</v>
      </c>
      <c r="E59" s="235">
        <v>801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3846</v>
      </c>
      <c r="M59" s="235">
        <v>0</v>
      </c>
      <c r="N59" s="235">
        <v>569</v>
      </c>
      <c r="O59" s="235">
        <v>0</v>
      </c>
      <c r="P59" s="236">
        <v>22687</v>
      </c>
      <c r="Q59" s="237">
        <v>0</v>
      </c>
      <c r="R59" s="237">
        <v>27656</v>
      </c>
      <c r="S59" s="230">
        <v>0</v>
      </c>
      <c r="T59" s="230">
        <v>0</v>
      </c>
      <c r="U59" s="238">
        <v>62249</v>
      </c>
      <c r="V59" s="237">
        <v>156</v>
      </c>
      <c r="W59" s="237">
        <v>519</v>
      </c>
      <c r="X59" s="237">
        <v>2088</v>
      </c>
      <c r="Y59" s="237">
        <v>8395</v>
      </c>
      <c r="Z59" s="237">
        <v>0</v>
      </c>
      <c r="AA59" s="237">
        <v>0</v>
      </c>
      <c r="AB59" s="230">
        <v>0</v>
      </c>
      <c r="AC59" s="237">
        <v>4609</v>
      </c>
      <c r="AD59" s="237">
        <v>0</v>
      </c>
      <c r="AE59" s="237">
        <v>5796</v>
      </c>
      <c r="AF59" s="237">
        <v>0</v>
      </c>
      <c r="AG59" s="237">
        <v>3848</v>
      </c>
      <c r="AH59" s="237">
        <v>428</v>
      </c>
      <c r="AI59" s="237">
        <v>0</v>
      </c>
      <c r="AJ59" s="237">
        <v>21752</v>
      </c>
      <c r="AK59" s="237">
        <f>24+141</f>
        <v>165</v>
      </c>
      <c r="AL59" s="237">
        <v>0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13532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62296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315">
        <v>0</v>
      </c>
    </row>
    <row r="60" spans="1:84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v>18.940000000000001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16.55</v>
      </c>
      <c r="M60" s="239">
        <v>0</v>
      </c>
      <c r="N60" s="239">
        <v>0.94</v>
      </c>
      <c r="O60" s="239">
        <v>0</v>
      </c>
      <c r="P60" s="236">
        <f>3.36+0.77</f>
        <v>4.13</v>
      </c>
      <c r="Q60" s="236">
        <v>0</v>
      </c>
      <c r="R60" s="236">
        <v>1.42</v>
      </c>
      <c r="S60" s="240">
        <v>0</v>
      </c>
      <c r="T60" s="240">
        <v>0</v>
      </c>
      <c r="U60" s="241">
        <v>7.39</v>
      </c>
      <c r="V60" s="236">
        <v>0</v>
      </c>
      <c r="W60" s="236">
        <v>0</v>
      </c>
      <c r="X60" s="236">
        <v>0</v>
      </c>
      <c r="Y60" s="236">
        <v>6.64</v>
      </c>
      <c r="Z60" s="236">
        <v>0</v>
      </c>
      <c r="AA60" s="236">
        <v>0</v>
      </c>
      <c r="AB60" s="240">
        <v>2.59</v>
      </c>
      <c r="AC60" s="236">
        <v>2.19</v>
      </c>
      <c r="AD60" s="236">
        <v>0</v>
      </c>
      <c r="AE60" s="236">
        <v>5.33</v>
      </c>
      <c r="AF60" s="236">
        <v>0</v>
      </c>
      <c r="AG60" s="236">
        <v>4.08</v>
      </c>
      <c r="AH60" s="236">
        <v>1.47</v>
      </c>
      <c r="AI60" s="236">
        <v>0</v>
      </c>
      <c r="AJ60" s="236">
        <f>5.37+20.45+3.9+5.02</f>
        <v>34.739999999999995</v>
      </c>
      <c r="AK60" s="236">
        <v>0.69</v>
      </c>
      <c r="AL60" s="236">
        <v>0.64</v>
      </c>
      <c r="AM60" s="236">
        <v>2.19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3.01</v>
      </c>
      <c r="AW60" s="240">
        <v>0</v>
      </c>
      <c r="AX60" s="240">
        <v>0</v>
      </c>
      <c r="AY60" s="236">
        <v>9.01</v>
      </c>
      <c r="AZ60" s="236">
        <v>0</v>
      </c>
      <c r="BA60" s="240">
        <v>2.84</v>
      </c>
      <c r="BB60" s="240">
        <v>1</v>
      </c>
      <c r="BC60" s="240">
        <v>0</v>
      </c>
      <c r="BD60" s="240">
        <v>1.89</v>
      </c>
      <c r="BE60" s="236">
        <v>3.97</v>
      </c>
      <c r="BF60" s="240">
        <v>6.08</v>
      </c>
      <c r="BG60" s="240">
        <v>0</v>
      </c>
      <c r="BH60" s="240">
        <v>2.95</v>
      </c>
      <c r="BI60" s="240">
        <v>0</v>
      </c>
      <c r="BJ60" s="240">
        <v>2.94</v>
      </c>
      <c r="BK60" s="240">
        <f>6.19+3.98</f>
        <v>10.17</v>
      </c>
      <c r="BL60" s="240">
        <f>5.4+8.39</f>
        <v>13.790000000000001</v>
      </c>
      <c r="BM60" s="240">
        <v>0</v>
      </c>
      <c r="BN60" s="240">
        <v>5.64</v>
      </c>
      <c r="BO60" s="240">
        <v>0.5</v>
      </c>
      <c r="BP60" s="240">
        <v>0</v>
      </c>
      <c r="BQ60" s="240">
        <v>0</v>
      </c>
      <c r="BR60" s="240">
        <v>2.09</v>
      </c>
      <c r="BS60" s="240">
        <v>0</v>
      </c>
      <c r="BT60" s="240">
        <v>0</v>
      </c>
      <c r="BU60" s="240">
        <v>0</v>
      </c>
      <c r="BV60" s="240">
        <v>2.83</v>
      </c>
      <c r="BW60" s="240">
        <v>0</v>
      </c>
      <c r="BX60" s="240">
        <v>0</v>
      </c>
      <c r="BY60" s="240">
        <v>0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f t="shared" ref="CE60:CE68" si="6">SUM(C60:CD60)</f>
        <v>178.64</v>
      </c>
      <c r="CF60" s="316">
        <v>0</v>
      </c>
    </row>
    <row r="61" spans="1:84" x14ac:dyDescent="0.35">
      <c r="A61" s="31" t="s">
        <v>263</v>
      </c>
      <c r="B61" s="16"/>
      <c r="C61" s="235">
        <v>0</v>
      </c>
      <c r="D61" s="235">
        <v>0</v>
      </c>
      <c r="E61" s="235">
        <v>1983822.35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1284393.6100000001</v>
      </c>
      <c r="M61" s="235">
        <v>0</v>
      </c>
      <c r="N61" s="235">
        <v>84341.17</v>
      </c>
      <c r="O61" s="235">
        <v>0</v>
      </c>
      <c r="P61" s="237">
        <v>444246.12</v>
      </c>
      <c r="Q61" s="237">
        <v>0</v>
      </c>
      <c r="R61" s="237">
        <v>524956.57999999996</v>
      </c>
      <c r="S61" s="242">
        <v>0</v>
      </c>
      <c r="T61" s="242">
        <v>0</v>
      </c>
      <c r="U61" s="238">
        <v>704669.51</v>
      </c>
      <c r="V61" s="237">
        <v>0</v>
      </c>
      <c r="W61" s="237">
        <v>0</v>
      </c>
      <c r="X61" s="237">
        <v>0</v>
      </c>
      <c r="Y61" s="237">
        <v>695951.09</v>
      </c>
      <c r="Z61" s="237">
        <v>0</v>
      </c>
      <c r="AA61" s="237">
        <v>0</v>
      </c>
      <c r="AB61" s="243">
        <v>323365.92</v>
      </c>
      <c r="AC61" s="237">
        <v>201990.05</v>
      </c>
      <c r="AD61" s="237">
        <v>0</v>
      </c>
      <c r="AE61" s="237">
        <v>621969.15</v>
      </c>
      <c r="AF61" s="237">
        <v>0</v>
      </c>
      <c r="AG61" s="237">
        <v>640788.42000000004</v>
      </c>
      <c r="AH61" s="237">
        <v>166779.48000000001</v>
      </c>
      <c r="AI61" s="237">
        <v>0</v>
      </c>
      <c r="AJ61" s="237">
        <v>4480435.91</v>
      </c>
      <c r="AK61" s="237">
        <v>81459.48</v>
      </c>
      <c r="AL61" s="237">
        <v>41541.699999999997</v>
      </c>
      <c r="AM61" s="237">
        <v>50196.94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284872.40999999997</v>
      </c>
      <c r="AW61" s="242">
        <v>0</v>
      </c>
      <c r="AX61" s="242">
        <v>0</v>
      </c>
      <c r="AY61" s="237">
        <v>479618.34</v>
      </c>
      <c r="AZ61" s="237">
        <v>0</v>
      </c>
      <c r="BA61" s="242">
        <v>97432.53</v>
      </c>
      <c r="BB61" s="242">
        <v>90115.1</v>
      </c>
      <c r="BC61" s="242">
        <v>0</v>
      </c>
      <c r="BD61" s="242">
        <v>142726.54</v>
      </c>
      <c r="BE61" s="237">
        <v>253399.12</v>
      </c>
      <c r="BF61" s="242">
        <v>290326.3</v>
      </c>
      <c r="BG61" s="242">
        <v>0</v>
      </c>
      <c r="BH61" s="242">
        <v>227765.35</v>
      </c>
      <c r="BI61" s="242">
        <v>0</v>
      </c>
      <c r="BJ61" s="242">
        <v>327477.13</v>
      </c>
      <c r="BK61" s="242">
        <v>517218.64</v>
      </c>
      <c r="BL61" s="242">
        <v>615918.04</v>
      </c>
      <c r="BM61" s="242">
        <v>0</v>
      </c>
      <c r="BN61" s="242">
        <v>656600.65</v>
      </c>
      <c r="BO61" s="242">
        <v>51966.52</v>
      </c>
      <c r="BP61" s="242">
        <v>0</v>
      </c>
      <c r="BQ61" s="242">
        <v>0</v>
      </c>
      <c r="BR61" s="242">
        <v>167267.51999999999</v>
      </c>
      <c r="BS61" s="242">
        <v>0</v>
      </c>
      <c r="BT61" s="242">
        <v>0</v>
      </c>
      <c r="BU61" s="242">
        <v>0</v>
      </c>
      <c r="BV61" s="242">
        <v>138323.46</v>
      </c>
      <c r="BW61" s="242">
        <v>0</v>
      </c>
      <c r="BX61" s="242">
        <v>0</v>
      </c>
      <c r="BY61" s="242">
        <v>0</v>
      </c>
      <c r="BZ61" s="242">
        <v>0</v>
      </c>
      <c r="CA61" s="242">
        <v>0</v>
      </c>
      <c r="CB61" s="242">
        <v>0</v>
      </c>
      <c r="CC61" s="242">
        <v>0.01</v>
      </c>
      <c r="CD61" s="24" t="s">
        <v>248</v>
      </c>
      <c r="CE61" s="25">
        <f t="shared" si="6"/>
        <v>16671935.139999997</v>
      </c>
      <c r="CF61" s="315">
        <v>0</v>
      </c>
    </row>
    <row r="62" spans="1:84" x14ac:dyDescent="0.3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450028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332708</v>
      </c>
      <c r="M62" s="25">
        <f t="shared" si="7"/>
        <v>0</v>
      </c>
      <c r="N62" s="25">
        <f t="shared" si="7"/>
        <v>26226</v>
      </c>
      <c r="O62" s="25">
        <f t="shared" si="7"/>
        <v>0</v>
      </c>
      <c r="P62" s="25">
        <f t="shared" si="7"/>
        <v>123587</v>
      </c>
      <c r="Q62" s="25">
        <f t="shared" si="7"/>
        <v>0</v>
      </c>
      <c r="R62" s="25">
        <f t="shared" si="7"/>
        <v>86868</v>
      </c>
      <c r="S62" s="25">
        <f t="shared" si="7"/>
        <v>0</v>
      </c>
      <c r="T62" s="25">
        <f t="shared" si="7"/>
        <v>0</v>
      </c>
      <c r="U62" s="25">
        <f t="shared" si="7"/>
        <v>147672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145156</v>
      </c>
      <c r="Z62" s="25">
        <f t="shared" si="7"/>
        <v>0</v>
      </c>
      <c r="AA62" s="25">
        <f t="shared" si="7"/>
        <v>0</v>
      </c>
      <c r="AB62" s="25">
        <f t="shared" si="7"/>
        <v>86479</v>
      </c>
      <c r="AC62" s="25">
        <f t="shared" si="7"/>
        <v>24014</v>
      </c>
      <c r="AD62" s="25">
        <f t="shared" si="7"/>
        <v>0</v>
      </c>
      <c r="AE62" s="25">
        <f t="shared" si="7"/>
        <v>136598</v>
      </c>
      <c r="AF62" s="25">
        <f t="shared" si="7"/>
        <v>0</v>
      </c>
      <c r="AG62" s="25">
        <f t="shared" si="7"/>
        <v>42024</v>
      </c>
      <c r="AH62" s="25">
        <f t="shared" si="7"/>
        <v>11793</v>
      </c>
      <c r="AI62" s="25">
        <f t="shared" ref="AI62:BN62" si="8">ROUND(AI47+AI48,0)</f>
        <v>0</v>
      </c>
      <c r="AJ62" s="25">
        <f t="shared" si="8"/>
        <v>823581</v>
      </c>
      <c r="AK62" s="25">
        <f t="shared" si="8"/>
        <v>18132</v>
      </c>
      <c r="AL62" s="25">
        <f t="shared" si="8"/>
        <v>7897</v>
      </c>
      <c r="AM62" s="25">
        <f t="shared" si="8"/>
        <v>13227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28861</v>
      </c>
      <c r="AW62" s="25">
        <f t="shared" si="8"/>
        <v>0</v>
      </c>
      <c r="AX62" s="25">
        <f t="shared" si="8"/>
        <v>0</v>
      </c>
      <c r="AY62" s="25">
        <f t="shared" si="8"/>
        <v>136065</v>
      </c>
      <c r="AZ62" s="25">
        <f t="shared" si="8"/>
        <v>0</v>
      </c>
      <c r="BA62" s="25">
        <f t="shared" si="8"/>
        <v>31082</v>
      </c>
      <c r="BB62" s="25">
        <f t="shared" si="8"/>
        <v>19745</v>
      </c>
      <c r="BC62" s="25">
        <f t="shared" si="8"/>
        <v>0</v>
      </c>
      <c r="BD62" s="25">
        <f t="shared" si="8"/>
        <v>41793</v>
      </c>
      <c r="BE62" s="25">
        <f t="shared" si="8"/>
        <v>72911</v>
      </c>
      <c r="BF62" s="25">
        <f t="shared" si="8"/>
        <v>65371</v>
      </c>
      <c r="BG62" s="25">
        <f t="shared" si="8"/>
        <v>0</v>
      </c>
      <c r="BH62" s="25">
        <f t="shared" si="8"/>
        <v>56691</v>
      </c>
      <c r="BI62" s="25">
        <f t="shared" si="8"/>
        <v>0</v>
      </c>
      <c r="BJ62" s="25">
        <f t="shared" si="8"/>
        <v>71530</v>
      </c>
      <c r="BK62" s="25">
        <f t="shared" si="8"/>
        <v>142494</v>
      </c>
      <c r="BL62" s="25">
        <f t="shared" si="8"/>
        <v>143436</v>
      </c>
      <c r="BM62" s="25">
        <f t="shared" si="8"/>
        <v>0</v>
      </c>
      <c r="BN62" s="25">
        <f t="shared" si="8"/>
        <v>308013</v>
      </c>
      <c r="BO62" s="25">
        <f t="shared" ref="BO62:CC62" si="9">ROUND(BO47+BO48,0)</f>
        <v>22145</v>
      </c>
      <c r="BP62" s="25">
        <f t="shared" si="9"/>
        <v>0</v>
      </c>
      <c r="BQ62" s="25">
        <f t="shared" si="9"/>
        <v>0</v>
      </c>
      <c r="BR62" s="25">
        <f t="shared" si="9"/>
        <v>42144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42603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19915</v>
      </c>
      <c r="CD62" s="24" t="s">
        <v>248</v>
      </c>
      <c r="CE62" s="25">
        <f t="shared" si="6"/>
        <v>3720789</v>
      </c>
      <c r="CF62" s="315">
        <v>0</v>
      </c>
    </row>
    <row r="63" spans="1:84" x14ac:dyDescent="0.35">
      <c r="A63" s="31" t="s">
        <v>264</v>
      </c>
      <c r="B63" s="16"/>
      <c r="C63" s="235">
        <v>0</v>
      </c>
      <c r="D63" s="235">
        <v>0</v>
      </c>
      <c r="E63" s="235">
        <v>2232.17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7970.4</v>
      </c>
      <c r="Q63" s="237">
        <v>0</v>
      </c>
      <c r="R63" s="237">
        <v>0</v>
      </c>
      <c r="S63" s="242">
        <v>0</v>
      </c>
      <c r="T63" s="242">
        <v>0</v>
      </c>
      <c r="U63" s="238">
        <v>152928.74</v>
      </c>
      <c r="V63" s="237">
        <v>208</v>
      </c>
      <c r="W63" s="237">
        <v>268585.06</v>
      </c>
      <c r="X63" s="237">
        <v>35013.699999999997</v>
      </c>
      <c r="Y63" s="237">
        <v>103475.39</v>
      </c>
      <c r="Z63" s="237">
        <v>0</v>
      </c>
      <c r="AA63" s="237">
        <v>0</v>
      </c>
      <c r="AB63" s="243">
        <v>63445.279999999999</v>
      </c>
      <c r="AC63" s="237">
        <v>885.2</v>
      </c>
      <c r="AD63" s="237">
        <v>0</v>
      </c>
      <c r="AE63" s="237">
        <v>0</v>
      </c>
      <c r="AF63" s="237">
        <v>0</v>
      </c>
      <c r="AG63" s="237">
        <v>2197.9299999999998</v>
      </c>
      <c r="AH63" s="237">
        <v>3855.42</v>
      </c>
      <c r="AI63" s="237">
        <v>0</v>
      </c>
      <c r="AJ63" s="237">
        <v>19860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2653.5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3734.7</v>
      </c>
      <c r="BL63" s="242">
        <v>0</v>
      </c>
      <c r="BM63" s="242">
        <v>0</v>
      </c>
      <c r="BN63" s="242">
        <v>40432.080000000002</v>
      </c>
      <c r="BO63" s="242">
        <v>0</v>
      </c>
      <c r="BP63" s="242">
        <v>0</v>
      </c>
      <c r="BQ63" s="242">
        <v>0</v>
      </c>
      <c r="BR63" s="242">
        <v>2488.08</v>
      </c>
      <c r="BS63" s="242">
        <v>0</v>
      </c>
      <c r="BT63" s="242">
        <v>0</v>
      </c>
      <c r="BU63" s="242">
        <v>0</v>
      </c>
      <c r="BV63" s="242">
        <v>50755.37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760721.0199999999</v>
      </c>
      <c r="CF63" s="315">
        <v>0</v>
      </c>
    </row>
    <row r="64" spans="1:84" x14ac:dyDescent="0.35">
      <c r="A64" s="31" t="s">
        <v>265</v>
      </c>
      <c r="B64" s="16"/>
      <c r="C64" s="235">
        <v>0</v>
      </c>
      <c r="D64" s="235">
        <v>0</v>
      </c>
      <c r="E64" s="235">
        <v>70790.039999999994</v>
      </c>
      <c r="F64" s="235"/>
      <c r="G64" s="235"/>
      <c r="H64" s="235"/>
      <c r="I64" s="235"/>
      <c r="J64" s="235"/>
      <c r="K64" s="235">
        <v>0</v>
      </c>
      <c r="L64" s="235">
        <v>28128.07</v>
      </c>
      <c r="M64" s="235"/>
      <c r="N64" s="235">
        <v>12709.59</v>
      </c>
      <c r="O64" s="235"/>
      <c r="P64" s="237">
        <v>220202.87000000002</v>
      </c>
      <c r="Q64" s="237"/>
      <c r="R64" s="237">
        <v>15991.399999999998</v>
      </c>
      <c r="S64" s="242"/>
      <c r="T64" s="242">
        <v>0</v>
      </c>
      <c r="U64" s="238">
        <v>442927.55</v>
      </c>
      <c r="V64" s="237">
        <v>0</v>
      </c>
      <c r="W64" s="237">
        <v>0</v>
      </c>
      <c r="X64" s="237">
        <v>0</v>
      </c>
      <c r="Y64" s="237">
        <v>50736.240000000005</v>
      </c>
      <c r="Z64" s="237"/>
      <c r="AA64" s="237"/>
      <c r="AB64" s="243">
        <f>558842.44+194239.73</f>
        <v>753082.16999999993</v>
      </c>
      <c r="AC64" s="237">
        <v>19810.75</v>
      </c>
      <c r="AD64" s="237"/>
      <c r="AE64" s="237">
        <v>7729.2899999999991</v>
      </c>
      <c r="AF64" s="237"/>
      <c r="AG64" s="237">
        <v>81911.649999999994</v>
      </c>
      <c r="AH64" s="237">
        <v>9580.4700000000012</v>
      </c>
      <c r="AI64" s="237"/>
      <c r="AJ64" s="237">
        <v>196976.1</v>
      </c>
      <c r="AK64" s="237">
        <v>39.700000000000003</v>
      </c>
      <c r="AL64" s="237">
        <v>0</v>
      </c>
      <c r="AM64" s="237">
        <v>577.44000000000005</v>
      </c>
      <c r="AN64" s="237"/>
      <c r="AO64" s="237">
        <v>0</v>
      </c>
      <c r="AP64" s="237"/>
      <c r="AQ64" s="237"/>
      <c r="AR64" s="237"/>
      <c r="AS64" s="237"/>
      <c r="AT64" s="237"/>
      <c r="AU64" s="237"/>
      <c r="AV64" s="242">
        <v>83402.62</v>
      </c>
      <c r="AW64" s="242"/>
      <c r="AX64" s="242"/>
      <c r="AY64" s="237">
        <v>252287.66999999998</v>
      </c>
      <c r="AZ64" s="237"/>
      <c r="BA64" s="242">
        <v>5522.28</v>
      </c>
      <c r="BB64" s="242">
        <v>0</v>
      </c>
      <c r="BC64" s="242"/>
      <c r="BD64" s="242">
        <v>156785.87</v>
      </c>
      <c r="BE64" s="237">
        <v>25122.13</v>
      </c>
      <c r="BF64" s="242">
        <v>14608.009999999998</v>
      </c>
      <c r="BG64" s="242"/>
      <c r="BH64" s="242">
        <v>90862.040000000008</v>
      </c>
      <c r="BI64" s="242"/>
      <c r="BJ64" s="242">
        <v>968.78</v>
      </c>
      <c r="BK64" s="242">
        <v>12423.2</v>
      </c>
      <c r="BL64" s="242">
        <v>3603.07</v>
      </c>
      <c r="BM64" s="242"/>
      <c r="BN64" s="242">
        <v>9750.26</v>
      </c>
      <c r="BO64" s="242">
        <v>1247.72</v>
      </c>
      <c r="BP64" s="242"/>
      <c r="BQ64" s="242"/>
      <c r="BR64" s="242">
        <v>3128.17</v>
      </c>
      <c r="BS64" s="242"/>
      <c r="BT64" s="242"/>
      <c r="BU64" s="242"/>
      <c r="BV64" s="242">
        <v>32.270000000000003</v>
      </c>
      <c r="BW64" s="242"/>
      <c r="BX64" s="242"/>
      <c r="BY64" s="242"/>
      <c r="BZ64" s="242"/>
      <c r="CA64" s="242"/>
      <c r="CB64" s="242">
        <v>4549.72</v>
      </c>
      <c r="CC64" s="242">
        <v>1657.74</v>
      </c>
      <c r="CD64" s="24" t="s">
        <v>248</v>
      </c>
      <c r="CE64" s="25">
        <f t="shared" si="6"/>
        <v>2577144.8799999994</v>
      </c>
      <c r="CF64" s="315">
        <v>0</v>
      </c>
    </row>
    <row r="65" spans="1:84" x14ac:dyDescent="0.35">
      <c r="A65" s="31" t="s">
        <v>266</v>
      </c>
      <c r="B65" s="16"/>
      <c r="C65" s="235">
        <v>0</v>
      </c>
      <c r="D65" s="235">
        <v>0</v>
      </c>
      <c r="E65" s="235">
        <v>3195.35</v>
      </c>
      <c r="F65" s="235"/>
      <c r="G65" s="235"/>
      <c r="H65" s="235"/>
      <c r="I65" s="235"/>
      <c r="J65" s="235"/>
      <c r="K65" s="235">
        <v>0</v>
      </c>
      <c r="L65" s="235">
        <v>1635.14</v>
      </c>
      <c r="M65" s="235"/>
      <c r="N65" s="235"/>
      <c r="O65" s="235"/>
      <c r="P65" s="237">
        <v>-25.39</v>
      </c>
      <c r="Q65" s="237"/>
      <c r="R65" s="237">
        <v>1700</v>
      </c>
      <c r="S65" s="242"/>
      <c r="T65" s="242"/>
      <c r="U65" s="238">
        <v>1587.78</v>
      </c>
      <c r="V65" s="237">
        <v>963.36</v>
      </c>
      <c r="W65" s="237"/>
      <c r="X65" s="237"/>
      <c r="Y65" s="237"/>
      <c r="Z65" s="237"/>
      <c r="AA65" s="237"/>
      <c r="AB65" s="243"/>
      <c r="AC65" s="237"/>
      <c r="AD65" s="237"/>
      <c r="AE65" s="237">
        <v>7318.36</v>
      </c>
      <c r="AF65" s="237"/>
      <c r="AG65" s="237"/>
      <c r="AH65" s="237">
        <v>10994.83</v>
      </c>
      <c r="AI65" s="237"/>
      <c r="AJ65" s="237">
        <v>55843.58</v>
      </c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42"/>
      <c r="AW65" s="242"/>
      <c r="AX65" s="242"/>
      <c r="AY65" s="237"/>
      <c r="AZ65" s="237"/>
      <c r="BA65" s="242"/>
      <c r="BB65" s="242"/>
      <c r="BC65" s="242"/>
      <c r="BD65" s="242">
        <v>25.55</v>
      </c>
      <c r="BE65" s="237">
        <v>320167.70000000007</v>
      </c>
      <c r="BF65" s="242">
        <v>83.76</v>
      </c>
      <c r="BG65" s="242"/>
      <c r="BH65" s="242">
        <v>83133.36</v>
      </c>
      <c r="BI65" s="242"/>
      <c r="BJ65" s="242">
        <v>56.78</v>
      </c>
      <c r="BK65" s="242">
        <v>23182.21</v>
      </c>
      <c r="BL65" s="242"/>
      <c r="BM65" s="242"/>
      <c r="BN65" s="242">
        <v>163.34</v>
      </c>
      <c r="BO65" s="242"/>
      <c r="BP65" s="242"/>
      <c r="BQ65" s="242"/>
      <c r="BR65" s="242"/>
      <c r="BS65" s="242"/>
      <c r="BT65" s="242"/>
      <c r="BU65" s="242"/>
      <c r="BV65" s="242">
        <v>1110.3800000000001</v>
      </c>
      <c r="BW65" s="242"/>
      <c r="BX65" s="242"/>
      <c r="BY65" s="242"/>
      <c r="BZ65" s="242"/>
      <c r="CA65" s="242"/>
      <c r="CB65" s="242"/>
      <c r="CC65" s="242"/>
      <c r="CD65" s="24" t="s">
        <v>248</v>
      </c>
      <c r="CE65" s="25">
        <f t="shared" si="6"/>
        <v>511136.09000000014</v>
      </c>
      <c r="CF65" s="315">
        <v>0</v>
      </c>
    </row>
    <row r="66" spans="1:84" x14ac:dyDescent="0.35">
      <c r="A66" s="31" t="s">
        <v>267</v>
      </c>
      <c r="B66" s="16"/>
      <c r="C66" s="235">
        <v>0</v>
      </c>
      <c r="D66" s="235">
        <v>0</v>
      </c>
      <c r="E66" s="235">
        <v>96575.89</v>
      </c>
      <c r="F66" s="235"/>
      <c r="G66" s="235"/>
      <c r="H66" s="235"/>
      <c r="I66" s="235"/>
      <c r="J66" s="235"/>
      <c r="K66" s="235">
        <v>0</v>
      </c>
      <c r="L66" s="235">
        <v>4594.03</v>
      </c>
      <c r="M66" s="235"/>
      <c r="N66" s="235"/>
      <c r="O66" s="235"/>
      <c r="P66" s="237">
        <v>30954.880000000001</v>
      </c>
      <c r="Q66" s="237"/>
      <c r="R66" s="237">
        <v>2332.8000000000002</v>
      </c>
      <c r="S66" s="242"/>
      <c r="T66" s="242"/>
      <c r="U66" s="238">
        <v>21563.52</v>
      </c>
      <c r="V66" s="237"/>
      <c r="W66" s="237"/>
      <c r="X66" s="237">
        <v>79618.95</v>
      </c>
      <c r="Y66" s="237">
        <v>124821.13999999998</v>
      </c>
      <c r="Z66" s="237"/>
      <c r="AA66" s="237"/>
      <c r="AB66" s="243">
        <f>3816.08+136687.95</f>
        <v>140504.03</v>
      </c>
      <c r="AC66" s="237"/>
      <c r="AD66" s="237"/>
      <c r="AE66" s="237">
        <v>2426.37</v>
      </c>
      <c r="AF66" s="237"/>
      <c r="AG66" s="237">
        <v>3740.68</v>
      </c>
      <c r="AH66" s="237">
        <v>8373.4500000000007</v>
      </c>
      <c r="AI66" s="237"/>
      <c r="AJ66" s="237">
        <v>114565.82999999999</v>
      </c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42">
        <v>1736.82</v>
      </c>
      <c r="AW66" s="242"/>
      <c r="AX66" s="242"/>
      <c r="AY66" s="237">
        <v>1111.55</v>
      </c>
      <c r="AZ66" s="237"/>
      <c r="BA66" s="242"/>
      <c r="BB66" s="242"/>
      <c r="BC66" s="242"/>
      <c r="BD66" s="242">
        <v>325.14999999999998</v>
      </c>
      <c r="BE66" s="237">
        <v>57532.97</v>
      </c>
      <c r="BF66" s="242">
        <v>-2.15</v>
      </c>
      <c r="BG66" s="242"/>
      <c r="BH66" s="242">
        <v>600742.87</v>
      </c>
      <c r="BI66" s="242"/>
      <c r="BJ66" s="242">
        <v>118894.73</v>
      </c>
      <c r="BK66" s="242">
        <v>182049.21</v>
      </c>
      <c r="BL66" s="242">
        <v>117.72</v>
      </c>
      <c r="BM66" s="242"/>
      <c r="BN66" s="242">
        <v>49019.57</v>
      </c>
      <c r="BO66" s="242"/>
      <c r="BP66" s="242"/>
      <c r="BQ66" s="242"/>
      <c r="BR66" s="242">
        <v>36442.33</v>
      </c>
      <c r="BS66" s="242"/>
      <c r="BT66" s="242"/>
      <c r="BU66" s="242"/>
      <c r="BV66" s="242">
        <v>23826.99</v>
      </c>
      <c r="BW66" s="242"/>
      <c r="BX66" s="242"/>
      <c r="BY66" s="242"/>
      <c r="BZ66" s="242"/>
      <c r="CA66" s="242"/>
      <c r="CB66" s="242">
        <v>27264.9</v>
      </c>
      <c r="CC66" s="242"/>
      <c r="CD66" s="24" t="s">
        <v>248</v>
      </c>
      <c r="CE66" s="25">
        <f t="shared" si="6"/>
        <v>1729134.2299999997</v>
      </c>
      <c r="CF66" s="315">
        <v>0</v>
      </c>
    </row>
    <row r="67" spans="1:84" x14ac:dyDescent="0.3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103194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16584</v>
      </c>
      <c r="L67" s="25">
        <f t="shared" si="10"/>
        <v>16584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66463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33339</v>
      </c>
      <c r="V67" s="25">
        <f t="shared" si="10"/>
        <v>0</v>
      </c>
      <c r="W67" s="25">
        <f t="shared" si="10"/>
        <v>0</v>
      </c>
      <c r="X67" s="25">
        <f t="shared" si="10"/>
        <v>710</v>
      </c>
      <c r="Y67" s="25">
        <f t="shared" si="10"/>
        <v>154799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23074</v>
      </c>
      <c r="AF67" s="25">
        <f t="shared" si="10"/>
        <v>0</v>
      </c>
      <c r="AG67" s="25">
        <f t="shared" si="10"/>
        <v>9578</v>
      </c>
      <c r="AH67" s="25">
        <f t="shared" si="10"/>
        <v>34760</v>
      </c>
      <c r="AI67" s="25">
        <f t="shared" ref="AI67:BN67" si="11">ROUND(AI51+AI52,0)</f>
        <v>0</v>
      </c>
      <c r="AJ67" s="25">
        <f t="shared" si="11"/>
        <v>32395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723</v>
      </c>
      <c r="AZ67" s="25">
        <f t="shared" si="11"/>
        <v>0</v>
      </c>
      <c r="BA67" s="25">
        <f t="shared" si="11"/>
        <v>819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31537</v>
      </c>
      <c r="BF67" s="25">
        <f t="shared" si="11"/>
        <v>2152</v>
      </c>
      <c r="BG67" s="25">
        <f t="shared" si="11"/>
        <v>0</v>
      </c>
      <c r="BH67" s="25">
        <f t="shared" si="11"/>
        <v>582727</v>
      </c>
      <c r="BI67" s="25">
        <f t="shared" si="11"/>
        <v>0</v>
      </c>
      <c r="BJ67" s="25">
        <f t="shared" si="11"/>
        <v>22433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3397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5000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459497</v>
      </c>
      <c r="CD67" s="24" t="s">
        <v>248</v>
      </c>
      <c r="CE67" s="25">
        <f t="shared" si="6"/>
        <v>1599765</v>
      </c>
      <c r="CF67" s="315">
        <v>0</v>
      </c>
    </row>
    <row r="68" spans="1:84" x14ac:dyDescent="0.35">
      <c r="A68" s="31" t="s">
        <v>268</v>
      </c>
      <c r="B68" s="25"/>
      <c r="C68" s="235">
        <v>0</v>
      </c>
      <c r="D68" s="235">
        <v>0</v>
      </c>
      <c r="E68" s="235">
        <v>25542.240000000002</v>
      </c>
      <c r="F68" s="235"/>
      <c r="G68" s="235"/>
      <c r="H68" s="235"/>
      <c r="I68" s="235"/>
      <c r="J68" s="235"/>
      <c r="K68" s="235">
        <v>0</v>
      </c>
      <c r="L68" s="235">
        <v>11807.2</v>
      </c>
      <c r="M68" s="235"/>
      <c r="N68" s="235"/>
      <c r="O68" s="235"/>
      <c r="P68" s="237">
        <v>26.67</v>
      </c>
      <c r="Q68" s="237"/>
      <c r="R68" s="237">
        <v>8398.83</v>
      </c>
      <c r="S68" s="242"/>
      <c r="T68" s="242"/>
      <c r="U68" s="238">
        <v>1384</v>
      </c>
      <c r="V68" s="237">
        <v>2585</v>
      </c>
      <c r="W68" s="237"/>
      <c r="X68" s="237"/>
      <c r="Y68" s="237"/>
      <c r="Z68" s="237"/>
      <c r="AA68" s="237"/>
      <c r="AB68" s="243">
        <v>3221.59</v>
      </c>
      <c r="AC68" s="237">
        <v>8741.94</v>
      </c>
      <c r="AD68" s="237"/>
      <c r="AE68" s="237">
        <v>25200</v>
      </c>
      <c r="AF68" s="237"/>
      <c r="AG68" s="237">
        <v>6567.15</v>
      </c>
      <c r="AH68" s="237">
        <v>711.84</v>
      </c>
      <c r="AI68" s="237"/>
      <c r="AJ68" s="237">
        <v>4073.56</v>
      </c>
      <c r="AK68" s="237"/>
      <c r="AL68" s="237"/>
      <c r="AM68" s="237"/>
      <c r="AN68" s="237"/>
      <c r="AO68" s="237"/>
      <c r="AP68" s="237"/>
      <c r="AQ68" s="237"/>
      <c r="AR68" s="237"/>
      <c r="AS68" s="237"/>
      <c r="AT68" s="237"/>
      <c r="AU68" s="237"/>
      <c r="AV68" s="242">
        <v>4157.76</v>
      </c>
      <c r="AW68" s="242"/>
      <c r="AX68" s="242"/>
      <c r="AY68" s="237"/>
      <c r="AZ68" s="237"/>
      <c r="BA68" s="242"/>
      <c r="BB68" s="242"/>
      <c r="BC68" s="242"/>
      <c r="BD68" s="242"/>
      <c r="BE68" s="237">
        <v>2695.58</v>
      </c>
      <c r="BF68" s="242"/>
      <c r="BG68" s="242"/>
      <c r="BH68" s="242">
        <v>6262.58</v>
      </c>
      <c r="BI68" s="242"/>
      <c r="BJ68" s="242">
        <v>8275.4</v>
      </c>
      <c r="BK68" s="242">
        <v>4593.1000000000004</v>
      </c>
      <c r="BL68" s="242"/>
      <c r="BM68" s="242"/>
      <c r="BN68" s="242">
        <v>-39662.400000000001</v>
      </c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" t="s">
        <v>248</v>
      </c>
      <c r="CE68" s="25">
        <f t="shared" si="6"/>
        <v>84582.039999999979</v>
      </c>
      <c r="CF68" s="315">
        <v>0</v>
      </c>
    </row>
    <row r="69" spans="1:84" x14ac:dyDescent="0.3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1151474.8900000001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168373.58000000002</v>
      </c>
      <c r="M69" s="25">
        <f t="shared" si="13"/>
        <v>0</v>
      </c>
      <c r="N69" s="25">
        <f t="shared" si="13"/>
        <v>211.24</v>
      </c>
      <c r="O69" s="25">
        <f t="shared" si="13"/>
        <v>0</v>
      </c>
      <c r="P69" s="25">
        <f t="shared" si="13"/>
        <v>2876.1399999999994</v>
      </c>
      <c r="Q69" s="25">
        <f t="shared" si="13"/>
        <v>0</v>
      </c>
      <c r="R69" s="25">
        <f t="shared" si="13"/>
        <v>68893.41</v>
      </c>
      <c r="S69" s="25">
        <f t="shared" si="13"/>
        <v>0</v>
      </c>
      <c r="T69" s="25">
        <f t="shared" si="13"/>
        <v>0</v>
      </c>
      <c r="U69" s="25">
        <f t="shared" si="13"/>
        <v>13654.26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22437.89</v>
      </c>
      <c r="Z69" s="25">
        <f t="shared" si="13"/>
        <v>0</v>
      </c>
      <c r="AA69" s="25">
        <f t="shared" si="13"/>
        <v>0</v>
      </c>
      <c r="AB69" s="25">
        <f t="shared" si="13"/>
        <v>20491.150000000001</v>
      </c>
      <c r="AC69" s="25">
        <f t="shared" si="13"/>
        <v>192.48</v>
      </c>
      <c r="AD69" s="25">
        <f t="shared" si="13"/>
        <v>0</v>
      </c>
      <c r="AE69" s="25">
        <f t="shared" si="13"/>
        <v>15343.03</v>
      </c>
      <c r="AF69" s="25">
        <f t="shared" si="13"/>
        <v>0</v>
      </c>
      <c r="AG69" s="25">
        <f t="shared" si="13"/>
        <v>1198450.28</v>
      </c>
      <c r="AH69" s="25">
        <f t="shared" si="13"/>
        <v>19148.980000000003</v>
      </c>
      <c r="AI69" s="25">
        <f t="shared" ref="AI69:BN69" si="14">SUM(AI70:AI83)</f>
        <v>0</v>
      </c>
      <c r="AJ69" s="25">
        <f t="shared" si="14"/>
        <v>67921.37</v>
      </c>
      <c r="AK69" s="25">
        <f t="shared" si="14"/>
        <v>39.299999999999997</v>
      </c>
      <c r="AL69" s="25">
        <f t="shared" si="14"/>
        <v>0</v>
      </c>
      <c r="AM69" s="25">
        <f t="shared" si="14"/>
        <v>-10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2684.73</v>
      </c>
      <c r="AW69" s="25">
        <f t="shared" si="14"/>
        <v>0</v>
      </c>
      <c r="AX69" s="25">
        <f t="shared" si="14"/>
        <v>0</v>
      </c>
      <c r="AY69" s="25">
        <f t="shared" si="14"/>
        <v>2468.39</v>
      </c>
      <c r="AZ69" s="25">
        <f t="shared" si="14"/>
        <v>0</v>
      </c>
      <c r="BA69" s="25">
        <f t="shared" si="14"/>
        <v>56.11</v>
      </c>
      <c r="BB69" s="25">
        <f t="shared" si="14"/>
        <v>0</v>
      </c>
      <c r="BC69" s="25">
        <f t="shared" si="14"/>
        <v>0</v>
      </c>
      <c r="BD69" s="25">
        <f t="shared" si="14"/>
        <v>-2079.59</v>
      </c>
      <c r="BE69" s="25">
        <f t="shared" si="14"/>
        <v>55977.06</v>
      </c>
      <c r="BF69" s="25">
        <f t="shared" si="14"/>
        <v>1066.29</v>
      </c>
      <c r="BG69" s="25">
        <f t="shared" si="14"/>
        <v>0</v>
      </c>
      <c r="BH69" s="25">
        <f t="shared" si="14"/>
        <v>84902.31</v>
      </c>
      <c r="BI69" s="25">
        <f t="shared" si="14"/>
        <v>0</v>
      </c>
      <c r="BJ69" s="25">
        <f t="shared" si="14"/>
        <v>54735.72</v>
      </c>
      <c r="BK69" s="25">
        <f t="shared" si="14"/>
        <v>46904.51</v>
      </c>
      <c r="BL69" s="25">
        <f t="shared" si="14"/>
        <v>415</v>
      </c>
      <c r="BM69" s="25">
        <f t="shared" si="14"/>
        <v>0</v>
      </c>
      <c r="BN69" s="25">
        <f t="shared" si="14"/>
        <v>388201.67</v>
      </c>
      <c r="BO69" s="25">
        <f t="shared" ref="BO69:CD69" si="15">SUM(BO70:BO83)</f>
        <v>5761.36</v>
      </c>
      <c r="BP69" s="25">
        <f t="shared" si="15"/>
        <v>0</v>
      </c>
      <c r="BQ69" s="25">
        <f t="shared" si="15"/>
        <v>0</v>
      </c>
      <c r="BR69" s="25">
        <f t="shared" si="15"/>
        <v>65543.17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354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2000</v>
      </c>
      <c r="CC69" s="25">
        <f t="shared" si="15"/>
        <v>0</v>
      </c>
      <c r="CD69" s="25">
        <f t="shared" si="15"/>
        <v>570266.96</v>
      </c>
      <c r="CE69" s="25">
        <f>SUM(CE70:CE83)</f>
        <v>4028755.6900000004</v>
      </c>
      <c r="CF69" s="315">
        <v>0</v>
      </c>
    </row>
    <row r="70" spans="1:84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0</v>
      </c>
      <c r="CF70" s="315">
        <v>0</v>
      </c>
    </row>
    <row r="71" spans="1:84" x14ac:dyDescent="0.35">
      <c r="A71" s="26" t="s">
        <v>271</v>
      </c>
      <c r="B71" s="27"/>
      <c r="C71" s="244">
        <v>0</v>
      </c>
      <c r="D71" s="244">
        <v>0</v>
      </c>
      <c r="E71" s="244">
        <v>1120427.42</v>
      </c>
      <c r="F71" s="244"/>
      <c r="G71" s="244"/>
      <c r="H71" s="244"/>
      <c r="I71" s="244"/>
      <c r="J71" s="244"/>
      <c r="K71" s="244">
        <v>0</v>
      </c>
      <c r="L71" s="244">
        <v>160107.85</v>
      </c>
      <c r="M71" s="244"/>
      <c r="N71" s="244"/>
      <c r="O71" s="244"/>
      <c r="P71" s="244"/>
      <c r="Q71" s="244"/>
      <c r="R71" s="244">
        <v>61574.01</v>
      </c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>
        <v>1197288.5</v>
      </c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>
        <v>0</v>
      </c>
      <c r="CE71" s="25">
        <f t="shared" si="16"/>
        <v>2539397.7800000003</v>
      </c>
      <c r="CF71" s="315">
        <v>0</v>
      </c>
    </row>
    <row r="72" spans="1:84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  <c r="CF72" s="315">
        <v>0</v>
      </c>
    </row>
    <row r="73" spans="1:84" x14ac:dyDescent="0.35">
      <c r="A73" s="26" t="s">
        <v>273</v>
      </c>
      <c r="B73" s="27"/>
      <c r="C73" s="244">
        <v>0</v>
      </c>
      <c r="D73" s="244">
        <v>0</v>
      </c>
      <c r="E73" s="244"/>
      <c r="F73" s="244"/>
      <c r="G73" s="244"/>
      <c r="H73" s="244"/>
      <c r="I73" s="244"/>
      <c r="J73" s="244"/>
      <c r="K73" s="244">
        <v>0</v>
      </c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>
        <v>3712</v>
      </c>
      <c r="AI73" s="244"/>
      <c r="AJ73" s="244">
        <v>143</v>
      </c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>
        <v>56581.71</v>
      </c>
      <c r="BO73" s="244"/>
      <c r="BP73" s="244"/>
      <c r="BQ73" s="244"/>
      <c r="BR73" s="244"/>
      <c r="BS73" s="244"/>
      <c r="BT73" s="244"/>
      <c r="BU73" s="244"/>
      <c r="BV73" s="244"/>
      <c r="BW73" s="244"/>
      <c r="BX73" s="244"/>
      <c r="BY73" s="244"/>
      <c r="BZ73" s="244"/>
      <c r="CA73" s="244"/>
      <c r="CB73" s="244"/>
      <c r="CC73" s="244"/>
      <c r="CD73" s="244">
        <v>267603</v>
      </c>
      <c r="CE73" s="25">
        <f t="shared" si="16"/>
        <v>328039.71000000002</v>
      </c>
      <c r="CF73" s="315">
        <v>0</v>
      </c>
    </row>
    <row r="74" spans="1:84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0</v>
      </c>
      <c r="CF74" s="315">
        <v>0</v>
      </c>
    </row>
    <row r="75" spans="1:84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49896.959999999999</v>
      </c>
      <c r="BK75" s="244">
        <v>7300</v>
      </c>
      <c r="BL75" s="244"/>
      <c r="BM75" s="244"/>
      <c r="BN75" s="244">
        <v>7924.5</v>
      </c>
      <c r="BO75" s="244"/>
      <c r="BP75" s="244"/>
      <c r="BQ75" s="244"/>
      <c r="BR75" s="244">
        <v>225</v>
      </c>
      <c r="BS75" s="244"/>
      <c r="BT75" s="244"/>
      <c r="BU75" s="244"/>
      <c r="BV75" s="244"/>
      <c r="BW75" s="244"/>
      <c r="BX75" s="244"/>
      <c r="BY75" s="244"/>
      <c r="BZ75" s="244"/>
      <c r="CA75" s="244"/>
      <c r="CB75" s="244"/>
      <c r="CC75" s="244"/>
      <c r="CD75" s="244">
        <v>12437.04</v>
      </c>
      <c r="CE75" s="25">
        <f t="shared" si="16"/>
        <v>77783.5</v>
      </c>
      <c r="CF75" s="315">
        <v>0</v>
      </c>
    </row>
    <row r="76" spans="1:84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0</v>
      </c>
      <c r="CF76" s="315">
        <v>0</v>
      </c>
    </row>
    <row r="77" spans="1:84" x14ac:dyDescent="0.35">
      <c r="A77" s="26" t="s">
        <v>277</v>
      </c>
      <c r="B77" s="27"/>
      <c r="C77" s="244">
        <v>0</v>
      </c>
      <c r="D77" s="244">
        <v>0</v>
      </c>
      <c r="E77" s="244"/>
      <c r="F77" s="244"/>
      <c r="G77" s="244"/>
      <c r="H77" s="244"/>
      <c r="I77" s="244"/>
      <c r="J77" s="244"/>
      <c r="K77" s="244">
        <v>0</v>
      </c>
      <c r="L77" s="244"/>
      <c r="M77" s="244"/>
      <c r="N77" s="244"/>
      <c r="O77" s="244"/>
      <c r="P77" s="244">
        <v>1651.32</v>
      </c>
      <c r="Q77" s="244"/>
      <c r="R77" s="244"/>
      <c r="S77" s="244"/>
      <c r="T77" s="244"/>
      <c r="U77" s="244"/>
      <c r="V77" s="244"/>
      <c r="W77" s="244"/>
      <c r="X77" s="244"/>
      <c r="Y77" s="244">
        <v>18052.32</v>
      </c>
      <c r="Z77" s="244"/>
      <c r="AA77" s="244"/>
      <c r="AB77" s="244">
        <v>5245.91</v>
      </c>
      <c r="AC77" s="244"/>
      <c r="AD77" s="244"/>
      <c r="AE77" s="244"/>
      <c r="AF77" s="244"/>
      <c r="AG77" s="244"/>
      <c r="AH77" s="244">
        <v>12843.33</v>
      </c>
      <c r="AI77" s="244"/>
      <c r="AJ77" s="244">
        <v>1031.49</v>
      </c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>
        <v>1280.3699999999999</v>
      </c>
      <c r="AZ77" s="244"/>
      <c r="BA77" s="244">
        <v>56.11</v>
      </c>
      <c r="BB77" s="244"/>
      <c r="BC77" s="244"/>
      <c r="BD77" s="244"/>
      <c r="BE77" s="244">
        <v>53804.46</v>
      </c>
      <c r="BF77" s="244">
        <v>826.08</v>
      </c>
      <c r="BG77" s="244"/>
      <c r="BH77" s="244">
        <v>46.44</v>
      </c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4"/>
      <c r="BV77" s="244"/>
      <c r="BW77" s="244"/>
      <c r="BX77" s="244"/>
      <c r="BY77" s="244"/>
      <c r="BZ77" s="244"/>
      <c r="CA77" s="244"/>
      <c r="CB77" s="244"/>
      <c r="CC77" s="244"/>
      <c r="CD77" s="244">
        <v>0</v>
      </c>
      <c r="CE77" s="25">
        <f t="shared" si="16"/>
        <v>94837.83</v>
      </c>
      <c r="CF77" s="315">
        <v>0</v>
      </c>
    </row>
    <row r="78" spans="1:84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  <c r="CF78" s="315">
        <v>0</v>
      </c>
    </row>
    <row r="79" spans="1:84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0</v>
      </c>
      <c r="CF79" s="315">
        <v>0</v>
      </c>
    </row>
    <row r="80" spans="1:84" x14ac:dyDescent="0.35">
      <c r="A80" s="26" t="s">
        <v>280</v>
      </c>
      <c r="B80" s="16"/>
      <c r="C80" s="244">
        <v>0</v>
      </c>
      <c r="D80" s="244">
        <v>0</v>
      </c>
      <c r="E80" s="244">
        <v>17107.09</v>
      </c>
      <c r="F80" s="244"/>
      <c r="G80" s="244"/>
      <c r="H80" s="244"/>
      <c r="I80" s="244"/>
      <c r="J80" s="244"/>
      <c r="K80" s="244">
        <v>0</v>
      </c>
      <c r="L80" s="244">
        <v>8134.48</v>
      </c>
      <c r="M80" s="244"/>
      <c r="N80" s="244">
        <v>106.11</v>
      </c>
      <c r="O80" s="244"/>
      <c r="P80" s="244">
        <v>610</v>
      </c>
      <c r="Q80" s="244"/>
      <c r="R80" s="244">
        <v>6941.71</v>
      </c>
      <c r="S80" s="244"/>
      <c r="T80" s="244"/>
      <c r="U80" s="244">
        <v>378.6</v>
      </c>
      <c r="V80" s="244"/>
      <c r="W80" s="244"/>
      <c r="X80" s="244"/>
      <c r="Y80" s="244">
        <v>2202.09</v>
      </c>
      <c r="Z80" s="244"/>
      <c r="AA80" s="244"/>
      <c r="AB80" s="244">
        <v>13560.24</v>
      </c>
      <c r="AC80" s="244">
        <v>180</v>
      </c>
      <c r="AD80" s="244"/>
      <c r="AE80" s="244">
        <v>10006.02</v>
      </c>
      <c r="AF80" s="244"/>
      <c r="AG80" s="244">
        <v>536.05999999999995</v>
      </c>
      <c r="AH80" s="244">
        <v>2561.25</v>
      </c>
      <c r="AI80" s="244"/>
      <c r="AJ80" s="244">
        <v>57926.619999999995</v>
      </c>
      <c r="AK80" s="244">
        <v>39.299999999999997</v>
      </c>
      <c r="AL80" s="244"/>
      <c r="AM80" s="244">
        <v>-10</v>
      </c>
      <c r="AN80" s="244"/>
      <c r="AO80" s="244"/>
      <c r="AP80" s="244"/>
      <c r="AQ80" s="244"/>
      <c r="AR80" s="244"/>
      <c r="AS80" s="244"/>
      <c r="AT80" s="244"/>
      <c r="AU80" s="244"/>
      <c r="AV80" s="244">
        <v>1565.96</v>
      </c>
      <c r="AW80" s="244"/>
      <c r="AX80" s="244"/>
      <c r="AY80" s="244"/>
      <c r="AZ80" s="244"/>
      <c r="BA80" s="244"/>
      <c r="BB80" s="244"/>
      <c r="BC80" s="244"/>
      <c r="BD80" s="244">
        <v>191.51999999999998</v>
      </c>
      <c r="BE80" s="244">
        <v>1537.85</v>
      </c>
      <c r="BF80" s="244"/>
      <c r="BG80" s="244"/>
      <c r="BH80" s="244">
        <v>5038.3500000000004</v>
      </c>
      <c r="BI80" s="244"/>
      <c r="BJ80" s="244">
        <v>4796.76</v>
      </c>
      <c r="BK80" s="244">
        <v>34447.69</v>
      </c>
      <c r="BL80" s="244">
        <v>415</v>
      </c>
      <c r="BM80" s="244"/>
      <c r="BN80" s="244">
        <v>126351.84</v>
      </c>
      <c r="BO80" s="244">
        <v>940</v>
      </c>
      <c r="BP80" s="244"/>
      <c r="BQ80" s="244"/>
      <c r="BR80" s="244">
        <v>7407.16</v>
      </c>
      <c r="BS80" s="244"/>
      <c r="BT80" s="244"/>
      <c r="BU80" s="244"/>
      <c r="BV80" s="244">
        <v>354</v>
      </c>
      <c r="BW80" s="244"/>
      <c r="BX80" s="244"/>
      <c r="BY80" s="244"/>
      <c r="BZ80" s="244"/>
      <c r="CA80" s="244"/>
      <c r="CB80" s="244">
        <v>2000</v>
      </c>
      <c r="CC80" s="244"/>
      <c r="CD80" s="244">
        <v>0</v>
      </c>
      <c r="CE80" s="25">
        <f t="shared" si="16"/>
        <v>305325.7</v>
      </c>
      <c r="CF80" s="31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12281.82</v>
      </c>
      <c r="F81" s="244"/>
      <c r="G81" s="244"/>
      <c r="H81" s="244"/>
      <c r="I81" s="244"/>
      <c r="J81" s="244"/>
      <c r="K81" s="244">
        <v>0</v>
      </c>
      <c r="L81" s="244">
        <v>131.25</v>
      </c>
      <c r="M81" s="244"/>
      <c r="N81" s="244">
        <v>29.13</v>
      </c>
      <c r="O81" s="244"/>
      <c r="P81" s="244">
        <v>473.56</v>
      </c>
      <c r="Q81" s="244"/>
      <c r="R81" s="244">
        <v>275</v>
      </c>
      <c r="S81" s="244"/>
      <c r="T81" s="244"/>
      <c r="U81" s="244">
        <v>10247.58</v>
      </c>
      <c r="V81" s="244"/>
      <c r="W81" s="244"/>
      <c r="X81" s="244"/>
      <c r="Y81" s="244">
        <v>1479.93</v>
      </c>
      <c r="Z81" s="244"/>
      <c r="AA81" s="244"/>
      <c r="AB81" s="244">
        <v>1685</v>
      </c>
      <c r="AC81" s="244">
        <v>12.48</v>
      </c>
      <c r="AD81" s="244"/>
      <c r="AE81" s="244">
        <v>95</v>
      </c>
      <c r="AF81" s="244"/>
      <c r="AG81" s="244">
        <v>614.88</v>
      </c>
      <c r="AH81" s="244"/>
      <c r="AI81" s="244"/>
      <c r="AJ81" s="244">
        <v>2791.76</v>
      </c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>
        <v>372.04</v>
      </c>
      <c r="AW81" s="244"/>
      <c r="AX81" s="244"/>
      <c r="AY81" s="244"/>
      <c r="AZ81" s="244"/>
      <c r="BA81" s="244"/>
      <c r="BB81" s="244"/>
      <c r="BC81" s="244"/>
      <c r="BD81" s="244">
        <v>-2653.77</v>
      </c>
      <c r="BE81" s="244">
        <v>635.33999999999992</v>
      </c>
      <c r="BF81" s="244">
        <v>19.649999999999999</v>
      </c>
      <c r="BG81" s="244"/>
      <c r="BH81" s="244">
        <v>65578.52</v>
      </c>
      <c r="BI81" s="244"/>
      <c r="BJ81" s="244">
        <v>42</v>
      </c>
      <c r="BK81" s="244">
        <v>247.52</v>
      </c>
      <c r="BL81" s="244"/>
      <c r="BM81" s="244"/>
      <c r="BN81" s="244">
        <v>169829.96</v>
      </c>
      <c r="BO81" s="244"/>
      <c r="BP81" s="244"/>
      <c r="BQ81" s="244"/>
      <c r="BR81" s="244"/>
      <c r="BS81" s="244"/>
      <c r="BT81" s="244"/>
      <c r="BU81" s="244"/>
      <c r="BV81" s="244"/>
      <c r="BW81" s="244"/>
      <c r="BX81" s="244"/>
      <c r="BY81" s="244"/>
      <c r="BZ81" s="244"/>
      <c r="CA81" s="244"/>
      <c r="CB81" s="244"/>
      <c r="CC81" s="244"/>
      <c r="CD81" s="244">
        <v>79649.440000000002</v>
      </c>
      <c r="CE81" s="25">
        <f t="shared" si="16"/>
        <v>343838.09</v>
      </c>
      <c r="CF81" s="31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31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1658.56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76</v>
      </c>
      <c r="O83" s="235">
        <v>0</v>
      </c>
      <c r="P83" s="237">
        <v>141.26</v>
      </c>
      <c r="Q83" s="237">
        <v>0</v>
      </c>
      <c r="R83" s="238">
        <v>102.69</v>
      </c>
      <c r="S83" s="237">
        <v>0</v>
      </c>
      <c r="T83" s="235">
        <v>0</v>
      </c>
      <c r="U83" s="237">
        <v>3028.08</v>
      </c>
      <c r="V83" s="237">
        <v>0</v>
      </c>
      <c r="W83" s="235">
        <v>0</v>
      </c>
      <c r="X83" s="237">
        <v>0</v>
      </c>
      <c r="Y83" s="237">
        <v>703.55000000000018</v>
      </c>
      <c r="Z83" s="237">
        <v>0</v>
      </c>
      <c r="AA83" s="237">
        <v>0</v>
      </c>
      <c r="AB83" s="237">
        <v>0</v>
      </c>
      <c r="AC83" s="237">
        <v>0</v>
      </c>
      <c r="AD83" s="237">
        <v>0</v>
      </c>
      <c r="AE83" s="237">
        <v>5242.01</v>
      </c>
      <c r="AF83" s="237">
        <v>0</v>
      </c>
      <c r="AG83" s="237">
        <v>10.84</v>
      </c>
      <c r="AH83" s="237">
        <v>32.4</v>
      </c>
      <c r="AI83" s="237">
        <v>0</v>
      </c>
      <c r="AJ83" s="237">
        <v>6028.4999999999991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746.73</v>
      </c>
      <c r="AW83" s="237">
        <v>0</v>
      </c>
      <c r="AX83" s="237">
        <v>0</v>
      </c>
      <c r="AY83" s="237">
        <v>1188.02</v>
      </c>
      <c r="AZ83" s="237">
        <v>0</v>
      </c>
      <c r="BA83" s="237">
        <v>0</v>
      </c>
      <c r="BB83" s="237">
        <v>0</v>
      </c>
      <c r="BC83" s="237">
        <v>0</v>
      </c>
      <c r="BD83" s="237">
        <v>382.66</v>
      </c>
      <c r="BE83" s="237">
        <v>-0.59</v>
      </c>
      <c r="BF83" s="237">
        <v>220.56</v>
      </c>
      <c r="BG83" s="237">
        <v>0</v>
      </c>
      <c r="BH83" s="238">
        <v>14239</v>
      </c>
      <c r="BI83" s="237">
        <v>0</v>
      </c>
      <c r="BJ83" s="237">
        <v>0</v>
      </c>
      <c r="BK83" s="237">
        <v>4909.3</v>
      </c>
      <c r="BL83" s="237">
        <v>0</v>
      </c>
      <c r="BM83" s="237">
        <v>0</v>
      </c>
      <c r="BN83" s="237">
        <v>27513.66</v>
      </c>
      <c r="BO83" s="237">
        <v>4821.3599999999997</v>
      </c>
      <c r="BP83" s="237">
        <v>0</v>
      </c>
      <c r="BQ83" s="237">
        <v>0</v>
      </c>
      <c r="BR83" s="237">
        <v>57911.01</v>
      </c>
      <c r="BS83" s="237">
        <v>0</v>
      </c>
      <c r="BT83" s="237">
        <v>0</v>
      </c>
      <c r="BU83" s="237">
        <v>0</v>
      </c>
      <c r="BV83" s="237">
        <v>0</v>
      </c>
      <c r="BW83" s="237">
        <v>0</v>
      </c>
      <c r="BX83" s="237">
        <v>0</v>
      </c>
      <c r="BY83" s="237">
        <v>0</v>
      </c>
      <c r="BZ83" s="237">
        <v>0</v>
      </c>
      <c r="CA83" s="237">
        <v>0</v>
      </c>
      <c r="CB83" s="237">
        <v>0</v>
      </c>
      <c r="CC83" s="237">
        <v>0</v>
      </c>
      <c r="CD83" s="244">
        <v>210577.48</v>
      </c>
      <c r="CE83" s="25">
        <f t="shared" si="16"/>
        <v>339533.08</v>
      </c>
      <c r="CF83" s="315">
        <v>0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f t="shared" si="16"/>
        <v>0</v>
      </c>
      <c r="CF84" s="315">
        <v>0</v>
      </c>
    </row>
    <row r="85" spans="1:84" x14ac:dyDescent="0.3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3886854.9300000006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16584</v>
      </c>
      <c r="L85" s="25">
        <f t="shared" si="17"/>
        <v>1848223.6300000001</v>
      </c>
      <c r="M85" s="25">
        <f t="shared" si="17"/>
        <v>0</v>
      </c>
      <c r="N85" s="25">
        <f t="shared" si="17"/>
        <v>123488</v>
      </c>
      <c r="O85" s="25">
        <f t="shared" si="17"/>
        <v>0</v>
      </c>
      <c r="P85" s="25">
        <f t="shared" si="17"/>
        <v>896301.69000000006</v>
      </c>
      <c r="Q85" s="25">
        <f t="shared" si="17"/>
        <v>0</v>
      </c>
      <c r="R85" s="25">
        <f t="shared" si="17"/>
        <v>709141.02</v>
      </c>
      <c r="S85" s="25">
        <f t="shared" si="17"/>
        <v>0</v>
      </c>
      <c r="T85" s="25">
        <f t="shared" si="17"/>
        <v>0</v>
      </c>
      <c r="U85" s="25">
        <f t="shared" si="17"/>
        <v>1519726.36</v>
      </c>
      <c r="V85" s="25">
        <f t="shared" si="17"/>
        <v>3756.36</v>
      </c>
      <c r="W85" s="25">
        <f t="shared" si="17"/>
        <v>268585.06</v>
      </c>
      <c r="X85" s="25">
        <f t="shared" si="17"/>
        <v>115342.65</v>
      </c>
      <c r="Y85" s="25">
        <f t="shared" si="17"/>
        <v>1297376.7499999998</v>
      </c>
      <c r="Z85" s="25">
        <f t="shared" si="17"/>
        <v>0</v>
      </c>
      <c r="AA85" s="25">
        <f t="shared" si="17"/>
        <v>0</v>
      </c>
      <c r="AB85" s="25">
        <f t="shared" si="17"/>
        <v>1390589.14</v>
      </c>
      <c r="AC85" s="25">
        <f t="shared" si="17"/>
        <v>255634.42</v>
      </c>
      <c r="AD85" s="25">
        <f t="shared" si="17"/>
        <v>0</v>
      </c>
      <c r="AE85" s="25">
        <f t="shared" si="17"/>
        <v>839658.20000000007</v>
      </c>
      <c r="AF85" s="25">
        <f t="shared" si="17"/>
        <v>0</v>
      </c>
      <c r="AG85" s="25">
        <f t="shared" si="17"/>
        <v>1985258.1100000003</v>
      </c>
      <c r="AH85" s="25">
        <f t="shared" si="17"/>
        <v>265997.47000000003</v>
      </c>
      <c r="AI85" s="25">
        <f t="shared" ref="AI85:BN85" si="18">SUM(AI61:AI69)-AI84</f>
        <v>0</v>
      </c>
      <c r="AJ85" s="25">
        <f t="shared" si="18"/>
        <v>5795652.3499999996</v>
      </c>
      <c r="AK85" s="25">
        <f t="shared" si="18"/>
        <v>99670.48</v>
      </c>
      <c r="AL85" s="25">
        <f t="shared" si="18"/>
        <v>49438.7</v>
      </c>
      <c r="AM85" s="25">
        <f t="shared" si="18"/>
        <v>63991.380000000005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405715.33999999997</v>
      </c>
      <c r="AW85" s="25">
        <f t="shared" si="18"/>
        <v>0</v>
      </c>
      <c r="AX85" s="25">
        <f t="shared" si="18"/>
        <v>0</v>
      </c>
      <c r="AY85" s="25">
        <f t="shared" si="18"/>
        <v>874927.45000000007</v>
      </c>
      <c r="AZ85" s="25">
        <f t="shared" si="18"/>
        <v>0</v>
      </c>
      <c r="BA85" s="25">
        <f t="shared" si="18"/>
        <v>134911.91999999998</v>
      </c>
      <c r="BB85" s="25">
        <f t="shared" si="18"/>
        <v>109860.1</v>
      </c>
      <c r="BC85" s="25">
        <f t="shared" si="18"/>
        <v>0</v>
      </c>
      <c r="BD85" s="25">
        <f t="shared" si="18"/>
        <v>339576.52</v>
      </c>
      <c r="BE85" s="25">
        <f t="shared" si="18"/>
        <v>819342.56</v>
      </c>
      <c r="BF85" s="25">
        <f t="shared" si="18"/>
        <v>373605.20999999996</v>
      </c>
      <c r="BG85" s="25">
        <f t="shared" si="18"/>
        <v>0</v>
      </c>
      <c r="BH85" s="25">
        <f t="shared" si="18"/>
        <v>1733086.5100000002</v>
      </c>
      <c r="BI85" s="25">
        <f t="shared" si="18"/>
        <v>0</v>
      </c>
      <c r="BJ85" s="25">
        <f t="shared" si="18"/>
        <v>604371.54</v>
      </c>
      <c r="BK85" s="25">
        <f t="shared" si="18"/>
        <v>932599.56999999983</v>
      </c>
      <c r="BL85" s="25">
        <f t="shared" si="18"/>
        <v>763489.83</v>
      </c>
      <c r="BM85" s="25">
        <f t="shared" si="18"/>
        <v>0</v>
      </c>
      <c r="BN85" s="25">
        <f t="shared" si="18"/>
        <v>1415915.17</v>
      </c>
      <c r="BO85" s="25">
        <f t="shared" ref="BO85:CD85" si="19">SUM(BO61:BO69)-BO84</f>
        <v>81120.599999999991</v>
      </c>
      <c r="BP85" s="25">
        <f t="shared" si="19"/>
        <v>0</v>
      </c>
      <c r="BQ85" s="25">
        <f t="shared" si="19"/>
        <v>0</v>
      </c>
      <c r="BR85" s="25">
        <f t="shared" si="19"/>
        <v>322013.26999999996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257005.46999999997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33814.620000000003</v>
      </c>
      <c r="CC85" s="25">
        <f t="shared" si="19"/>
        <v>481069.75</v>
      </c>
      <c r="CD85" s="25">
        <f t="shared" si="19"/>
        <v>570266.96</v>
      </c>
      <c r="CE85" s="25">
        <f t="shared" si="16"/>
        <v>31683963.090000004</v>
      </c>
      <c r="CF85" s="315">
        <v>0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775894.48</v>
      </c>
      <c r="CF86" s="315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1730015.23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1117756.2</v>
      </c>
      <c r="M87" s="235">
        <v>0</v>
      </c>
      <c r="N87" s="235">
        <v>5116.28</v>
      </c>
      <c r="O87" s="235">
        <v>0</v>
      </c>
      <c r="P87" s="235">
        <v>85561.3</v>
      </c>
      <c r="Q87" s="235">
        <v>0</v>
      </c>
      <c r="R87" s="235">
        <v>80061.240000000005</v>
      </c>
      <c r="S87" s="235">
        <v>0</v>
      </c>
      <c r="T87" s="235">
        <v>18764.59</v>
      </c>
      <c r="U87" s="235">
        <v>717699.07</v>
      </c>
      <c r="V87" s="235">
        <v>11628.05</v>
      </c>
      <c r="W87" s="235">
        <v>43114.03</v>
      </c>
      <c r="X87" s="235">
        <v>199678.85</v>
      </c>
      <c r="Y87" s="235">
        <v>81792.95</v>
      </c>
      <c r="Z87" s="235">
        <v>0</v>
      </c>
      <c r="AA87" s="235">
        <v>0</v>
      </c>
      <c r="AB87" s="235">
        <v>568553.31000000006</v>
      </c>
      <c r="AC87" s="235">
        <v>320268.65000000002</v>
      </c>
      <c r="AD87" s="235">
        <v>0</v>
      </c>
      <c r="AE87" s="235">
        <v>230941.6</v>
      </c>
      <c r="AF87" s="235">
        <v>0</v>
      </c>
      <c r="AG87" s="235">
        <v>68778.5</v>
      </c>
      <c r="AH87" s="235">
        <v>9275</v>
      </c>
      <c r="AI87" s="235">
        <v>0</v>
      </c>
      <c r="AJ87" s="235">
        <v>284775.86</v>
      </c>
      <c r="AK87" s="235">
        <v>141578.20000000001</v>
      </c>
      <c r="AL87" s="235">
        <v>29072.15</v>
      </c>
      <c r="AM87" s="235">
        <v>0</v>
      </c>
      <c r="AN87" s="235">
        <v>0</v>
      </c>
      <c r="AO87" s="235"/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f>13803.66+48273.25</f>
        <v>62076.91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5806507.9700000007</v>
      </c>
      <c r="CF87" s="315">
        <v>0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3922.06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/>
      <c r="L88" s="235">
        <v>2605.64</v>
      </c>
      <c r="M88" s="235">
        <v>0</v>
      </c>
      <c r="N88" s="235">
        <v>238642.65</v>
      </c>
      <c r="O88" s="235">
        <v>0</v>
      </c>
      <c r="P88" s="235">
        <v>2064943.87</v>
      </c>
      <c r="Q88" s="235">
        <v>0</v>
      </c>
      <c r="R88" s="235">
        <v>1599139.98</v>
      </c>
      <c r="S88" s="235">
        <v>0</v>
      </c>
      <c r="T88" s="235">
        <v>28115.3</v>
      </c>
      <c r="U88" s="235">
        <v>4886234.92</v>
      </c>
      <c r="V88" s="235">
        <v>200325.3</v>
      </c>
      <c r="W88" s="235">
        <v>1222585.1399999999</v>
      </c>
      <c r="X88" s="235">
        <v>3559304.36</v>
      </c>
      <c r="Y88" s="235">
        <v>2132817.85</v>
      </c>
      <c r="Z88" s="235">
        <v>0</v>
      </c>
      <c r="AA88" s="235">
        <v>0</v>
      </c>
      <c r="AB88" s="235">
        <v>1720878.7</v>
      </c>
      <c r="AC88" s="235">
        <v>121388.55</v>
      </c>
      <c r="AD88" s="235">
        <v>0</v>
      </c>
      <c r="AE88" s="235">
        <v>1438775.47</v>
      </c>
      <c r="AF88" s="235">
        <v>0</v>
      </c>
      <c r="AG88" s="235">
        <v>3349766.98</v>
      </c>
      <c r="AH88" s="235">
        <v>486930.8</v>
      </c>
      <c r="AI88" s="235">
        <v>0</v>
      </c>
      <c r="AJ88" s="235">
        <v>5205902.49</v>
      </c>
      <c r="AK88" s="235">
        <v>88566.85</v>
      </c>
      <c r="AL88" s="235">
        <v>28091.45</v>
      </c>
      <c r="AM88" s="235">
        <v>0</v>
      </c>
      <c r="AN88" s="235">
        <v>0</v>
      </c>
      <c r="AO88" s="235">
        <f>471310.45-1482.4</f>
        <v>469828.05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f>1256468.59+199535.14</f>
        <v>1456003.73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30304770.140000004</v>
      </c>
      <c r="CF88" s="315">
        <v>0</v>
      </c>
    </row>
    <row r="89" spans="1:84" x14ac:dyDescent="0.3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1733937.29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1120361.8399999999</v>
      </c>
      <c r="M89" s="25">
        <f t="shared" si="21"/>
        <v>0</v>
      </c>
      <c r="N89" s="25">
        <f t="shared" si="21"/>
        <v>243758.93</v>
      </c>
      <c r="O89" s="25">
        <f t="shared" si="21"/>
        <v>0</v>
      </c>
      <c r="P89" s="25">
        <f t="shared" si="21"/>
        <v>2150505.17</v>
      </c>
      <c r="Q89" s="25">
        <f t="shared" si="21"/>
        <v>0</v>
      </c>
      <c r="R89" s="25">
        <f t="shared" si="21"/>
        <v>1679201.22</v>
      </c>
      <c r="S89" s="25">
        <f t="shared" si="21"/>
        <v>0</v>
      </c>
      <c r="T89" s="25">
        <f t="shared" si="21"/>
        <v>46879.89</v>
      </c>
      <c r="U89" s="25">
        <f t="shared" si="21"/>
        <v>5603933.9900000002</v>
      </c>
      <c r="V89" s="25">
        <f t="shared" si="21"/>
        <v>211953.34999999998</v>
      </c>
      <c r="W89" s="25">
        <f t="shared" si="21"/>
        <v>1265699.17</v>
      </c>
      <c r="X89" s="25">
        <f t="shared" si="21"/>
        <v>3758983.21</v>
      </c>
      <c r="Y89" s="25">
        <f t="shared" si="21"/>
        <v>2214610.8000000003</v>
      </c>
      <c r="Z89" s="25">
        <f t="shared" si="21"/>
        <v>0</v>
      </c>
      <c r="AA89" s="25">
        <f t="shared" si="21"/>
        <v>0</v>
      </c>
      <c r="AB89" s="25">
        <f t="shared" si="21"/>
        <v>2289432.0099999998</v>
      </c>
      <c r="AC89" s="25">
        <f t="shared" si="21"/>
        <v>441657.2</v>
      </c>
      <c r="AD89" s="25">
        <f t="shared" si="21"/>
        <v>0</v>
      </c>
      <c r="AE89" s="25">
        <f t="shared" si="21"/>
        <v>1669717.07</v>
      </c>
      <c r="AF89" s="25">
        <f t="shared" si="21"/>
        <v>0</v>
      </c>
      <c r="AG89" s="25">
        <f t="shared" si="21"/>
        <v>3418545.48</v>
      </c>
      <c r="AH89" s="25">
        <f t="shared" si="21"/>
        <v>496205.8</v>
      </c>
      <c r="AI89" s="25">
        <f t="shared" si="21"/>
        <v>0</v>
      </c>
      <c r="AJ89" s="25">
        <f t="shared" si="21"/>
        <v>5490678.3500000006</v>
      </c>
      <c r="AK89" s="25">
        <f t="shared" si="21"/>
        <v>230145.05000000002</v>
      </c>
      <c r="AL89" s="25">
        <f t="shared" si="21"/>
        <v>57163.600000000006</v>
      </c>
      <c r="AM89" s="25">
        <f t="shared" si="21"/>
        <v>0</v>
      </c>
      <c r="AN89" s="25">
        <f t="shared" si="21"/>
        <v>0</v>
      </c>
      <c r="AO89" s="25">
        <f t="shared" si="21"/>
        <v>469828.05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1518080.64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36111278.109999992</v>
      </c>
      <c r="CF89" s="315">
        <v>0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4802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6141</v>
      </c>
      <c r="M90" s="235">
        <v>0</v>
      </c>
      <c r="N90" s="235">
        <v>0</v>
      </c>
      <c r="O90" s="235">
        <v>0</v>
      </c>
      <c r="P90" s="235">
        <v>1403</v>
      </c>
      <c r="Q90" s="235">
        <v>0</v>
      </c>
      <c r="R90" s="235">
        <v>225</v>
      </c>
      <c r="S90" s="235">
        <v>0</v>
      </c>
      <c r="T90" s="235">
        <v>0</v>
      </c>
      <c r="U90" s="235">
        <v>527</v>
      </c>
      <c r="V90" s="235">
        <v>0</v>
      </c>
      <c r="W90" s="235">
        <v>0</v>
      </c>
      <c r="X90" s="235">
        <v>0</v>
      </c>
      <c r="Y90" s="235">
        <v>1569</v>
      </c>
      <c r="Z90" s="235">
        <v>0</v>
      </c>
      <c r="AA90" s="235">
        <v>0</v>
      </c>
      <c r="AB90" s="235">
        <v>380</v>
      </c>
      <c r="AC90" s="235">
        <v>40</v>
      </c>
      <c r="AD90" s="235">
        <v>0</v>
      </c>
      <c r="AE90" s="235">
        <v>1465</v>
      </c>
      <c r="AF90" s="235">
        <v>0</v>
      </c>
      <c r="AG90" s="235">
        <v>581</v>
      </c>
      <c r="AH90" s="235">
        <v>0</v>
      </c>
      <c r="AI90" s="235">
        <v>0</v>
      </c>
      <c r="AJ90" s="235">
        <f>22936+2570+2240</f>
        <v>27746</v>
      </c>
      <c r="AK90" s="235">
        <v>427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3690</v>
      </c>
      <c r="AZ90" s="235">
        <v>0</v>
      </c>
      <c r="BA90" s="235">
        <v>858</v>
      </c>
      <c r="BB90" s="235">
        <v>128</v>
      </c>
      <c r="BC90" s="235">
        <v>0</v>
      </c>
      <c r="BD90" s="235">
        <v>670</v>
      </c>
      <c r="BE90" s="235">
        <v>2961</v>
      </c>
      <c r="BF90" s="235">
        <v>1051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7194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366</v>
      </c>
      <c r="BW90" s="235">
        <v>0</v>
      </c>
      <c r="BX90" s="235">
        <v>0</v>
      </c>
      <c r="BY90" s="235">
        <v>72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62296</v>
      </c>
      <c r="CF90" s="25">
        <f>BE59-CE90</f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0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0</v>
      </c>
      <c r="CF91" s="25">
        <f>AY59-CE91</f>
        <v>13532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446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/>
      <c r="L92" s="235">
        <f>892/2</f>
        <v>446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892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3055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/>
      <c r="L93" s="235">
        <v>3544</v>
      </c>
      <c r="M93" s="235">
        <v>0</v>
      </c>
      <c r="N93" s="235">
        <v>88</v>
      </c>
      <c r="O93" s="235">
        <v>0</v>
      </c>
      <c r="P93" s="235">
        <v>1098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1168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f>39+1019</f>
        <v>1058</v>
      </c>
      <c r="AF93" s="235">
        <v>0</v>
      </c>
      <c r="AG93" s="235">
        <v>1582</v>
      </c>
      <c r="AH93" s="235">
        <v>565</v>
      </c>
      <c r="AI93" s="235">
        <v>0</v>
      </c>
      <c r="AJ93" s="235">
        <v>0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12158</v>
      </c>
      <c r="CF93" s="25">
        <f>BA59</f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15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/>
      <c r="L94" s="239">
        <v>9</v>
      </c>
      <c r="M94" s="239">
        <v>0</v>
      </c>
      <c r="N94" s="239">
        <v>0</v>
      </c>
      <c r="O94" s="239">
        <v>0</v>
      </c>
      <c r="P94" s="236">
        <v>0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4.08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28.08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1365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 t="s">
        <v>310</v>
      </c>
      <c r="D102" s="246" t="s">
        <v>5</v>
      </c>
      <c r="E102" s="247" t="s">
        <v>5</v>
      </c>
      <c r="F102" s="12"/>
    </row>
    <row r="103" spans="1:6" x14ac:dyDescent="0.35">
      <c r="A103" s="25" t="s">
        <v>311</v>
      </c>
      <c r="B103" s="32" t="s">
        <v>299</v>
      </c>
      <c r="C103" s="249" t="s">
        <v>312</v>
      </c>
      <c r="D103" s="246" t="s">
        <v>5</v>
      </c>
      <c r="E103" s="247" t="s">
        <v>5</v>
      </c>
      <c r="F103" s="12"/>
    </row>
    <row r="104" spans="1:6" x14ac:dyDescent="0.35">
      <c r="A104" s="25" t="s">
        <v>313</v>
      </c>
      <c r="B104" s="32" t="s">
        <v>299</v>
      </c>
      <c r="C104" s="252" t="s">
        <v>1375</v>
      </c>
      <c r="D104" s="246" t="s">
        <v>5</v>
      </c>
      <c r="E104" s="247" t="s">
        <v>5</v>
      </c>
      <c r="F104" s="12"/>
    </row>
    <row r="105" spans="1:6" ht="15" x14ac:dyDescent="0.25">
      <c r="A105" s="25" t="s">
        <v>315</v>
      </c>
      <c r="B105" s="32" t="s">
        <v>299</v>
      </c>
      <c r="C105" s="252" t="s">
        <v>1374</v>
      </c>
      <c r="D105" s="246" t="s">
        <v>5</v>
      </c>
      <c r="E105" s="247" t="s">
        <v>5</v>
      </c>
      <c r="F105" s="12"/>
    </row>
    <row r="106" spans="1:6" ht="15" x14ac:dyDescent="0.25">
      <c r="A106" s="25" t="s">
        <v>317</v>
      </c>
      <c r="B106" s="32" t="s">
        <v>299</v>
      </c>
      <c r="C106" s="249" t="s">
        <v>5</v>
      </c>
      <c r="D106" s="246" t="s">
        <v>5</v>
      </c>
      <c r="E106" s="247" t="s">
        <v>5</v>
      </c>
      <c r="F106" s="12"/>
    </row>
    <row r="107" spans="1:6" ht="15" x14ac:dyDescent="0.25">
      <c r="A107" s="25" t="s">
        <v>319</v>
      </c>
      <c r="B107" s="32" t="s">
        <v>299</v>
      </c>
      <c r="C107" s="253" t="s">
        <v>320</v>
      </c>
      <c r="D107" s="246" t="s">
        <v>5</v>
      </c>
      <c r="E107" s="247" t="s">
        <v>5</v>
      </c>
      <c r="F107" s="12"/>
    </row>
    <row r="108" spans="1:6" ht="15" x14ac:dyDescent="0.25">
      <c r="A108" s="25" t="s">
        <v>321</v>
      </c>
      <c r="B108" s="32" t="s">
        <v>299</v>
      </c>
      <c r="C108" s="253" t="s">
        <v>322</v>
      </c>
      <c r="D108" s="246" t="s">
        <v>5</v>
      </c>
      <c r="E108" s="247" t="s">
        <v>5</v>
      </c>
      <c r="F108" s="12"/>
    </row>
    <row r="109" spans="1:6" ht="15" x14ac:dyDescent="0.25">
      <c r="A109" s="33" t="s">
        <v>323</v>
      </c>
      <c r="B109" s="32" t="s">
        <v>299</v>
      </c>
      <c r="C109" s="249" t="s">
        <v>1374</v>
      </c>
      <c r="D109" s="246" t="s">
        <v>5</v>
      </c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330" t="s">
        <v>325</v>
      </c>
      <c r="D110" s="246" t="s">
        <v>5</v>
      </c>
      <c r="E110" s="247" t="s">
        <v>5</v>
      </c>
      <c r="F110" s="12"/>
    </row>
    <row r="111" spans="1:6" ht="15" x14ac:dyDescent="0.25">
      <c r="A111" s="30" t="s">
        <v>326</v>
      </c>
      <c r="B111" s="30"/>
      <c r="C111" s="30"/>
      <c r="D111" s="30"/>
      <c r="E111" s="30"/>
    </row>
    <row r="112" spans="1:6" ht="15" x14ac:dyDescent="0.25">
      <c r="A112" s="34" t="s">
        <v>327</v>
      </c>
      <c r="B112" s="34"/>
      <c r="C112" s="34"/>
      <c r="D112" s="34"/>
      <c r="E112" s="34"/>
    </row>
    <row r="113" spans="1:5" ht="15" x14ac:dyDescent="0.25">
      <c r="A113" s="16" t="s">
        <v>307</v>
      </c>
      <c r="B113" s="35" t="s">
        <v>299</v>
      </c>
      <c r="C113" s="254">
        <v>0</v>
      </c>
      <c r="D113" s="16"/>
      <c r="E113" s="16"/>
    </row>
    <row r="114" spans="1:5" ht="15" x14ac:dyDescent="0.25">
      <c r="A114" s="16" t="s">
        <v>311</v>
      </c>
      <c r="B114" s="35" t="s">
        <v>299</v>
      </c>
      <c r="C114" s="254">
        <v>0</v>
      </c>
      <c r="D114" s="16"/>
      <c r="E114" s="16"/>
    </row>
    <row r="115" spans="1:5" ht="15" x14ac:dyDescent="0.25">
      <c r="A115" s="16" t="s">
        <v>328</v>
      </c>
      <c r="B115" s="35" t="s">
        <v>299</v>
      </c>
      <c r="C115" s="254">
        <v>1</v>
      </c>
      <c r="D115" s="16"/>
      <c r="E115" s="16"/>
    </row>
    <row r="116" spans="1:5" ht="15" x14ac:dyDescent="0.25">
      <c r="A116" s="34" t="s">
        <v>329</v>
      </c>
      <c r="B116" s="34"/>
      <c r="C116" s="34"/>
      <c r="D116" s="34"/>
      <c r="E116" s="34"/>
    </row>
    <row r="117" spans="1:5" ht="15" x14ac:dyDescent="0.25">
      <c r="A117" s="16" t="s">
        <v>330</v>
      </c>
      <c r="B117" s="35" t="s">
        <v>299</v>
      </c>
      <c r="C117" s="254">
        <v>0</v>
      </c>
      <c r="D117" s="16"/>
      <c r="E117" s="16"/>
    </row>
    <row r="118" spans="1:5" ht="15" x14ac:dyDescent="0.25">
      <c r="A118" s="16" t="s">
        <v>159</v>
      </c>
      <c r="B118" s="35" t="s">
        <v>299</v>
      </c>
      <c r="C118" s="255">
        <v>0</v>
      </c>
      <c r="D118" s="16"/>
      <c r="E118" s="16"/>
    </row>
    <row r="119" spans="1:5" ht="15" x14ac:dyDescent="0.25">
      <c r="A119" s="34" t="s">
        <v>331</v>
      </c>
      <c r="B119" s="34"/>
      <c r="C119" s="34"/>
      <c r="D119" s="34"/>
      <c r="E119" s="34"/>
    </row>
    <row r="120" spans="1:5" ht="15" x14ac:dyDescent="0.25">
      <c r="A120" s="16" t="s">
        <v>332</v>
      </c>
      <c r="B120" s="35" t="s">
        <v>299</v>
      </c>
      <c r="C120" s="254">
        <v>0</v>
      </c>
      <c r="D120" s="16"/>
      <c r="E120" s="16"/>
    </row>
    <row r="121" spans="1:5" ht="15" x14ac:dyDescent="0.25">
      <c r="A121" s="16" t="s">
        <v>333</v>
      </c>
      <c r="B121" s="35" t="s">
        <v>299</v>
      </c>
      <c r="C121" s="254">
        <v>0</v>
      </c>
      <c r="D121" s="16"/>
      <c r="E121" s="16"/>
    </row>
    <row r="122" spans="1:5" ht="15" x14ac:dyDescent="0.25">
      <c r="A122" s="16" t="s">
        <v>334</v>
      </c>
      <c r="B122" s="35" t="s">
        <v>299</v>
      </c>
      <c r="C122" s="254">
        <v>0</v>
      </c>
      <c r="D122" s="16"/>
      <c r="E122" s="16"/>
    </row>
    <row r="123" spans="1:5" ht="15" x14ac:dyDescent="0.25">
      <c r="A123" s="16"/>
      <c r="B123" s="35"/>
      <c r="C123" s="36"/>
      <c r="D123" s="16"/>
      <c r="E123" s="16"/>
    </row>
    <row r="124" spans="1:5" ht="15" x14ac:dyDescent="0.25">
      <c r="A124" s="37" t="s">
        <v>335</v>
      </c>
      <c r="B124" s="30"/>
      <c r="C124" s="30"/>
      <c r="D124" s="30"/>
      <c r="E124" s="30"/>
    </row>
    <row r="125" spans="1:5" ht="15" x14ac:dyDescent="0.25">
      <c r="A125" s="16"/>
      <c r="B125" s="35"/>
      <c r="C125" s="36"/>
      <c r="D125" s="16"/>
      <c r="E125" s="16"/>
    </row>
    <row r="126" spans="1:5" ht="1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ht="15" x14ac:dyDescent="0.25">
      <c r="A127" s="16" t="s">
        <v>338</v>
      </c>
      <c r="B127" s="35" t="s">
        <v>299</v>
      </c>
      <c r="C127" s="256">
        <v>217</v>
      </c>
      <c r="D127" s="257">
        <v>801</v>
      </c>
      <c r="E127" s="16"/>
    </row>
    <row r="128" spans="1:5" ht="15" x14ac:dyDescent="0.25">
      <c r="A128" s="16" t="s">
        <v>339</v>
      </c>
      <c r="B128" s="35" t="s">
        <v>299</v>
      </c>
      <c r="C128" s="256">
        <v>104</v>
      </c>
      <c r="D128" s="257">
        <v>3846</v>
      </c>
      <c r="E128" s="16"/>
    </row>
    <row r="129" spans="1:5" ht="15" x14ac:dyDescent="0.2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ht="15" x14ac:dyDescent="0.25">
      <c r="A130" s="16" t="s">
        <v>341</v>
      </c>
      <c r="B130" s="35" t="s">
        <v>299</v>
      </c>
      <c r="C130" s="254">
        <v>0</v>
      </c>
      <c r="D130" s="257">
        <v>0</v>
      </c>
      <c r="E130" s="16"/>
    </row>
    <row r="131" spans="1:5" ht="15" x14ac:dyDescent="0.25">
      <c r="A131" s="21" t="s">
        <v>342</v>
      </c>
      <c r="B131" s="16"/>
      <c r="C131" s="17" t="s">
        <v>194</v>
      </c>
      <c r="D131" s="16"/>
      <c r="E131" s="16"/>
    </row>
    <row r="132" spans="1:5" ht="15" x14ac:dyDescent="0.25">
      <c r="A132" s="16" t="s">
        <v>343</v>
      </c>
      <c r="B132" s="35" t="s">
        <v>299</v>
      </c>
      <c r="C132" s="254">
        <v>0</v>
      </c>
      <c r="D132" s="16"/>
      <c r="E132" s="16"/>
    </row>
    <row r="133" spans="1:5" ht="15" x14ac:dyDescent="0.25">
      <c r="A133" s="16" t="s">
        <v>344</v>
      </c>
      <c r="B133" s="35" t="s">
        <v>299</v>
      </c>
      <c r="C133" s="254">
        <v>0</v>
      </c>
      <c r="D133" s="16"/>
      <c r="E133" s="16"/>
    </row>
    <row r="134" spans="1:5" ht="15" x14ac:dyDescent="0.25">
      <c r="A134" s="16" t="s">
        <v>345</v>
      </c>
      <c r="B134" s="35" t="s">
        <v>299</v>
      </c>
      <c r="C134" s="258">
        <v>25</v>
      </c>
      <c r="D134" s="16"/>
      <c r="E134" s="16"/>
    </row>
    <row r="135" spans="1:5" ht="15" x14ac:dyDescent="0.25">
      <c r="A135" s="16" t="s">
        <v>346</v>
      </c>
      <c r="B135" s="35" t="s">
        <v>299</v>
      </c>
      <c r="C135" s="254">
        <v>0</v>
      </c>
      <c r="D135" s="16"/>
      <c r="E135" s="16"/>
    </row>
    <row r="136" spans="1:5" ht="15" x14ac:dyDescent="0.25">
      <c r="A136" s="16" t="s">
        <v>347</v>
      </c>
      <c r="B136" s="35" t="s">
        <v>299</v>
      </c>
      <c r="C136" s="254">
        <v>0</v>
      </c>
      <c r="D136" s="16"/>
      <c r="E136" s="16"/>
    </row>
    <row r="137" spans="1:5" ht="15" x14ac:dyDescent="0.25">
      <c r="A137" s="16" t="s">
        <v>348</v>
      </c>
      <c r="B137" s="35" t="s">
        <v>299</v>
      </c>
      <c r="C137" s="254">
        <v>0</v>
      </c>
      <c r="D137" s="16"/>
      <c r="E137" s="16"/>
    </row>
    <row r="138" spans="1:5" ht="15" x14ac:dyDescent="0.25">
      <c r="A138" s="16" t="s">
        <v>123</v>
      </c>
      <c r="B138" s="35" t="s">
        <v>299</v>
      </c>
      <c r="C138" s="254">
        <v>0</v>
      </c>
      <c r="D138" s="16"/>
      <c r="E138" s="16"/>
    </row>
    <row r="139" spans="1:5" ht="15" x14ac:dyDescent="0.25">
      <c r="A139" s="16" t="s">
        <v>349</v>
      </c>
      <c r="B139" s="35" t="s">
        <v>299</v>
      </c>
      <c r="C139" s="256">
        <v>0</v>
      </c>
      <c r="D139" s="16"/>
      <c r="E139" s="16"/>
    </row>
    <row r="140" spans="1:5" ht="15" x14ac:dyDescent="0.25">
      <c r="A140" s="16" t="s">
        <v>350</v>
      </c>
      <c r="B140" s="35"/>
      <c r="C140" s="254">
        <v>25</v>
      </c>
      <c r="D140" s="16"/>
      <c r="E140" s="16"/>
    </row>
    <row r="141" spans="1:5" ht="15" x14ac:dyDescent="0.25">
      <c r="A141" s="16" t="s">
        <v>340</v>
      </c>
      <c r="B141" s="35" t="s">
        <v>299</v>
      </c>
      <c r="C141" s="254">
        <v>0</v>
      </c>
      <c r="D141" s="16"/>
      <c r="E141" s="16"/>
    </row>
    <row r="142" spans="1:5" ht="15" x14ac:dyDescent="0.25">
      <c r="A142" s="16" t="s">
        <v>351</v>
      </c>
      <c r="B142" s="35" t="s">
        <v>299</v>
      </c>
      <c r="C142" s="254">
        <v>0</v>
      </c>
      <c r="D142" s="16"/>
      <c r="E142" s="16"/>
    </row>
    <row r="143" spans="1:5" ht="15" x14ac:dyDescent="0.25">
      <c r="A143" s="16" t="s">
        <v>352</v>
      </c>
      <c r="B143" s="16"/>
      <c r="C143" s="22"/>
      <c r="D143" s="16"/>
      <c r="E143" s="25">
        <f>SUM(C132:C142)</f>
        <v>50</v>
      </c>
    </row>
    <row r="144" spans="1:5" ht="15" x14ac:dyDescent="0.25">
      <c r="A144" s="16" t="s">
        <v>353</v>
      </c>
      <c r="B144" s="35" t="s">
        <v>299</v>
      </c>
      <c r="C144" s="256">
        <v>0</v>
      </c>
      <c r="D144" s="16"/>
      <c r="E144" s="16"/>
    </row>
    <row r="145" spans="1:6" ht="15" x14ac:dyDescent="0.25">
      <c r="A145" s="16" t="s">
        <v>354</v>
      </c>
      <c r="B145" s="35" t="s">
        <v>299</v>
      </c>
      <c r="C145" s="254">
        <v>0</v>
      </c>
      <c r="D145" s="16"/>
      <c r="E145" s="16"/>
    </row>
    <row r="146" spans="1:6" ht="15" x14ac:dyDescent="0.25">
      <c r="A146" s="16"/>
      <c r="B146" s="16"/>
      <c r="C146" s="22"/>
      <c r="D146" s="16"/>
      <c r="E146" s="16"/>
    </row>
    <row r="147" spans="1:6" ht="15" x14ac:dyDescent="0.25">
      <c r="A147" s="16" t="s">
        <v>355</v>
      </c>
      <c r="B147" s="35" t="s">
        <v>299</v>
      </c>
      <c r="C147" s="256">
        <v>0</v>
      </c>
      <c r="D147" s="16"/>
      <c r="E147" s="16"/>
    </row>
    <row r="148" spans="1:6" ht="15" x14ac:dyDescent="0.25">
      <c r="A148" s="16"/>
      <c r="B148" s="16"/>
      <c r="C148" s="22"/>
      <c r="D148" s="16"/>
      <c r="E148" s="16"/>
    </row>
    <row r="149" spans="1:6" ht="15" x14ac:dyDescent="0.25">
      <c r="A149" s="16"/>
      <c r="B149" s="16"/>
      <c r="C149" s="22"/>
      <c r="D149" s="16"/>
      <c r="E149" s="16"/>
    </row>
    <row r="150" spans="1:6" ht="15" x14ac:dyDescent="0.25">
      <c r="A150" s="16"/>
      <c r="B150" s="16"/>
      <c r="C150" s="22"/>
      <c r="D150" s="16"/>
      <c r="E150" s="16"/>
    </row>
    <row r="151" spans="1:6" ht="15" x14ac:dyDescent="0.25">
      <c r="A151" s="16"/>
      <c r="B151" s="16"/>
      <c r="C151" s="22"/>
      <c r="D151" s="16"/>
      <c r="E151" s="16"/>
    </row>
    <row r="152" spans="1:6" ht="15" x14ac:dyDescent="0.25">
      <c r="A152" s="30" t="s">
        <v>356</v>
      </c>
      <c r="B152" s="37"/>
      <c r="C152" s="37"/>
      <c r="D152" s="37"/>
      <c r="E152" s="37"/>
    </row>
    <row r="153" spans="1:6" ht="15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ht="15" x14ac:dyDescent="0.25">
      <c r="A154" s="16" t="s">
        <v>337</v>
      </c>
      <c r="B154" s="257">
        <f>148+25</f>
        <v>173</v>
      </c>
      <c r="C154" s="257">
        <f>19</f>
        <v>19</v>
      </c>
      <c r="D154" s="257">
        <f>25</f>
        <v>25</v>
      </c>
      <c r="E154" s="25">
        <f>SUM(B154:D154)</f>
        <v>217</v>
      </c>
    </row>
    <row r="155" spans="1:6" ht="15" x14ac:dyDescent="0.25">
      <c r="A155" s="16" t="s">
        <v>242</v>
      </c>
      <c r="B155" s="257">
        <f>498+123+21</f>
        <v>642</v>
      </c>
      <c r="C155" s="257">
        <f>3+59</f>
        <v>62</v>
      </c>
      <c r="D155" s="257">
        <f>801-642-62</f>
        <v>97</v>
      </c>
      <c r="E155" s="25">
        <f>SUM(B155:D155)</f>
        <v>801</v>
      </c>
    </row>
    <row r="156" spans="1:6" ht="15" x14ac:dyDescent="0.25">
      <c r="A156" s="16" t="s">
        <v>360</v>
      </c>
      <c r="B156" s="257">
        <v>16328</v>
      </c>
      <c r="C156" s="257">
        <v>6723</v>
      </c>
      <c r="D156" s="257">
        <v>0</v>
      </c>
      <c r="E156" s="25">
        <f>SUM(B156:D156)</f>
        <v>23051</v>
      </c>
    </row>
    <row r="157" spans="1:6" ht="15" x14ac:dyDescent="0.25">
      <c r="A157" s="16" t="s">
        <v>287</v>
      </c>
      <c r="B157" s="257">
        <f>2960563-B163</f>
        <v>2353500.0699999998</v>
      </c>
      <c r="C157" s="257">
        <f>986854.25-C163</f>
        <v>850665.23</v>
      </c>
      <c r="D157" s="257">
        <f>1859091-D163</f>
        <v>1482707.63</v>
      </c>
      <c r="E157" s="25">
        <f>SUM(B157:D157)</f>
        <v>4686872.93</v>
      </c>
      <c r="F157" s="14"/>
    </row>
    <row r="158" spans="1:6" ht="15" x14ac:dyDescent="0.25">
      <c r="A158" s="16" t="s">
        <v>288</v>
      </c>
      <c r="B158" s="257">
        <f>12614440-B164</f>
        <v>12614440</v>
      </c>
      <c r="C158" s="257">
        <f>4204813-C164</f>
        <v>4204813</v>
      </c>
      <c r="D158" s="257">
        <f>13485517-D164</f>
        <v>13485517</v>
      </c>
      <c r="E158" s="25">
        <f>SUM(B158:D158)</f>
        <v>30304770</v>
      </c>
      <c r="F158" s="14"/>
    </row>
    <row r="159" spans="1:6" ht="15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ht="15" x14ac:dyDescent="0.25">
      <c r="A160" s="16" t="s">
        <v>337</v>
      </c>
      <c r="B160" s="234">
        <f>71+8</f>
        <v>79</v>
      </c>
      <c r="C160" s="234">
        <v>16</v>
      </c>
      <c r="D160" s="234">
        <v>9</v>
      </c>
      <c r="E160" s="25">
        <f>SUM(B160:D160)</f>
        <v>104</v>
      </c>
    </row>
    <row r="161" spans="1:5" ht="15" x14ac:dyDescent="0.25">
      <c r="A161" s="16" t="s">
        <v>242</v>
      </c>
      <c r="B161" s="234">
        <f>352+38+491+48</f>
        <v>929</v>
      </c>
      <c r="C161" s="234">
        <f>85+9+961+0</f>
        <v>1055</v>
      </c>
      <c r="D161" s="234">
        <f>12+41+14+1795</f>
        <v>1862</v>
      </c>
      <c r="E161" s="25">
        <f>SUM(B161:D161)</f>
        <v>3846</v>
      </c>
    </row>
    <row r="162" spans="1:5" ht="15" x14ac:dyDescent="0.25">
      <c r="A162" s="16" t="s">
        <v>360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ht="15" x14ac:dyDescent="0.25">
      <c r="A163" s="16" t="s">
        <v>287</v>
      </c>
      <c r="B163" s="234">
        <f>505087.7+101975.23</f>
        <v>607062.93000000005</v>
      </c>
      <c r="C163" s="234">
        <v>136189.01999999999</v>
      </c>
      <c r="D163" s="234">
        <f>385.8+375997.57</f>
        <v>376383.37</v>
      </c>
      <c r="E163" s="25">
        <f>SUM(B163:D163)</f>
        <v>1119635.32</v>
      </c>
    </row>
    <row r="164" spans="1:5" ht="15" x14ac:dyDescent="0.2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ht="1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ht="15" x14ac:dyDescent="0.2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ht="1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ht="15" x14ac:dyDescent="0.2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ht="1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ht="1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ht="15" x14ac:dyDescent="0.25">
      <c r="A171" s="20"/>
      <c r="B171" s="20"/>
      <c r="C171" s="41"/>
      <c r="D171" s="42"/>
      <c r="E171" s="16"/>
    </row>
    <row r="172" spans="1:5" ht="1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ht="15" x14ac:dyDescent="0.25">
      <c r="A173" s="20" t="s">
        <v>366</v>
      </c>
      <c r="B173" s="234">
        <v>0</v>
      </c>
      <c r="C173" s="234">
        <v>0</v>
      </c>
      <c r="D173" s="16"/>
      <c r="E173" s="16"/>
    </row>
    <row r="174" spans="1:5" ht="15" x14ac:dyDescent="0.25">
      <c r="A174" s="20"/>
      <c r="B174" s="42"/>
      <c r="C174" s="41"/>
      <c r="D174" s="16"/>
      <c r="E174" s="16"/>
    </row>
    <row r="175" spans="1:5" ht="15" x14ac:dyDescent="0.25">
      <c r="A175" s="20"/>
      <c r="B175" s="20"/>
      <c r="C175" s="41"/>
      <c r="D175" s="42"/>
      <c r="E175" s="16"/>
    </row>
    <row r="176" spans="1:5" ht="15" x14ac:dyDescent="0.25">
      <c r="A176" s="20"/>
      <c r="B176" s="20"/>
      <c r="C176" s="41"/>
      <c r="D176" s="42"/>
      <c r="E176" s="16"/>
    </row>
    <row r="177" spans="1:5" ht="15" x14ac:dyDescent="0.25">
      <c r="A177" s="20"/>
      <c r="B177" s="20"/>
      <c r="C177" s="41"/>
      <c r="D177" s="42"/>
      <c r="E177" s="16"/>
    </row>
    <row r="178" spans="1:5" ht="15" x14ac:dyDescent="0.25">
      <c r="A178" s="20"/>
      <c r="B178" s="20"/>
      <c r="C178" s="41"/>
      <c r="D178" s="42"/>
      <c r="E178" s="16"/>
    </row>
    <row r="179" spans="1:5" ht="15" x14ac:dyDescent="0.25">
      <c r="A179" s="37" t="s">
        <v>367</v>
      </c>
      <c r="B179" s="30"/>
      <c r="C179" s="30"/>
      <c r="D179" s="30"/>
      <c r="E179" s="30"/>
    </row>
    <row r="180" spans="1:5" ht="15" x14ac:dyDescent="0.25">
      <c r="A180" s="34" t="s">
        <v>368</v>
      </c>
      <c r="B180" s="34"/>
      <c r="C180" s="34"/>
      <c r="D180" s="34"/>
      <c r="E180" s="34"/>
    </row>
    <row r="181" spans="1:5" ht="15" x14ac:dyDescent="0.25">
      <c r="A181" s="16" t="s">
        <v>369</v>
      </c>
      <c r="B181" s="35" t="s">
        <v>299</v>
      </c>
      <c r="C181" s="254">
        <v>1113218.26</v>
      </c>
      <c r="D181" s="16"/>
      <c r="E181" s="16"/>
    </row>
    <row r="182" spans="1:5" ht="15" x14ac:dyDescent="0.25">
      <c r="A182" s="16" t="s">
        <v>370</v>
      </c>
      <c r="B182" s="35" t="s">
        <v>299</v>
      </c>
      <c r="C182" s="254">
        <v>8344.0499999999993</v>
      </c>
      <c r="D182" s="16"/>
      <c r="E182" s="16"/>
    </row>
    <row r="183" spans="1:5" ht="15" x14ac:dyDescent="0.25">
      <c r="A183" s="20" t="s">
        <v>371</v>
      </c>
      <c r="B183" s="35" t="s">
        <v>299</v>
      </c>
      <c r="C183" s="254">
        <f>135549.94+31875.73</f>
        <v>167425.67000000001</v>
      </c>
      <c r="D183" s="16"/>
      <c r="E183" s="16"/>
    </row>
    <row r="184" spans="1:5" ht="15" x14ac:dyDescent="0.25">
      <c r="A184" s="16" t="s">
        <v>372</v>
      </c>
      <c r="B184" s="35" t="s">
        <v>299</v>
      </c>
      <c r="C184" s="254">
        <v>1905920.61</v>
      </c>
      <c r="D184" s="16"/>
      <c r="E184" s="16"/>
    </row>
    <row r="185" spans="1:5" ht="15" x14ac:dyDescent="0.25">
      <c r="A185" s="16" t="s">
        <v>373</v>
      </c>
      <c r="B185" s="35" t="s">
        <v>299</v>
      </c>
      <c r="C185" s="254">
        <v>0</v>
      </c>
      <c r="D185" s="16"/>
      <c r="E185" s="16"/>
    </row>
    <row r="186" spans="1:5" ht="15" x14ac:dyDescent="0.25">
      <c r="A186" s="16" t="s">
        <v>374</v>
      </c>
      <c r="B186" s="35" t="s">
        <v>299</v>
      </c>
      <c r="C186" s="254">
        <v>404874.12</v>
      </c>
      <c r="D186" s="16"/>
      <c r="E186" s="16"/>
    </row>
    <row r="187" spans="1:5" ht="15" x14ac:dyDescent="0.25">
      <c r="A187" s="16" t="s">
        <v>375</v>
      </c>
      <c r="B187" s="35" t="s">
        <v>299</v>
      </c>
      <c r="C187" s="254">
        <v>115266.73</v>
      </c>
      <c r="D187" s="16"/>
      <c r="E187" s="16"/>
    </row>
    <row r="188" spans="1:5" ht="15" x14ac:dyDescent="0.25">
      <c r="A188" s="16" t="s">
        <v>375</v>
      </c>
      <c r="B188" s="35" t="s">
        <v>299</v>
      </c>
      <c r="C188" s="254">
        <v>5737.44</v>
      </c>
      <c r="D188" s="16"/>
      <c r="E188" s="16"/>
    </row>
    <row r="189" spans="1:5" ht="15" x14ac:dyDescent="0.25">
      <c r="A189" s="16" t="s">
        <v>230</v>
      </c>
      <c r="B189" s="16"/>
      <c r="C189" s="22"/>
      <c r="D189" s="25">
        <f>SUM(C181:C188)</f>
        <v>3720786.88</v>
      </c>
      <c r="E189" s="16"/>
    </row>
    <row r="190" spans="1:5" ht="15" x14ac:dyDescent="0.25">
      <c r="A190" s="34" t="s">
        <v>376</v>
      </c>
      <c r="B190" s="34"/>
      <c r="C190" s="34"/>
      <c r="D190" s="34"/>
      <c r="E190" s="34"/>
    </row>
    <row r="191" spans="1:5" ht="15" x14ac:dyDescent="0.25">
      <c r="A191" s="16" t="s">
        <v>377</v>
      </c>
      <c r="B191" s="35" t="s">
        <v>299</v>
      </c>
      <c r="C191" s="254">
        <v>0</v>
      </c>
      <c r="D191" s="16"/>
      <c r="E191" s="16"/>
    </row>
    <row r="192" spans="1:5" ht="15" x14ac:dyDescent="0.25">
      <c r="A192" s="16" t="s">
        <v>378</v>
      </c>
      <c r="B192" s="35" t="s">
        <v>299</v>
      </c>
      <c r="C192" s="254">
        <v>84582.04</v>
      </c>
      <c r="D192" s="16"/>
      <c r="E192" s="16"/>
    </row>
    <row r="193" spans="1:5" ht="15" x14ac:dyDescent="0.25">
      <c r="A193" s="16" t="s">
        <v>230</v>
      </c>
      <c r="B193" s="16"/>
      <c r="C193" s="22"/>
      <c r="D193" s="25">
        <f>SUM(C191:C192)</f>
        <v>84582.04</v>
      </c>
      <c r="E193" s="16"/>
    </row>
    <row r="194" spans="1:5" ht="15" x14ac:dyDescent="0.25">
      <c r="A194" s="34" t="s">
        <v>379</v>
      </c>
      <c r="B194" s="34"/>
      <c r="C194" s="34"/>
      <c r="D194" s="34"/>
      <c r="E194" s="34"/>
    </row>
    <row r="195" spans="1:5" ht="15" x14ac:dyDescent="0.25">
      <c r="A195" s="16" t="s">
        <v>380</v>
      </c>
      <c r="B195" s="35" t="s">
        <v>299</v>
      </c>
      <c r="C195" s="254">
        <v>328039.71000000002</v>
      </c>
      <c r="D195" s="16"/>
      <c r="E195" s="16"/>
    </row>
    <row r="196" spans="1:5" ht="15" x14ac:dyDescent="0.25">
      <c r="A196" s="16" t="s">
        <v>381</v>
      </c>
      <c r="B196" s="35" t="s">
        <v>299</v>
      </c>
      <c r="C196" s="254">
        <v>0</v>
      </c>
      <c r="D196" s="16"/>
      <c r="E196" s="16"/>
    </row>
    <row r="197" spans="1:5" ht="15" x14ac:dyDescent="0.25">
      <c r="A197" s="16" t="s">
        <v>230</v>
      </c>
      <c r="B197" s="16"/>
      <c r="C197" s="22"/>
      <c r="D197" s="25">
        <f>SUM(C195:C196)</f>
        <v>328039.71000000002</v>
      </c>
      <c r="E197" s="16"/>
    </row>
    <row r="198" spans="1:5" ht="15" x14ac:dyDescent="0.25">
      <c r="A198" s="34" t="s">
        <v>382</v>
      </c>
      <c r="B198" s="34"/>
      <c r="C198" s="34"/>
      <c r="D198" s="34"/>
      <c r="E198" s="34"/>
    </row>
    <row r="199" spans="1:5" ht="15" x14ac:dyDescent="0.25">
      <c r="A199" s="16" t="s">
        <v>383</v>
      </c>
      <c r="B199" s="35" t="s">
        <v>299</v>
      </c>
      <c r="C199" s="254">
        <v>99024.03</v>
      </c>
      <c r="D199" s="16"/>
      <c r="E199" s="16"/>
    </row>
    <row r="200" spans="1:5" ht="15" x14ac:dyDescent="0.25">
      <c r="A200" s="16" t="s">
        <v>384</v>
      </c>
      <c r="B200" s="35" t="s">
        <v>299</v>
      </c>
      <c r="C200" s="254">
        <v>81917.16</v>
      </c>
      <c r="D200" s="16"/>
      <c r="E200" s="16"/>
    </row>
    <row r="201" spans="1:5" ht="15" x14ac:dyDescent="0.25">
      <c r="A201" s="16" t="s">
        <v>159</v>
      </c>
      <c r="B201" s="35" t="s">
        <v>299</v>
      </c>
      <c r="C201" s="254">
        <v>162896.9</v>
      </c>
      <c r="D201" s="16"/>
      <c r="E201" s="16"/>
    </row>
    <row r="202" spans="1:5" ht="15" x14ac:dyDescent="0.25">
      <c r="A202" s="16" t="s">
        <v>230</v>
      </c>
      <c r="B202" s="16"/>
      <c r="C202" s="22"/>
      <c r="D202" s="25">
        <f>SUM(C199:C201)</f>
        <v>343838.08999999997</v>
      </c>
      <c r="E202" s="16"/>
    </row>
    <row r="203" spans="1:5" ht="15" x14ac:dyDescent="0.25">
      <c r="A203" s="34" t="s">
        <v>385</v>
      </c>
      <c r="B203" s="34"/>
      <c r="C203" s="34"/>
      <c r="D203" s="34"/>
      <c r="E203" s="34"/>
    </row>
    <row r="204" spans="1:5" ht="15" x14ac:dyDescent="0.25">
      <c r="A204" s="16" t="s">
        <v>386</v>
      </c>
      <c r="B204" s="35" t="s">
        <v>299</v>
      </c>
      <c r="C204" s="254">
        <v>195771.42</v>
      </c>
      <c r="D204" s="16"/>
      <c r="E204" s="16"/>
    </row>
    <row r="205" spans="1:5" ht="15" x14ac:dyDescent="0.25">
      <c r="A205" s="16" t="s">
        <v>387</v>
      </c>
      <c r="B205" s="35" t="s">
        <v>299</v>
      </c>
      <c r="C205" s="254">
        <v>0</v>
      </c>
      <c r="D205" s="16"/>
      <c r="E205" s="16"/>
    </row>
    <row r="206" spans="1:5" ht="15" x14ac:dyDescent="0.25">
      <c r="A206" s="16" t="s">
        <v>230</v>
      </c>
      <c r="B206" s="16"/>
      <c r="C206" s="22"/>
      <c r="D206" s="25">
        <f>SUM(C204:C205)</f>
        <v>195771.42</v>
      </c>
      <c r="E206" s="16"/>
    </row>
    <row r="207" spans="1:5" ht="15" x14ac:dyDescent="0.25">
      <c r="A207" s="16"/>
      <c r="B207" s="16"/>
      <c r="C207" s="22"/>
      <c r="D207" s="16"/>
      <c r="E207" s="16"/>
    </row>
    <row r="208" spans="1:5" ht="15" x14ac:dyDescent="0.25">
      <c r="A208" s="30" t="s">
        <v>388</v>
      </c>
      <c r="B208" s="30"/>
      <c r="C208" s="30"/>
      <c r="D208" s="30"/>
      <c r="E208" s="30"/>
    </row>
    <row r="209" spans="1:5" ht="15" x14ac:dyDescent="0.25">
      <c r="A209" s="37" t="s">
        <v>389</v>
      </c>
      <c r="B209" s="30"/>
      <c r="C209" s="30"/>
      <c r="D209" s="30"/>
      <c r="E209" s="30"/>
    </row>
    <row r="210" spans="1:5" ht="1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ht="15" x14ac:dyDescent="0.25">
      <c r="A211" s="16" t="s">
        <v>394</v>
      </c>
      <c r="B211" s="254">
        <f>331080+461550</f>
        <v>792630</v>
      </c>
      <c r="C211" s="254">
        <v>0</v>
      </c>
      <c r="D211" s="257">
        <v>0</v>
      </c>
      <c r="E211" s="25">
        <f t="shared" ref="E211:E219" si="22">SUM(B211:C211)-D211</f>
        <v>792630</v>
      </c>
    </row>
    <row r="212" spans="1:5" ht="15" x14ac:dyDescent="0.25">
      <c r="A212" s="16" t="s">
        <v>395</v>
      </c>
      <c r="B212" s="254">
        <v>324429</v>
      </c>
      <c r="C212" s="254">
        <v>0</v>
      </c>
      <c r="D212" s="257">
        <v>0</v>
      </c>
      <c r="E212" s="25">
        <f t="shared" si="22"/>
        <v>324429</v>
      </c>
    </row>
    <row r="213" spans="1:5" ht="15" x14ac:dyDescent="0.25">
      <c r="A213" s="16" t="s">
        <v>396</v>
      </c>
      <c r="B213" s="254">
        <v>12857806</v>
      </c>
      <c r="C213" s="254">
        <v>0</v>
      </c>
      <c r="D213" s="257">
        <v>0</v>
      </c>
      <c r="E213" s="25">
        <f t="shared" si="22"/>
        <v>12857806</v>
      </c>
    </row>
    <row r="214" spans="1:5" ht="15" x14ac:dyDescent="0.25">
      <c r="A214" s="16" t="s">
        <v>397</v>
      </c>
      <c r="B214" s="254">
        <v>0</v>
      </c>
      <c r="C214" s="254">
        <v>0</v>
      </c>
      <c r="D214" s="257">
        <v>0</v>
      </c>
      <c r="E214" s="25">
        <f t="shared" si="22"/>
        <v>0</v>
      </c>
    </row>
    <row r="215" spans="1:5" ht="15" x14ac:dyDescent="0.25">
      <c r="A215" s="16" t="s">
        <v>398</v>
      </c>
      <c r="B215" s="254">
        <v>5310503</v>
      </c>
      <c r="C215" s="254">
        <v>0</v>
      </c>
      <c r="D215" s="257">
        <v>0</v>
      </c>
      <c r="E215" s="25">
        <f t="shared" si="22"/>
        <v>5310503</v>
      </c>
    </row>
    <row r="216" spans="1:5" ht="15" x14ac:dyDescent="0.25">
      <c r="A216" s="16" t="s">
        <v>399</v>
      </c>
      <c r="B216" s="254">
        <v>8211644</v>
      </c>
      <c r="C216" s="254">
        <f>3004124+138048</f>
        <v>3142172</v>
      </c>
      <c r="D216" s="257">
        <v>0</v>
      </c>
      <c r="E216" s="25">
        <f t="shared" si="22"/>
        <v>11353816</v>
      </c>
    </row>
    <row r="217" spans="1:5" ht="15" x14ac:dyDescent="0.25">
      <c r="A217" s="16" t="s">
        <v>400</v>
      </c>
      <c r="B217" s="254">
        <v>0</v>
      </c>
      <c r="C217" s="254">
        <v>0</v>
      </c>
      <c r="D217" s="257">
        <v>0</v>
      </c>
      <c r="E217" s="25">
        <f t="shared" si="22"/>
        <v>0</v>
      </c>
    </row>
    <row r="218" spans="1:5" ht="15" x14ac:dyDescent="0.25">
      <c r="A218" s="16" t="s">
        <v>401</v>
      </c>
      <c r="B218" s="254">
        <v>0</v>
      </c>
      <c r="C218" s="254">
        <v>0</v>
      </c>
      <c r="D218" s="257">
        <v>0</v>
      </c>
      <c r="E218" s="25">
        <f t="shared" si="22"/>
        <v>0</v>
      </c>
    </row>
    <row r="219" spans="1:5" ht="15" x14ac:dyDescent="0.25">
      <c r="A219" s="16" t="s">
        <v>402</v>
      </c>
      <c r="B219" s="254">
        <v>138048</v>
      </c>
      <c r="C219" s="254">
        <v>-138048</v>
      </c>
      <c r="D219" s="257">
        <v>0</v>
      </c>
      <c r="E219" s="25">
        <f t="shared" si="22"/>
        <v>0</v>
      </c>
    </row>
    <row r="220" spans="1:5" ht="15" x14ac:dyDescent="0.25">
      <c r="A220" s="16" t="s">
        <v>230</v>
      </c>
      <c r="B220" s="25">
        <f>SUM(B211:B219)</f>
        <v>27635060</v>
      </c>
      <c r="C220" s="225">
        <f>SUM(C211:C219)</f>
        <v>3004124</v>
      </c>
      <c r="D220" s="25">
        <f>SUM(D211:D219)</f>
        <v>0</v>
      </c>
      <c r="E220" s="25">
        <f>SUM(E211:E219)</f>
        <v>30639184</v>
      </c>
    </row>
    <row r="221" spans="1:5" ht="15" x14ac:dyDescent="0.25">
      <c r="A221" s="16"/>
      <c r="B221" s="16"/>
      <c r="C221" s="22"/>
      <c r="D221" s="16"/>
      <c r="E221" s="16"/>
    </row>
    <row r="222" spans="1:5" ht="15" x14ac:dyDescent="0.25">
      <c r="A222" s="37" t="s">
        <v>403</v>
      </c>
      <c r="B222" s="37"/>
      <c r="C222" s="37"/>
      <c r="D222" s="37"/>
      <c r="E222" s="37"/>
    </row>
    <row r="223" spans="1:5" ht="1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ht="15" x14ac:dyDescent="0.25">
      <c r="A224" s="16" t="s">
        <v>394</v>
      </c>
      <c r="B224" s="42"/>
      <c r="C224" s="41"/>
      <c r="D224" s="42"/>
      <c r="E224" s="16"/>
    </row>
    <row r="225" spans="1:6" ht="15" x14ac:dyDescent="0.25">
      <c r="A225" s="16" t="s">
        <v>395</v>
      </c>
      <c r="B225" s="254">
        <v>310261</v>
      </c>
      <c r="C225" s="254">
        <v>2881</v>
      </c>
      <c r="D225" s="257">
        <v>0</v>
      </c>
      <c r="E225" s="25">
        <f t="shared" ref="E225:E232" si="23">SUM(B225:C225)-D225</f>
        <v>313142</v>
      </c>
    </row>
    <row r="226" spans="1:6" ht="15" x14ac:dyDescent="0.25">
      <c r="A226" s="16" t="s">
        <v>396</v>
      </c>
      <c r="B226" s="254">
        <v>4873907</v>
      </c>
      <c r="C226" s="254">
        <v>527715</v>
      </c>
      <c r="D226" s="257">
        <v>0</v>
      </c>
      <c r="E226" s="25">
        <f t="shared" si="23"/>
        <v>5401622</v>
      </c>
    </row>
    <row r="227" spans="1:6" ht="15" x14ac:dyDescent="0.25">
      <c r="A227" s="16" t="s">
        <v>397</v>
      </c>
      <c r="B227" s="254">
        <v>0</v>
      </c>
      <c r="C227" s="254">
        <v>0</v>
      </c>
      <c r="D227" s="257">
        <v>0</v>
      </c>
      <c r="E227" s="25">
        <f t="shared" si="23"/>
        <v>0</v>
      </c>
    </row>
    <row r="228" spans="1:6" ht="15" x14ac:dyDescent="0.25">
      <c r="A228" s="16" t="s">
        <v>398</v>
      </c>
      <c r="B228" s="254">
        <v>4954063</v>
      </c>
      <c r="C228" s="254">
        <v>92613</v>
      </c>
      <c r="D228" s="257">
        <v>0</v>
      </c>
      <c r="E228" s="25">
        <f t="shared" si="23"/>
        <v>5046676</v>
      </c>
    </row>
    <row r="229" spans="1:6" ht="15" x14ac:dyDescent="0.25">
      <c r="A229" s="16" t="s">
        <v>399</v>
      </c>
      <c r="B229" s="254">
        <v>6571725</v>
      </c>
      <c r="C229" s="254">
        <v>959971</v>
      </c>
      <c r="D229" s="257">
        <v>0</v>
      </c>
      <c r="E229" s="25">
        <f t="shared" si="23"/>
        <v>7531696</v>
      </c>
    </row>
    <row r="230" spans="1:6" ht="15" x14ac:dyDescent="0.25">
      <c r="A230" s="16" t="s">
        <v>400</v>
      </c>
      <c r="B230" s="254">
        <v>0</v>
      </c>
      <c r="C230" s="254">
        <v>0</v>
      </c>
      <c r="D230" s="257">
        <v>0</v>
      </c>
      <c r="E230" s="25">
        <f t="shared" si="23"/>
        <v>0</v>
      </c>
    </row>
    <row r="231" spans="1:6" ht="15" x14ac:dyDescent="0.25">
      <c r="A231" s="16" t="s">
        <v>401</v>
      </c>
      <c r="B231" s="254">
        <v>0</v>
      </c>
      <c r="C231" s="254">
        <v>0</v>
      </c>
      <c r="D231" s="257">
        <v>0</v>
      </c>
      <c r="E231" s="25">
        <f t="shared" si="23"/>
        <v>0</v>
      </c>
    </row>
    <row r="232" spans="1:6" ht="15" x14ac:dyDescent="0.25">
      <c r="A232" s="16" t="s">
        <v>402</v>
      </c>
      <c r="B232" s="254">
        <v>0</v>
      </c>
      <c r="C232" s="254">
        <v>0</v>
      </c>
      <c r="D232" s="257">
        <v>0</v>
      </c>
      <c r="E232" s="25">
        <f t="shared" si="23"/>
        <v>0</v>
      </c>
    </row>
    <row r="233" spans="1:6" ht="15" x14ac:dyDescent="0.25">
      <c r="A233" s="16" t="s">
        <v>230</v>
      </c>
      <c r="B233" s="25">
        <f>SUM(B224:B232)</f>
        <v>16709956</v>
      </c>
      <c r="C233" s="225">
        <f>SUM(C224:C232)</f>
        <v>1583180</v>
      </c>
      <c r="D233" s="25">
        <f>SUM(D224:D232)</f>
        <v>0</v>
      </c>
      <c r="E233" s="25">
        <f>SUM(E224:E232)</f>
        <v>18293136</v>
      </c>
    </row>
    <row r="234" spans="1:6" ht="15" x14ac:dyDescent="0.25">
      <c r="A234" s="16"/>
      <c r="B234" s="16"/>
      <c r="C234" s="22"/>
      <c r="D234" s="16"/>
      <c r="E234" s="16"/>
      <c r="F234" s="11">
        <f>E220-E233</f>
        <v>12346048</v>
      </c>
    </row>
    <row r="235" spans="1:6" ht="15" x14ac:dyDescent="0.25">
      <c r="A235" s="30" t="s">
        <v>404</v>
      </c>
      <c r="B235" s="30"/>
      <c r="C235" s="30"/>
      <c r="D235" s="30"/>
      <c r="E235" s="30"/>
    </row>
    <row r="236" spans="1:6" ht="15" x14ac:dyDescent="0.25">
      <c r="A236" s="30"/>
      <c r="B236" s="317" t="s">
        <v>405</v>
      </c>
      <c r="C236" s="317"/>
      <c r="D236" s="30"/>
      <c r="E236" s="30"/>
    </row>
    <row r="237" spans="1:6" ht="15" x14ac:dyDescent="0.25">
      <c r="A237" s="43" t="s">
        <v>405</v>
      </c>
      <c r="B237" s="30"/>
      <c r="C237" s="254">
        <v>961214.71</v>
      </c>
      <c r="D237" s="32">
        <f>C237</f>
        <v>961214.71</v>
      </c>
      <c r="E237" s="30"/>
    </row>
    <row r="238" spans="1:6" ht="15" x14ac:dyDescent="0.25">
      <c r="A238" s="34" t="s">
        <v>406</v>
      </c>
      <c r="B238" s="34"/>
      <c r="C238" s="34"/>
      <c r="D238" s="34"/>
      <c r="E238" s="34"/>
    </row>
    <row r="239" spans="1:6" ht="15" x14ac:dyDescent="0.25">
      <c r="A239" s="16" t="s">
        <v>407</v>
      </c>
      <c r="B239" s="35" t="s">
        <v>299</v>
      </c>
      <c r="C239" s="254">
        <v>1178886.03</v>
      </c>
      <c r="D239" s="16"/>
      <c r="E239" s="16"/>
    </row>
    <row r="240" spans="1:6" ht="15" x14ac:dyDescent="0.25">
      <c r="A240" s="16" t="s">
        <v>408</v>
      </c>
      <c r="B240" s="35" t="s">
        <v>299</v>
      </c>
      <c r="C240" s="254">
        <v>1301133.8600000001</v>
      </c>
      <c r="D240" s="16"/>
      <c r="E240" s="16"/>
    </row>
    <row r="241" spans="1:5" ht="15" x14ac:dyDescent="0.25">
      <c r="A241" s="16" t="s">
        <v>409</v>
      </c>
      <c r="B241" s="35" t="s">
        <v>299</v>
      </c>
      <c r="C241" s="254">
        <v>0</v>
      </c>
      <c r="D241" s="16"/>
      <c r="E241" s="16"/>
    </row>
    <row r="242" spans="1:5" ht="15" x14ac:dyDescent="0.25">
      <c r="A242" s="16" t="s">
        <v>410</v>
      </c>
      <c r="B242" s="35" t="s">
        <v>299</v>
      </c>
      <c r="C242" s="254">
        <v>0</v>
      </c>
      <c r="D242" s="16"/>
      <c r="E242" s="16"/>
    </row>
    <row r="243" spans="1:5" ht="15" x14ac:dyDescent="0.25">
      <c r="A243" s="16" t="s">
        <v>411</v>
      </c>
      <c r="B243" s="35" t="s">
        <v>299</v>
      </c>
      <c r="C243" s="254">
        <v>3369213.38</v>
      </c>
      <c r="D243" s="16"/>
      <c r="E243" s="16"/>
    </row>
    <row r="244" spans="1:5" ht="15" x14ac:dyDescent="0.25">
      <c r="A244" s="16" t="s">
        <v>412</v>
      </c>
      <c r="B244" s="35" t="s">
        <v>299</v>
      </c>
      <c r="C244" s="254">
        <v>0</v>
      </c>
      <c r="D244" s="16"/>
      <c r="E244" s="16"/>
    </row>
    <row r="245" spans="1:5" ht="15" x14ac:dyDescent="0.25">
      <c r="A245" s="16" t="s">
        <v>413</v>
      </c>
      <c r="B245" s="16"/>
      <c r="C245" s="22"/>
      <c r="D245" s="25">
        <f>SUM(C239:C244)</f>
        <v>5849233.2699999996</v>
      </c>
      <c r="E245" s="16"/>
    </row>
    <row r="246" spans="1:5" ht="15" x14ac:dyDescent="0.25">
      <c r="A246" s="34" t="s">
        <v>414</v>
      </c>
      <c r="B246" s="34"/>
      <c r="C246" s="34"/>
      <c r="D246" s="34"/>
      <c r="E246" s="34"/>
    </row>
    <row r="247" spans="1:5" ht="15" x14ac:dyDescent="0.25">
      <c r="A247" s="21" t="s">
        <v>415</v>
      </c>
      <c r="B247" s="35" t="s">
        <v>299</v>
      </c>
      <c r="C247" s="256">
        <v>83</v>
      </c>
      <c r="D247" s="16"/>
      <c r="E247" s="16"/>
    </row>
    <row r="248" spans="1:5" ht="15" x14ac:dyDescent="0.25">
      <c r="A248" s="21"/>
      <c r="B248" s="35"/>
      <c r="C248" s="22"/>
      <c r="D248" s="16"/>
      <c r="E248" s="16"/>
    </row>
    <row r="249" spans="1:5" ht="15" x14ac:dyDescent="0.25">
      <c r="A249" s="21" t="s">
        <v>416</v>
      </c>
      <c r="B249" s="35" t="s">
        <v>299</v>
      </c>
      <c r="C249" s="254">
        <v>0</v>
      </c>
      <c r="D249" s="16"/>
      <c r="E249" s="16"/>
    </row>
    <row r="250" spans="1:5" ht="15" x14ac:dyDescent="0.25">
      <c r="A250" s="21" t="s">
        <v>417</v>
      </c>
      <c r="B250" s="35" t="s">
        <v>299</v>
      </c>
      <c r="C250" s="254">
        <v>165007.01</v>
      </c>
      <c r="D250" s="16"/>
      <c r="E250" s="16"/>
    </row>
    <row r="251" spans="1:5" ht="15" x14ac:dyDescent="0.25">
      <c r="A251" s="16"/>
      <c r="B251" s="16"/>
      <c r="C251" s="22"/>
      <c r="D251" s="16"/>
      <c r="E251" s="16"/>
    </row>
    <row r="252" spans="1:5" ht="15" x14ac:dyDescent="0.25">
      <c r="A252" s="21" t="s">
        <v>418</v>
      </c>
      <c r="B252" s="16"/>
      <c r="C252" s="22"/>
      <c r="D252" s="25">
        <f>SUM(C249:C251)</f>
        <v>165007.01</v>
      </c>
      <c r="E252" s="16"/>
    </row>
    <row r="253" spans="1:5" ht="15" x14ac:dyDescent="0.25">
      <c r="A253" s="34" t="s">
        <v>419</v>
      </c>
      <c r="B253" s="34"/>
      <c r="C253" s="34"/>
      <c r="D253" s="34"/>
      <c r="E253" s="34"/>
    </row>
    <row r="254" spans="1:5" ht="15" x14ac:dyDescent="0.25">
      <c r="A254" s="16" t="s">
        <v>420</v>
      </c>
      <c r="B254" s="35" t="s">
        <v>299</v>
      </c>
      <c r="C254" s="254">
        <v>77058.11</v>
      </c>
      <c r="D254" s="16"/>
      <c r="E254" s="16"/>
    </row>
    <row r="255" spans="1:5" ht="15" x14ac:dyDescent="0.25">
      <c r="A255" s="16" t="s">
        <v>419</v>
      </c>
      <c r="B255" s="35" t="s">
        <v>299</v>
      </c>
      <c r="C255" s="254">
        <v>0</v>
      </c>
      <c r="D255" s="16"/>
      <c r="E255" s="16"/>
    </row>
    <row r="256" spans="1:5" ht="15" x14ac:dyDescent="0.25">
      <c r="A256" s="16" t="s">
        <v>421</v>
      </c>
      <c r="B256" s="16"/>
      <c r="C256" s="22"/>
      <c r="D256" s="25">
        <f>SUM(C254:C255)</f>
        <v>77058.11</v>
      </c>
      <c r="E256" s="16"/>
    </row>
    <row r="257" spans="1:5" ht="15" x14ac:dyDescent="0.25">
      <c r="A257" s="16"/>
      <c r="B257" s="16"/>
      <c r="C257" s="22"/>
      <c r="D257" s="16"/>
      <c r="E257" s="16"/>
    </row>
    <row r="258" spans="1:5" ht="15" x14ac:dyDescent="0.25">
      <c r="A258" s="16" t="s">
        <v>422</v>
      </c>
      <c r="B258" s="16"/>
      <c r="C258" s="22"/>
      <c r="D258" s="25">
        <f>D237+D245+D252+D256</f>
        <v>7052513.0999999996</v>
      </c>
      <c r="E258" s="16"/>
    </row>
    <row r="259" spans="1:5" ht="15" x14ac:dyDescent="0.25">
      <c r="A259" s="16"/>
      <c r="B259" s="16"/>
      <c r="C259" s="22"/>
      <c r="D259" s="16"/>
      <c r="E259" s="16"/>
    </row>
    <row r="260" spans="1:5" ht="15" x14ac:dyDescent="0.25">
      <c r="A260" s="16"/>
      <c r="B260" s="16"/>
      <c r="C260" s="22"/>
      <c r="D260" s="16"/>
      <c r="E260" s="16"/>
    </row>
    <row r="261" spans="1:5" ht="15" x14ac:dyDescent="0.25">
      <c r="A261" s="16"/>
      <c r="B261" s="16"/>
      <c r="C261" s="22"/>
      <c r="D261" s="16"/>
      <c r="E261" s="16"/>
    </row>
    <row r="262" spans="1:5" ht="15" x14ac:dyDescent="0.25">
      <c r="A262" s="16"/>
      <c r="B262" s="16"/>
      <c r="C262" s="22"/>
      <c r="D262" s="16"/>
      <c r="E262" s="16"/>
    </row>
    <row r="263" spans="1:5" ht="15" x14ac:dyDescent="0.25">
      <c r="A263" s="16"/>
      <c r="B263" s="16"/>
      <c r="C263" s="22"/>
      <c r="D263" s="16"/>
      <c r="E263" s="16"/>
    </row>
    <row r="264" spans="1:5" ht="15" x14ac:dyDescent="0.25">
      <c r="A264" s="30" t="s">
        <v>423</v>
      </c>
      <c r="B264" s="30"/>
      <c r="C264" s="30"/>
      <c r="D264" s="30"/>
      <c r="E264" s="30"/>
    </row>
    <row r="265" spans="1:5" ht="15" x14ac:dyDescent="0.25">
      <c r="A265" s="34" t="s">
        <v>424</v>
      </c>
      <c r="B265" s="34"/>
      <c r="C265" s="34"/>
      <c r="D265" s="34"/>
      <c r="E265" s="34"/>
    </row>
    <row r="266" spans="1:5" ht="15" x14ac:dyDescent="0.25">
      <c r="A266" s="16" t="s">
        <v>425</v>
      </c>
      <c r="B266" s="35" t="s">
        <v>299</v>
      </c>
      <c r="C266" s="254">
        <v>4848260</v>
      </c>
      <c r="D266" s="16"/>
      <c r="E266" s="16"/>
    </row>
    <row r="267" spans="1:5" ht="15" x14ac:dyDescent="0.25">
      <c r="A267" s="16" t="s">
        <v>426</v>
      </c>
      <c r="B267" s="35" t="s">
        <v>299</v>
      </c>
      <c r="C267" s="254">
        <v>0</v>
      </c>
      <c r="D267" s="16"/>
      <c r="E267" s="16"/>
    </row>
    <row r="268" spans="1:5" ht="15" x14ac:dyDescent="0.25">
      <c r="A268" s="16" t="s">
        <v>427</v>
      </c>
      <c r="B268" s="35" t="s">
        <v>299</v>
      </c>
      <c r="C268" s="254">
        <f>3474608+C269</f>
        <v>3474608</v>
      </c>
      <c r="D268" s="16"/>
      <c r="E268" s="16"/>
    </row>
    <row r="269" spans="1:5" ht="15" x14ac:dyDescent="0.25">
      <c r="A269" s="16" t="s">
        <v>428</v>
      </c>
      <c r="B269" s="35" t="s">
        <v>299</v>
      </c>
      <c r="C269" s="254">
        <v>0</v>
      </c>
      <c r="D269" s="16"/>
      <c r="E269" s="16"/>
    </row>
    <row r="270" spans="1:5" ht="15" x14ac:dyDescent="0.25">
      <c r="A270" s="16" t="s">
        <v>429</v>
      </c>
      <c r="B270" s="35" t="s">
        <v>299</v>
      </c>
      <c r="C270" s="254">
        <v>2061445</v>
      </c>
      <c r="D270" s="16"/>
      <c r="E270" s="16"/>
    </row>
    <row r="271" spans="1:5" ht="15" x14ac:dyDescent="0.25">
      <c r="A271" s="16" t="s">
        <v>430</v>
      </c>
      <c r="B271" s="35" t="s">
        <v>299</v>
      </c>
      <c r="C271" s="254">
        <f>17551+124583</f>
        <v>142134</v>
      </c>
      <c r="D271" s="16"/>
      <c r="E271" s="16"/>
    </row>
    <row r="272" spans="1:5" ht="15" x14ac:dyDescent="0.25">
      <c r="A272" s="16" t="s">
        <v>431</v>
      </c>
      <c r="B272" s="35" t="s">
        <v>299</v>
      </c>
      <c r="C272" s="254">
        <v>0</v>
      </c>
      <c r="D272" s="16"/>
      <c r="E272" s="16"/>
    </row>
    <row r="273" spans="1:5" ht="15" x14ac:dyDescent="0.25">
      <c r="A273" s="16" t="s">
        <v>432</v>
      </c>
      <c r="B273" s="35" t="s">
        <v>299</v>
      </c>
      <c r="C273" s="254">
        <v>682438</v>
      </c>
      <c r="D273" s="16"/>
      <c r="E273" s="16"/>
    </row>
    <row r="274" spans="1:5" ht="15" x14ac:dyDescent="0.25">
      <c r="A274" s="16" t="s">
        <v>433</v>
      </c>
      <c r="B274" s="35" t="s">
        <v>299</v>
      </c>
      <c r="C274" s="254">
        <v>74420</v>
      </c>
      <c r="D274" s="16"/>
      <c r="E274" s="16"/>
    </row>
    <row r="275" spans="1:5" ht="15" x14ac:dyDescent="0.25">
      <c r="A275" s="16" t="s">
        <v>434</v>
      </c>
      <c r="B275" s="35" t="s">
        <v>299</v>
      </c>
      <c r="C275" s="254">
        <v>0</v>
      </c>
      <c r="D275" s="16"/>
      <c r="E275" s="16"/>
    </row>
    <row r="276" spans="1:5" ht="15" x14ac:dyDescent="0.25">
      <c r="A276" s="16" t="s">
        <v>435</v>
      </c>
      <c r="B276" s="16"/>
      <c r="C276" s="22"/>
      <c r="D276" s="25">
        <f>SUM(C266:C268)-C269+SUM(C270:C275)</f>
        <v>11283305</v>
      </c>
      <c r="E276" s="16"/>
    </row>
    <row r="277" spans="1:5" ht="15" x14ac:dyDescent="0.25">
      <c r="A277" s="34" t="s">
        <v>436</v>
      </c>
      <c r="B277" s="34"/>
      <c r="C277" s="34"/>
      <c r="D277" s="34"/>
      <c r="E277" s="34"/>
    </row>
    <row r="278" spans="1:5" ht="15" x14ac:dyDescent="0.25">
      <c r="A278" s="16" t="s">
        <v>425</v>
      </c>
      <c r="B278" s="35" t="s">
        <v>299</v>
      </c>
      <c r="C278" s="254">
        <v>10003942</v>
      </c>
      <c r="D278" s="16"/>
      <c r="E278" s="16"/>
    </row>
    <row r="279" spans="1:5" ht="15" x14ac:dyDescent="0.25">
      <c r="A279" s="16" t="s">
        <v>426</v>
      </c>
      <c r="B279" s="35" t="s">
        <v>299</v>
      </c>
      <c r="C279" s="254">
        <v>0</v>
      </c>
      <c r="D279" s="16"/>
      <c r="E279" s="16"/>
    </row>
    <row r="280" spans="1:5" ht="15" x14ac:dyDescent="0.25">
      <c r="A280" s="16" t="s">
        <v>437</v>
      </c>
      <c r="B280" s="35" t="s">
        <v>299</v>
      </c>
      <c r="C280" s="254">
        <v>0</v>
      </c>
      <c r="D280" s="16"/>
      <c r="E280" s="16"/>
    </row>
    <row r="281" spans="1:5" ht="15" x14ac:dyDescent="0.25">
      <c r="A281" s="16" t="s">
        <v>438</v>
      </c>
      <c r="B281" s="16"/>
      <c r="C281" s="22"/>
      <c r="D281" s="25">
        <f>SUM(C278:C280)</f>
        <v>10003942</v>
      </c>
      <c r="E281" s="16"/>
    </row>
    <row r="282" spans="1:5" ht="15" x14ac:dyDescent="0.25">
      <c r="A282" s="34" t="s">
        <v>439</v>
      </c>
      <c r="B282" s="34"/>
      <c r="C282" s="34"/>
      <c r="D282" s="34"/>
      <c r="E282" s="34"/>
    </row>
    <row r="283" spans="1:5" ht="15" x14ac:dyDescent="0.25">
      <c r="A283" s="16" t="s">
        <v>394</v>
      </c>
      <c r="B283" s="35" t="s">
        <v>299</v>
      </c>
      <c r="C283" s="254">
        <v>792630</v>
      </c>
      <c r="D283" s="16"/>
      <c r="E283" s="16"/>
    </row>
    <row r="284" spans="1:5" ht="15" x14ac:dyDescent="0.25">
      <c r="A284" s="16" t="s">
        <v>395</v>
      </c>
      <c r="B284" s="35" t="s">
        <v>299</v>
      </c>
      <c r="C284" s="254">
        <v>324429</v>
      </c>
      <c r="D284" s="16"/>
      <c r="E284" s="16"/>
    </row>
    <row r="285" spans="1:5" ht="15" x14ac:dyDescent="0.25">
      <c r="A285" s="16" t="s">
        <v>396</v>
      </c>
      <c r="B285" s="35" t="s">
        <v>299</v>
      </c>
      <c r="C285" s="254">
        <v>12857806</v>
      </c>
      <c r="D285" s="16"/>
      <c r="E285" s="16"/>
    </row>
    <row r="286" spans="1:5" ht="15" x14ac:dyDescent="0.25">
      <c r="A286" s="16" t="s">
        <v>440</v>
      </c>
      <c r="B286" s="35" t="s">
        <v>299</v>
      </c>
      <c r="C286" s="254">
        <v>0</v>
      </c>
      <c r="D286" s="16"/>
      <c r="E286" s="16"/>
    </row>
    <row r="287" spans="1:5" ht="15" x14ac:dyDescent="0.25">
      <c r="A287" s="16" t="s">
        <v>441</v>
      </c>
      <c r="B287" s="35" t="s">
        <v>299</v>
      </c>
      <c r="C287" s="254">
        <v>5310503</v>
      </c>
      <c r="D287" s="16"/>
      <c r="E287" s="16"/>
    </row>
    <row r="288" spans="1:5" ht="15" x14ac:dyDescent="0.25">
      <c r="A288" s="16" t="s">
        <v>442</v>
      </c>
      <c r="B288" s="35" t="s">
        <v>299</v>
      </c>
      <c r="C288" s="254">
        <v>11353816</v>
      </c>
      <c r="D288" s="16"/>
      <c r="E288" s="16"/>
    </row>
    <row r="289" spans="1:5" ht="15" x14ac:dyDescent="0.25">
      <c r="A289" s="16" t="s">
        <v>401</v>
      </c>
      <c r="B289" s="35" t="s">
        <v>299</v>
      </c>
      <c r="C289" s="254">
        <v>0</v>
      </c>
      <c r="D289" s="16"/>
      <c r="E289" s="16"/>
    </row>
    <row r="290" spans="1:5" ht="15" x14ac:dyDescent="0.25">
      <c r="A290" s="16" t="s">
        <v>402</v>
      </c>
      <c r="B290" s="35" t="s">
        <v>299</v>
      </c>
      <c r="C290" s="254">
        <v>0</v>
      </c>
      <c r="D290" s="16"/>
      <c r="E290" s="16"/>
    </row>
    <row r="291" spans="1:5" ht="15" x14ac:dyDescent="0.25">
      <c r="A291" s="16" t="s">
        <v>443</v>
      </c>
      <c r="B291" s="16"/>
      <c r="C291" s="22"/>
      <c r="D291" s="25">
        <f>SUM(C283:C290)</f>
        <v>30639184</v>
      </c>
      <c r="E291" s="16"/>
    </row>
    <row r="292" spans="1:5" ht="15" x14ac:dyDescent="0.25">
      <c r="A292" s="16" t="s">
        <v>444</v>
      </c>
      <c r="B292" s="35" t="s">
        <v>299</v>
      </c>
      <c r="C292" s="254">
        <v>18293136</v>
      </c>
      <c r="D292" s="16"/>
      <c r="E292" s="16"/>
    </row>
    <row r="293" spans="1:5" ht="15" x14ac:dyDescent="0.25">
      <c r="A293" s="16" t="s">
        <v>445</v>
      </c>
      <c r="B293" s="16"/>
      <c r="C293" s="22"/>
      <c r="D293" s="25">
        <f>D291-C292</f>
        <v>12346048</v>
      </c>
      <c r="E293" s="16"/>
    </row>
    <row r="294" spans="1:5" ht="15" x14ac:dyDescent="0.25">
      <c r="A294" s="34" t="s">
        <v>446</v>
      </c>
      <c r="B294" s="34"/>
      <c r="C294" s="34"/>
      <c r="D294" s="34"/>
      <c r="E294" s="34"/>
    </row>
    <row r="295" spans="1:5" ht="1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ht="1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ht="15" x14ac:dyDescent="0.25">
      <c r="A297" s="16" t="s">
        <v>449</v>
      </c>
      <c r="B297" s="35" t="s">
        <v>299</v>
      </c>
      <c r="C297" s="254">
        <v>0</v>
      </c>
      <c r="D297" s="16"/>
      <c r="E297" s="16"/>
    </row>
    <row r="298" spans="1:5" ht="15" x14ac:dyDescent="0.25">
      <c r="A298" s="16" t="s">
        <v>437</v>
      </c>
      <c r="B298" s="35" t="s">
        <v>299</v>
      </c>
      <c r="C298" s="254">
        <v>774849</v>
      </c>
      <c r="D298" s="16"/>
      <c r="E298" s="16"/>
    </row>
    <row r="299" spans="1:5" ht="15" x14ac:dyDescent="0.25">
      <c r="A299" s="16" t="s">
        <v>450</v>
      </c>
      <c r="B299" s="16"/>
      <c r="C299" s="22"/>
      <c r="D299" s="25">
        <f>C295-C296+C297+C298</f>
        <v>774849</v>
      </c>
      <c r="E299" s="16"/>
    </row>
    <row r="300" spans="1:5" ht="15" x14ac:dyDescent="0.25">
      <c r="A300" s="16"/>
      <c r="B300" s="16"/>
      <c r="C300" s="22"/>
      <c r="D300" s="16"/>
      <c r="E300" s="16"/>
    </row>
    <row r="301" spans="1:5" ht="15" x14ac:dyDescent="0.25">
      <c r="A301" s="34" t="s">
        <v>451</v>
      </c>
      <c r="B301" s="34"/>
      <c r="C301" s="34"/>
      <c r="D301" s="34"/>
      <c r="E301" s="34"/>
    </row>
    <row r="302" spans="1:5" ht="15" x14ac:dyDescent="0.25">
      <c r="A302" s="16" t="s">
        <v>452</v>
      </c>
      <c r="B302" s="35" t="s">
        <v>299</v>
      </c>
      <c r="C302" s="254">
        <v>0</v>
      </c>
      <c r="D302" s="16"/>
      <c r="E302" s="16"/>
    </row>
    <row r="303" spans="1:5" ht="15" x14ac:dyDescent="0.25">
      <c r="A303" s="16" t="s">
        <v>453</v>
      </c>
      <c r="B303" s="35" t="s">
        <v>299</v>
      </c>
      <c r="C303" s="254">
        <v>0</v>
      </c>
      <c r="D303" s="16"/>
      <c r="E303" s="16"/>
    </row>
    <row r="304" spans="1:5" ht="15" x14ac:dyDescent="0.25">
      <c r="A304" s="16" t="s">
        <v>454</v>
      </c>
      <c r="B304" s="35" t="s">
        <v>299</v>
      </c>
      <c r="C304" s="254">
        <v>0</v>
      </c>
      <c r="D304" s="16"/>
      <c r="E304" s="16"/>
    </row>
    <row r="305" spans="1:6" ht="15" x14ac:dyDescent="0.25">
      <c r="A305" s="16" t="s">
        <v>455</v>
      </c>
      <c r="B305" s="35" t="s">
        <v>299</v>
      </c>
      <c r="C305" s="254">
        <v>0</v>
      </c>
      <c r="D305" s="16"/>
      <c r="E305" s="16"/>
    </row>
    <row r="306" spans="1:6" ht="15" x14ac:dyDescent="0.25">
      <c r="A306" s="16" t="s">
        <v>456</v>
      </c>
      <c r="B306" s="16"/>
      <c r="C306" s="22"/>
      <c r="D306" s="25">
        <f>SUM(C302:C305)</f>
        <v>0</v>
      </c>
      <c r="E306" s="16"/>
    </row>
    <row r="307" spans="1:6" ht="15" x14ac:dyDescent="0.25">
      <c r="A307" s="16"/>
      <c r="B307" s="16"/>
      <c r="C307" s="22"/>
      <c r="D307" s="16"/>
      <c r="E307" s="16"/>
    </row>
    <row r="308" spans="1:6" ht="15" x14ac:dyDescent="0.25">
      <c r="A308" s="16" t="s">
        <v>457</v>
      </c>
      <c r="B308" s="16"/>
      <c r="C308" s="22"/>
      <c r="D308" s="25">
        <f>D276+D281+D293+D299+D306</f>
        <v>34408144</v>
      </c>
      <c r="E308" s="16"/>
    </row>
    <row r="309" spans="1:6" ht="15" x14ac:dyDescent="0.25">
      <c r="A309" s="16"/>
      <c r="B309" s="16"/>
      <c r="C309" s="22"/>
      <c r="D309" s="16"/>
      <c r="E309" s="16"/>
      <c r="F309" s="11">
        <f>D308-F308</f>
        <v>34408144</v>
      </c>
    </row>
    <row r="310" spans="1:6" ht="15" x14ac:dyDescent="0.25">
      <c r="A310" s="16"/>
      <c r="B310" s="16"/>
      <c r="C310" s="22"/>
      <c r="D310" s="16"/>
      <c r="E310" s="16"/>
    </row>
    <row r="311" spans="1:6" ht="15" x14ac:dyDescent="0.25">
      <c r="A311" s="16"/>
      <c r="B311" s="16"/>
      <c r="C311" s="22"/>
      <c r="D311" s="16"/>
      <c r="E311" s="16"/>
    </row>
    <row r="312" spans="1:6" ht="15" x14ac:dyDescent="0.25">
      <c r="A312" s="30" t="s">
        <v>458</v>
      </c>
      <c r="B312" s="30"/>
      <c r="C312" s="30"/>
      <c r="D312" s="30"/>
      <c r="E312" s="30"/>
    </row>
    <row r="313" spans="1:6" ht="15" x14ac:dyDescent="0.25">
      <c r="A313" s="34" t="s">
        <v>459</v>
      </c>
      <c r="B313" s="34"/>
      <c r="C313" s="34"/>
      <c r="D313" s="34"/>
      <c r="E313" s="34"/>
    </row>
    <row r="314" spans="1:6" ht="15" x14ac:dyDescent="0.25">
      <c r="A314" s="16" t="s">
        <v>460</v>
      </c>
      <c r="B314" s="35" t="s">
        <v>299</v>
      </c>
      <c r="C314" s="254">
        <f>190000+123233+371310</f>
        <v>684543</v>
      </c>
      <c r="D314" s="16"/>
      <c r="E314" s="16"/>
    </row>
    <row r="315" spans="1:6" ht="15" x14ac:dyDescent="0.25">
      <c r="A315" s="16" t="s">
        <v>461</v>
      </c>
      <c r="B315" s="35" t="s">
        <v>299</v>
      </c>
      <c r="C315" s="254">
        <v>396737</v>
      </c>
      <c r="D315" s="16"/>
      <c r="E315" s="16"/>
    </row>
    <row r="316" spans="1:6" ht="15" x14ac:dyDescent="0.25">
      <c r="A316" s="16" t="s">
        <v>462</v>
      </c>
      <c r="B316" s="35" t="s">
        <v>299</v>
      </c>
      <c r="C316" s="254">
        <v>2094664</v>
      </c>
      <c r="D316" s="16"/>
      <c r="E316" s="16"/>
    </row>
    <row r="317" spans="1:6" ht="15" x14ac:dyDescent="0.25">
      <c r="A317" s="16" t="s">
        <v>463</v>
      </c>
      <c r="B317" s="35" t="s">
        <v>299</v>
      </c>
      <c r="C317" s="254">
        <v>20563</v>
      </c>
      <c r="D317" s="16"/>
      <c r="E317" s="16"/>
    </row>
    <row r="318" spans="1:6" ht="15" x14ac:dyDescent="0.25">
      <c r="A318" s="16" t="s">
        <v>464</v>
      </c>
      <c r="B318" s="35" t="s">
        <v>299</v>
      </c>
      <c r="C318" s="254">
        <v>0</v>
      </c>
      <c r="D318" s="16"/>
      <c r="E318" s="16"/>
    </row>
    <row r="319" spans="1:6" ht="15" x14ac:dyDescent="0.25">
      <c r="A319" s="16" t="s">
        <v>465</v>
      </c>
      <c r="B319" s="35" t="s">
        <v>299</v>
      </c>
      <c r="C319" s="254">
        <v>0</v>
      </c>
      <c r="D319" s="16"/>
      <c r="E319" s="16"/>
    </row>
    <row r="320" spans="1:6" ht="15" x14ac:dyDescent="0.25">
      <c r="A320" s="16" t="s">
        <v>466</v>
      </c>
      <c r="B320" s="35" t="s">
        <v>299</v>
      </c>
      <c r="C320" s="254">
        <v>0</v>
      </c>
      <c r="D320" s="16"/>
      <c r="E320" s="16"/>
    </row>
    <row r="321" spans="1:5" ht="15" x14ac:dyDescent="0.25">
      <c r="A321" s="16" t="s">
        <v>467</v>
      </c>
      <c r="B321" s="35" t="s">
        <v>299</v>
      </c>
      <c r="C321" s="254">
        <v>0</v>
      </c>
      <c r="D321" s="16"/>
      <c r="E321" s="16"/>
    </row>
    <row r="322" spans="1:5" ht="15" x14ac:dyDescent="0.25">
      <c r="A322" s="16" t="s">
        <v>468</v>
      </c>
      <c r="B322" s="35" t="s">
        <v>299</v>
      </c>
      <c r="C322" s="254">
        <v>0</v>
      </c>
      <c r="D322" s="16"/>
      <c r="E322" s="16"/>
    </row>
    <row r="323" spans="1:5" ht="15" x14ac:dyDescent="0.25">
      <c r="A323" s="16" t="s">
        <v>469</v>
      </c>
      <c r="B323" s="35" t="s">
        <v>299</v>
      </c>
      <c r="C323" s="254">
        <v>0</v>
      </c>
      <c r="D323" s="16"/>
      <c r="E323" s="16"/>
    </row>
    <row r="324" spans="1:5" ht="15" x14ac:dyDescent="0.25">
      <c r="A324" s="16" t="s">
        <v>470</v>
      </c>
      <c r="B324" s="16"/>
      <c r="C324" s="22"/>
      <c r="D324" s="25">
        <f>SUM(C314:C323)</f>
        <v>3196507</v>
      </c>
      <c r="E324" s="16"/>
    </row>
    <row r="325" spans="1:5" ht="15" x14ac:dyDescent="0.25">
      <c r="A325" s="34" t="s">
        <v>471</v>
      </c>
      <c r="B325" s="34"/>
      <c r="C325" s="34"/>
      <c r="D325" s="34"/>
      <c r="E325" s="34"/>
    </row>
    <row r="326" spans="1:5" ht="15" x14ac:dyDescent="0.25">
      <c r="A326" s="16" t="s">
        <v>472</v>
      </c>
      <c r="B326" s="35" t="s">
        <v>299</v>
      </c>
      <c r="C326" s="254">
        <v>0</v>
      </c>
      <c r="D326" s="16"/>
      <c r="E326" s="16"/>
    </row>
    <row r="327" spans="1:5" ht="15" x14ac:dyDescent="0.25">
      <c r="A327" s="16" t="s">
        <v>473</v>
      </c>
      <c r="B327" s="35" t="s">
        <v>299</v>
      </c>
      <c r="C327" s="254">
        <v>0</v>
      </c>
      <c r="D327" s="16"/>
      <c r="E327" s="16"/>
    </row>
    <row r="328" spans="1:5" ht="15" x14ac:dyDescent="0.25">
      <c r="A328" s="16" t="s">
        <v>474</v>
      </c>
      <c r="B328" s="35" t="s">
        <v>299</v>
      </c>
      <c r="C328" s="254">
        <v>0</v>
      </c>
      <c r="D328" s="16"/>
      <c r="E328" s="16"/>
    </row>
    <row r="329" spans="1:5" ht="15" x14ac:dyDescent="0.25">
      <c r="A329" s="16" t="s">
        <v>475</v>
      </c>
      <c r="B329" s="16"/>
      <c r="C329" s="22"/>
      <c r="D329" s="25">
        <f>SUM(C326:C328)</f>
        <v>0</v>
      </c>
      <c r="E329" s="16"/>
    </row>
    <row r="330" spans="1:5" ht="15" x14ac:dyDescent="0.25">
      <c r="A330" s="34" t="s">
        <v>476</v>
      </c>
      <c r="B330" s="34"/>
      <c r="C330" s="34"/>
      <c r="D330" s="34"/>
      <c r="E330" s="34"/>
    </row>
    <row r="331" spans="1:5" ht="15" x14ac:dyDescent="0.25">
      <c r="A331" s="16" t="s">
        <v>477</v>
      </c>
      <c r="B331" s="35" t="s">
        <v>299</v>
      </c>
      <c r="C331" s="254">
        <v>0</v>
      </c>
      <c r="D331" s="16"/>
      <c r="E331" s="16"/>
    </row>
    <row r="332" spans="1:5" ht="15" x14ac:dyDescent="0.25">
      <c r="A332" s="16" t="s">
        <v>478</v>
      </c>
      <c r="B332" s="35" t="s">
        <v>299</v>
      </c>
      <c r="C332" s="254">
        <v>0</v>
      </c>
      <c r="D332" s="16"/>
      <c r="E332" s="16"/>
    </row>
    <row r="333" spans="1:5" ht="15" x14ac:dyDescent="0.25">
      <c r="A333" s="16" t="s">
        <v>479</v>
      </c>
      <c r="B333" s="35" t="s">
        <v>299</v>
      </c>
      <c r="C333" s="254">
        <v>395098</v>
      </c>
      <c r="D333" s="16"/>
      <c r="E333" s="16"/>
    </row>
    <row r="334" spans="1:5" ht="15" x14ac:dyDescent="0.25">
      <c r="A334" s="21" t="s">
        <v>480</v>
      </c>
      <c r="B334" s="35" t="s">
        <v>299</v>
      </c>
      <c r="C334" s="254">
        <v>107716</v>
      </c>
      <c r="D334" s="16"/>
      <c r="E334" s="16"/>
    </row>
    <row r="335" spans="1:5" ht="15" x14ac:dyDescent="0.25">
      <c r="A335" s="16" t="s">
        <v>481</v>
      </c>
      <c r="B335" s="35" t="s">
        <v>299</v>
      </c>
      <c r="C335" s="254">
        <v>6046405</v>
      </c>
      <c r="D335" s="16"/>
      <c r="E335" s="16"/>
    </row>
    <row r="336" spans="1:5" ht="15" x14ac:dyDescent="0.25">
      <c r="A336" s="21" t="s">
        <v>482</v>
      </c>
      <c r="B336" s="35" t="s">
        <v>299</v>
      </c>
      <c r="C336" s="254">
        <v>0</v>
      </c>
      <c r="D336" s="16"/>
      <c r="E336" s="16"/>
    </row>
    <row r="337" spans="1:5" ht="15" x14ac:dyDescent="0.25">
      <c r="A337" s="21" t="s">
        <v>483</v>
      </c>
      <c r="B337" s="35" t="s">
        <v>299</v>
      </c>
      <c r="C337" s="276">
        <v>0</v>
      </c>
      <c r="D337" s="16"/>
      <c r="E337" s="16"/>
    </row>
    <row r="338" spans="1:5" ht="15" x14ac:dyDescent="0.25">
      <c r="A338" s="16" t="s">
        <v>484</v>
      </c>
      <c r="B338" s="35" t="s">
        <v>299</v>
      </c>
      <c r="C338" s="254">
        <v>2036075</v>
      </c>
      <c r="D338" s="16"/>
      <c r="E338" s="16"/>
    </row>
    <row r="339" spans="1:5" ht="15" x14ac:dyDescent="0.25">
      <c r="A339" s="16" t="s">
        <v>230</v>
      </c>
      <c r="B339" s="16"/>
      <c r="C339" s="22"/>
      <c r="D339" s="25">
        <f>SUM(C331:C338)</f>
        <v>8585294</v>
      </c>
      <c r="E339" s="16"/>
    </row>
    <row r="340" spans="1:5" ht="15" x14ac:dyDescent="0.25">
      <c r="A340" s="16" t="s">
        <v>485</v>
      </c>
      <c r="B340" s="16"/>
      <c r="C340" s="22"/>
      <c r="D340" s="25">
        <f>C323</f>
        <v>0</v>
      </c>
      <c r="E340" s="16"/>
    </row>
    <row r="341" spans="1:5" ht="15" x14ac:dyDescent="0.25">
      <c r="A341" s="16" t="s">
        <v>486</v>
      </c>
      <c r="B341" s="16"/>
      <c r="C341" s="22"/>
      <c r="D341" s="25">
        <f>D339-D340</f>
        <v>8585294</v>
      </c>
      <c r="E341" s="16"/>
    </row>
    <row r="342" spans="1:5" ht="15" x14ac:dyDescent="0.25">
      <c r="A342" s="16"/>
      <c r="B342" s="16"/>
      <c r="C342" s="22"/>
      <c r="D342" s="16"/>
      <c r="E342" s="16"/>
    </row>
    <row r="343" spans="1:5" ht="15" x14ac:dyDescent="0.25">
      <c r="A343" s="16" t="s">
        <v>487</v>
      </c>
      <c r="B343" s="35" t="s">
        <v>299</v>
      </c>
      <c r="C343" s="259">
        <v>19838364</v>
      </c>
      <c r="D343" s="16"/>
      <c r="E343" s="16"/>
    </row>
    <row r="344" spans="1:5" ht="15" x14ac:dyDescent="0.25">
      <c r="A344" s="16"/>
      <c r="B344" s="35"/>
      <c r="C344" s="44"/>
      <c r="D344" s="16"/>
      <c r="E344" s="16"/>
    </row>
    <row r="345" spans="1:5" ht="1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ht="1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ht="1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ht="1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ht="1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ht="15" x14ac:dyDescent="0.25">
      <c r="A350" s="16" t="s">
        <v>493</v>
      </c>
      <c r="B350" s="16"/>
      <c r="C350" s="22"/>
      <c r="D350" s="25">
        <f>D324+D329+D341+C343+C347+C348</f>
        <v>31620165</v>
      </c>
      <c r="E350" s="16"/>
    </row>
    <row r="351" spans="1:5" ht="15" x14ac:dyDescent="0.25">
      <c r="A351" s="16"/>
      <c r="B351" s="16"/>
      <c r="C351" s="22"/>
      <c r="D351" s="16"/>
      <c r="E351" s="16"/>
    </row>
    <row r="352" spans="1:5" ht="15" x14ac:dyDescent="0.25">
      <c r="A352" s="16" t="s">
        <v>494</v>
      </c>
      <c r="B352" s="16"/>
      <c r="C352" s="22"/>
      <c r="D352" s="25">
        <f>D308</f>
        <v>34408144</v>
      </c>
      <c r="E352" s="16"/>
    </row>
    <row r="353" spans="1:5" ht="15" x14ac:dyDescent="0.25">
      <c r="A353" s="16"/>
      <c r="B353" s="16"/>
      <c r="C353" s="22"/>
      <c r="D353" s="16"/>
      <c r="E353" s="16"/>
    </row>
    <row r="354" spans="1:5" ht="15" x14ac:dyDescent="0.25">
      <c r="A354" s="16"/>
      <c r="B354" s="16"/>
      <c r="C354" s="22"/>
      <c r="D354" s="16"/>
      <c r="E354" s="16"/>
    </row>
    <row r="355" spans="1:5" ht="15" x14ac:dyDescent="0.25">
      <c r="A355" s="16"/>
      <c r="B355" s="16"/>
      <c r="C355" s="22"/>
      <c r="D355" s="16"/>
      <c r="E355" s="16"/>
    </row>
    <row r="356" spans="1:5" ht="15" x14ac:dyDescent="0.25">
      <c r="A356" s="30" t="s">
        <v>495</v>
      </c>
      <c r="B356" s="30"/>
      <c r="C356" s="30"/>
      <c r="D356" s="30"/>
      <c r="E356" s="30"/>
    </row>
    <row r="357" spans="1:5" ht="15" x14ac:dyDescent="0.25">
      <c r="A357" s="34" t="s">
        <v>496</v>
      </c>
      <c r="B357" s="34"/>
      <c r="C357" s="34"/>
      <c r="D357" s="34"/>
      <c r="E357" s="34"/>
    </row>
    <row r="358" spans="1:5" ht="15" x14ac:dyDescent="0.25">
      <c r="A358" s="16" t="s">
        <v>497</v>
      </c>
      <c r="B358" s="35" t="s">
        <v>299</v>
      </c>
      <c r="C358" s="254">
        <v>0</v>
      </c>
      <c r="D358" s="16"/>
      <c r="E358" s="16"/>
    </row>
    <row r="359" spans="1:5" ht="15" x14ac:dyDescent="0.25">
      <c r="A359" s="16" t="s">
        <v>498</v>
      </c>
      <c r="B359" s="35" t="s">
        <v>299</v>
      </c>
      <c r="C359" s="254">
        <v>0</v>
      </c>
      <c r="D359" s="16"/>
      <c r="E359" s="16"/>
    </row>
    <row r="360" spans="1:5" ht="15" x14ac:dyDescent="0.25">
      <c r="A360" s="16" t="s">
        <v>499</v>
      </c>
      <c r="B360" s="16"/>
      <c r="C360" s="22"/>
      <c r="D360" s="25">
        <f>SUM(C358:C359)</f>
        <v>36111277.990000002</v>
      </c>
      <c r="E360" s="16"/>
    </row>
    <row r="361" spans="1:5" ht="15" x14ac:dyDescent="0.25">
      <c r="A361" s="34" t="s">
        <v>500</v>
      </c>
      <c r="B361" s="34"/>
      <c r="C361" s="34"/>
      <c r="D361" s="34"/>
      <c r="E361" s="34"/>
    </row>
    <row r="362" spans="1:5" ht="15" x14ac:dyDescent="0.25">
      <c r="A362" s="16" t="s">
        <v>405</v>
      </c>
      <c r="B362" s="34"/>
      <c r="C362" s="254">
        <v>0</v>
      </c>
      <c r="D362" s="16"/>
      <c r="E362" s="34"/>
    </row>
    <row r="363" spans="1:5" ht="15" x14ac:dyDescent="0.25">
      <c r="A363" s="16" t="s">
        <v>501</v>
      </c>
      <c r="B363" s="35" t="s">
        <v>299</v>
      </c>
      <c r="C363" s="254">
        <v>0</v>
      </c>
      <c r="D363" s="16"/>
      <c r="E363" s="16"/>
    </row>
    <row r="364" spans="1:5" ht="15" x14ac:dyDescent="0.25">
      <c r="A364" s="16" t="s">
        <v>502</v>
      </c>
      <c r="B364" s="35" t="s">
        <v>299</v>
      </c>
      <c r="C364" s="254">
        <v>0</v>
      </c>
      <c r="D364" s="16"/>
      <c r="E364" s="16"/>
    </row>
    <row r="365" spans="1:5" ht="15" x14ac:dyDescent="0.25">
      <c r="A365" s="16" t="s">
        <v>503</v>
      </c>
      <c r="B365" s="35" t="s">
        <v>299</v>
      </c>
      <c r="C365" s="254">
        <v>0</v>
      </c>
      <c r="D365" s="16"/>
      <c r="E365" s="16"/>
    </row>
    <row r="366" spans="1:5" ht="15" x14ac:dyDescent="0.25">
      <c r="A366" s="16" t="s">
        <v>422</v>
      </c>
      <c r="B366" s="16"/>
      <c r="C366" s="22"/>
      <c r="D366" s="25">
        <f>SUM(C362:C365)</f>
        <v>7052512.9899999993</v>
      </c>
      <c r="E366" s="16"/>
    </row>
    <row r="367" spans="1:5" ht="15" x14ac:dyDescent="0.25">
      <c r="A367" s="16" t="s">
        <v>504</v>
      </c>
      <c r="B367" s="16"/>
      <c r="C367" s="22"/>
      <c r="D367" s="25">
        <f>D360-D366</f>
        <v>29058765.000000004</v>
      </c>
      <c r="E367" s="16"/>
    </row>
    <row r="368" spans="1:5" ht="15" x14ac:dyDescent="0.25">
      <c r="A368" s="45" t="s">
        <v>505</v>
      </c>
      <c r="B368" s="34"/>
      <c r="C368" s="34"/>
      <c r="D368" s="34"/>
      <c r="E368" s="34"/>
    </row>
    <row r="369" spans="1:6" ht="15" x14ac:dyDescent="0.25">
      <c r="A369" s="25" t="s">
        <v>506</v>
      </c>
      <c r="B369" s="16"/>
      <c r="C369" s="16"/>
      <c r="D369" s="16"/>
      <c r="E369" s="16"/>
    </row>
    <row r="370" spans="1:6" ht="15" x14ac:dyDescent="0.2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ht="15" x14ac:dyDescent="0.25">
      <c r="A371" s="46" t="s">
        <v>508</v>
      </c>
      <c r="B371" s="32" t="s">
        <v>299</v>
      </c>
      <c r="C371" s="254">
        <v>0</v>
      </c>
      <c r="D371" s="25">
        <v>0</v>
      </c>
      <c r="E371" s="25"/>
    </row>
    <row r="372" spans="1:6" ht="15" x14ac:dyDescent="0.2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ht="15" x14ac:dyDescent="0.2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ht="15" x14ac:dyDescent="0.2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ht="15" x14ac:dyDescent="0.2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ht="15" x14ac:dyDescent="0.2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ht="15" x14ac:dyDescent="0.2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ht="15" x14ac:dyDescent="0.2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ht="15" x14ac:dyDescent="0.2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ht="15" x14ac:dyDescent="0.25">
      <c r="A380" s="46" t="s">
        <v>517</v>
      </c>
      <c r="B380" s="32" t="s">
        <v>299</v>
      </c>
      <c r="C380" s="256">
        <v>0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ht="15" x14ac:dyDescent="0.25">
      <c r="A381" s="48" t="s">
        <v>518</v>
      </c>
      <c r="B381" s="35"/>
      <c r="C381" s="35"/>
      <c r="D381" s="25">
        <f>SUM(C370:C380)</f>
        <v>983773.26</v>
      </c>
      <c r="E381" s="25"/>
      <c r="F381" s="47"/>
    </row>
    <row r="382" spans="1:6" ht="15" x14ac:dyDescent="0.2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ht="15" x14ac:dyDescent="0.25">
      <c r="A383" s="16" t="s">
        <v>520</v>
      </c>
      <c r="B383" s="16"/>
      <c r="C383" s="22"/>
      <c r="D383" s="25">
        <f>D381+C382</f>
        <v>1759667.74</v>
      </c>
      <c r="E383" s="16"/>
    </row>
    <row r="384" spans="1:6" ht="15" x14ac:dyDescent="0.25">
      <c r="A384" s="16" t="s">
        <v>521</v>
      </c>
      <c r="B384" s="16"/>
      <c r="C384" s="22"/>
      <c r="D384" s="25">
        <f>D367+D383</f>
        <v>30818432.740000002</v>
      </c>
      <c r="E384" s="16"/>
    </row>
    <row r="385" spans="1:5" ht="15" x14ac:dyDescent="0.25">
      <c r="A385" s="16"/>
      <c r="B385" s="16"/>
      <c r="C385" s="22"/>
      <c r="D385" s="16"/>
      <c r="E385" s="16"/>
    </row>
    <row r="386" spans="1:5" ht="15" x14ac:dyDescent="0.25">
      <c r="A386" s="16"/>
      <c r="B386" s="16"/>
      <c r="C386" s="22"/>
      <c r="D386" s="16"/>
      <c r="E386" s="16"/>
    </row>
    <row r="387" spans="1:5" ht="15" x14ac:dyDescent="0.25">
      <c r="A387" s="16"/>
      <c r="B387" s="16"/>
      <c r="C387" s="22"/>
      <c r="D387" s="16"/>
      <c r="E387" s="16"/>
    </row>
    <row r="388" spans="1:5" ht="15" x14ac:dyDescent="0.25">
      <c r="A388" s="34" t="s">
        <v>522</v>
      </c>
      <c r="B388" s="34"/>
      <c r="C388" s="34"/>
      <c r="D388" s="34"/>
      <c r="E388" s="34"/>
    </row>
    <row r="389" spans="1:5" ht="15" x14ac:dyDescent="0.25">
      <c r="A389" s="16" t="s">
        <v>523</v>
      </c>
      <c r="B389" s="35" t="s">
        <v>299</v>
      </c>
      <c r="C389" s="254">
        <v>16671935</v>
      </c>
      <c r="D389" s="16"/>
      <c r="E389" s="16"/>
    </row>
    <row r="390" spans="1:5" ht="15" x14ac:dyDescent="0.25">
      <c r="A390" s="16" t="s">
        <v>11</v>
      </c>
      <c r="B390" s="35" t="s">
        <v>299</v>
      </c>
      <c r="C390" s="254">
        <v>3720787</v>
      </c>
      <c r="D390" s="16"/>
      <c r="E390" s="16"/>
    </row>
    <row r="391" spans="1:5" ht="15" x14ac:dyDescent="0.25">
      <c r="A391" s="16" t="s">
        <v>264</v>
      </c>
      <c r="B391" s="35" t="s">
        <v>299</v>
      </c>
      <c r="C391" s="254">
        <v>846694</v>
      </c>
      <c r="D391" s="16"/>
      <c r="E391" s="16"/>
    </row>
    <row r="392" spans="1:5" ht="15" x14ac:dyDescent="0.25">
      <c r="A392" s="16" t="s">
        <v>524</v>
      </c>
      <c r="B392" s="35" t="s">
        <v>299</v>
      </c>
      <c r="C392" s="254">
        <v>2210224</v>
      </c>
      <c r="D392" s="16"/>
      <c r="E392" s="16"/>
    </row>
    <row r="393" spans="1:5" ht="15" x14ac:dyDescent="0.25">
      <c r="A393" s="16" t="s">
        <v>525</v>
      </c>
      <c r="B393" s="35" t="s">
        <v>299</v>
      </c>
      <c r="C393" s="254">
        <v>507622</v>
      </c>
      <c r="D393" s="16"/>
      <c r="E393" s="16"/>
    </row>
    <row r="394" spans="1:5" ht="15" x14ac:dyDescent="0.25">
      <c r="A394" s="16" t="s">
        <v>526</v>
      </c>
      <c r="B394" s="35" t="s">
        <v>299</v>
      </c>
      <c r="C394" s="254">
        <f>4329419-2539398</f>
        <v>1790021</v>
      </c>
      <c r="D394" s="16"/>
      <c r="E394" s="16"/>
    </row>
    <row r="395" spans="1:5" ht="15" x14ac:dyDescent="0.25">
      <c r="A395" s="16" t="s">
        <v>16</v>
      </c>
      <c r="B395" s="35" t="s">
        <v>299</v>
      </c>
      <c r="C395" s="254">
        <v>1583180</v>
      </c>
      <c r="D395" s="16"/>
      <c r="E395" s="16"/>
    </row>
    <row r="396" spans="1:5" ht="15" x14ac:dyDescent="0.25">
      <c r="A396" s="16" t="s">
        <v>527</v>
      </c>
      <c r="B396" s="35" t="s">
        <v>299</v>
      </c>
      <c r="C396" s="254">
        <v>84582</v>
      </c>
      <c r="D396" s="16"/>
      <c r="E396" s="16"/>
    </row>
    <row r="397" spans="1:5" ht="15" x14ac:dyDescent="0.25">
      <c r="A397" s="16" t="s">
        <v>528</v>
      </c>
      <c r="B397" s="35" t="s">
        <v>299</v>
      </c>
      <c r="C397" s="256">
        <v>328040</v>
      </c>
      <c r="D397" s="16"/>
      <c r="E397" s="16"/>
    </row>
    <row r="398" spans="1:5" ht="15" x14ac:dyDescent="0.25">
      <c r="A398" s="16" t="s">
        <v>529</v>
      </c>
      <c r="B398" s="35" t="s">
        <v>299</v>
      </c>
      <c r="C398" s="256">
        <v>0</v>
      </c>
      <c r="D398" s="16"/>
      <c r="E398" s="16"/>
    </row>
    <row r="399" spans="1:5" ht="15" x14ac:dyDescent="0.25">
      <c r="A399" s="16" t="s">
        <v>530</v>
      </c>
      <c r="B399" s="35" t="s">
        <v>299</v>
      </c>
      <c r="C399" s="256">
        <v>0</v>
      </c>
      <c r="D399" s="16"/>
      <c r="E399" s="16"/>
    </row>
    <row r="400" spans="1:5" ht="15" x14ac:dyDescent="0.25">
      <c r="A400" s="25" t="s">
        <v>531</v>
      </c>
      <c r="B400" s="16"/>
      <c r="C400" s="16"/>
      <c r="D400" s="16"/>
      <c r="E400" s="16"/>
    </row>
    <row r="401" spans="1:9" ht="15" x14ac:dyDescent="0.2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ht="15" x14ac:dyDescent="0.25">
      <c r="A402" s="26" t="s">
        <v>271</v>
      </c>
      <c r="B402" s="32" t="s">
        <v>299</v>
      </c>
      <c r="C402" s="254">
        <v>2539397.7800000003</v>
      </c>
      <c r="D402" s="25">
        <v>0</v>
      </c>
      <c r="E402" s="25"/>
    </row>
    <row r="403" spans="1:9" ht="15" x14ac:dyDescent="0.2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ht="15" x14ac:dyDescent="0.25">
      <c r="A404" s="26" t="s">
        <v>273</v>
      </c>
      <c r="B404" s="32" t="s">
        <v>299</v>
      </c>
      <c r="C404" s="254"/>
      <c r="D404" s="25">
        <v>0</v>
      </c>
      <c r="E404" s="25"/>
    </row>
    <row r="405" spans="1:9" ht="15" x14ac:dyDescent="0.2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ht="15" x14ac:dyDescent="0.25">
      <c r="A406" s="26" t="s">
        <v>275</v>
      </c>
      <c r="B406" s="32" t="s">
        <v>299</v>
      </c>
      <c r="C406" s="254">
        <v>77783.5</v>
      </c>
      <c r="D406" s="25">
        <v>0</v>
      </c>
      <c r="E406" s="25"/>
    </row>
    <row r="407" spans="1:9" ht="15" x14ac:dyDescent="0.2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ht="15" x14ac:dyDescent="0.25">
      <c r="A408" s="26" t="s">
        <v>277</v>
      </c>
      <c r="B408" s="32" t="s">
        <v>299</v>
      </c>
      <c r="C408" s="254"/>
      <c r="D408" s="25">
        <v>0</v>
      </c>
      <c r="E408" s="25"/>
    </row>
    <row r="409" spans="1:9" ht="15" x14ac:dyDescent="0.2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ht="15" x14ac:dyDescent="0.2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ht="15" x14ac:dyDescent="0.25">
      <c r="A411" s="26" t="s">
        <v>280</v>
      </c>
      <c r="B411" s="32" t="s">
        <v>299</v>
      </c>
      <c r="C411" s="254">
        <v>305325.7</v>
      </c>
      <c r="D411" s="25">
        <v>0</v>
      </c>
      <c r="E411" s="25"/>
    </row>
    <row r="412" spans="1:9" ht="15" x14ac:dyDescent="0.25">
      <c r="A412" s="26" t="s">
        <v>281</v>
      </c>
      <c r="B412" s="32" t="s">
        <v>299</v>
      </c>
      <c r="C412" s="254">
        <v>343838.09</v>
      </c>
      <c r="D412" s="25">
        <v>0</v>
      </c>
      <c r="E412" s="25"/>
    </row>
    <row r="413" spans="1:9" ht="15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ht="15" x14ac:dyDescent="0.25">
      <c r="A414" s="26" t="s">
        <v>283</v>
      </c>
      <c r="B414" s="32" t="s">
        <v>299</v>
      </c>
      <c r="C414" s="256">
        <f>3227423-C412-C411-C410-C409-C408-C407-C406-C405-C404-C403-C402-C401</f>
        <v>-38922.070000000298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ht="15" x14ac:dyDescent="0.25">
      <c r="A415" s="49" t="s">
        <v>533</v>
      </c>
      <c r="B415" s="35"/>
      <c r="C415" s="35"/>
      <c r="D415" s="25">
        <f>SUM(C401:C414)</f>
        <v>3522690.9800000004</v>
      </c>
      <c r="E415" s="25"/>
      <c r="F415" s="47"/>
      <c r="G415" s="47"/>
      <c r="H415" s="47"/>
      <c r="I415" s="47"/>
    </row>
    <row r="416" spans="1:9" ht="15" x14ac:dyDescent="0.25">
      <c r="A416" s="25" t="s">
        <v>534</v>
      </c>
      <c r="B416" s="16"/>
      <c r="C416" s="22"/>
      <c r="D416" s="25">
        <f>SUM(C389:C399,D415)</f>
        <v>31452840.350000001</v>
      </c>
      <c r="E416" s="25"/>
    </row>
    <row r="417" spans="1:13" ht="15" x14ac:dyDescent="0.25">
      <c r="A417" s="25" t="s">
        <v>535</v>
      </c>
      <c r="B417" s="16"/>
      <c r="C417" s="22"/>
      <c r="D417" s="25">
        <f>D384-D416</f>
        <v>-634407.6099999994</v>
      </c>
      <c r="E417" s="25"/>
    </row>
    <row r="418" spans="1:13" ht="15" x14ac:dyDescent="0.25">
      <c r="A418" s="25" t="s">
        <v>536</v>
      </c>
      <c r="B418" s="16"/>
      <c r="C418" s="256">
        <v>1207364</v>
      </c>
      <c r="D418" s="25">
        <v>0</v>
      </c>
      <c r="E418" s="25"/>
    </row>
    <row r="419" spans="1:13" ht="15" x14ac:dyDescent="0.2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ht="15" x14ac:dyDescent="0.25">
      <c r="A420" s="48" t="s">
        <v>538</v>
      </c>
      <c r="B420" s="16"/>
      <c r="C420" s="16"/>
      <c r="D420" s="25">
        <f>SUM(C418:C419)</f>
        <v>431470</v>
      </c>
      <c r="E420" s="25"/>
      <c r="F420" s="11">
        <f>D420-C399</f>
        <v>253444.56</v>
      </c>
    </row>
    <row r="421" spans="1:13" ht="15" x14ac:dyDescent="0.25">
      <c r="A421" s="25" t="s">
        <v>539</v>
      </c>
      <c r="B421" s="16"/>
      <c r="C421" s="22"/>
      <c r="D421" s="25">
        <f>D417+D420</f>
        <v>-202937.6099999994</v>
      </c>
      <c r="E421" s="25"/>
      <c r="F421" s="50"/>
    </row>
    <row r="422" spans="1:13" ht="15" x14ac:dyDescent="0.2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ht="15" x14ac:dyDescent="0.2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ht="15" x14ac:dyDescent="0.25">
      <c r="A424" s="16" t="s">
        <v>542</v>
      </c>
      <c r="B424" s="16"/>
      <c r="C424" s="22"/>
      <c r="D424" s="25">
        <f>D421+C422-C423</f>
        <v>-202937.6099999994</v>
      </c>
      <c r="E424" s="16"/>
    </row>
    <row r="426" spans="1:13" ht="31" customHeight="1" x14ac:dyDescent="0.35">
      <c r="A426" s="331" t="s">
        <v>1376</v>
      </c>
      <c r="B426" s="331"/>
      <c r="C426" s="331"/>
      <c r="D426" s="331"/>
      <c r="E426" s="331"/>
    </row>
    <row r="427" spans="1:13" x14ac:dyDescent="0.35">
      <c r="M427" s="51"/>
    </row>
    <row r="428" spans="1:13" ht="15" x14ac:dyDescent="0.25">
      <c r="M428" s="51"/>
    </row>
    <row r="429" spans="1:13" ht="15" x14ac:dyDescent="0.25">
      <c r="M429" s="51"/>
    </row>
    <row r="433" spans="2:7" ht="15" x14ac:dyDescent="0.25">
      <c r="B433" s="52"/>
      <c r="C433" s="52"/>
      <c r="D433" s="52"/>
      <c r="E433" s="52"/>
      <c r="F433" s="52"/>
      <c r="G433" s="52"/>
    </row>
    <row r="574" spans="2:83" ht="15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ht="15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ht="15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2">
      <c r="A612" s="212"/>
      <c r="C612" s="210" t="s">
        <v>543</v>
      </c>
      <c r="D612" s="217">
        <f>CE90-(BE90+CD90)</f>
        <v>59335</v>
      </c>
      <c r="E612" s="219">
        <f>SUM(C624:D647)+SUM(C668:D713)</f>
        <v>28980310.491724446</v>
      </c>
      <c r="F612" s="219">
        <f>CE64-(AX64+BD64+BE64+BG64+BJ64+BN64+BP64+BQ64+CB64+CC64+CD64)</f>
        <v>2378310.3799999994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152.6</v>
      </c>
      <c r="I612" s="217">
        <f>CE92-(AX92+AY92+AZ92+BD92+BE92+BF92+BG92+BJ92+BN92+BO92+BP92+BQ92+BR92+CB92+CC92+CD92)</f>
        <v>892</v>
      </c>
      <c r="J612" s="217">
        <f>CE93-(AX93+AY93+AZ93+BA93+BD93+BE93+BF93+BG93+BJ93+BN93+BO93+BP93+BQ93+BR93+CB93+CC93+CD93)</f>
        <v>12158</v>
      </c>
      <c r="K612" s="217">
        <f>CE89-(AW89+AX89+AY89+AZ89+BA89+BB89+BC89+BD89+BE89+BF89+BG89+BH89+BI89+BJ89+BK89+BL89+BM89+BN89+BO89+BP89+BQ89+BR89+BS89+BT89+BU89+BV89+BW89+BX89+CB89+CC89+CD89)</f>
        <v>36111278.109999992</v>
      </c>
      <c r="L612" s="223">
        <f>CE94-(AW94+AX94+AY94+AZ94+BA94+BB94+BC94+BD94+BE94+BF94+BG94+BH94+BI94+BJ94+BK94+BL94+BM94+BN94+BO94+BP94+BQ94+BR94+BS94+BT94+BU94+BV94+BW94+BX94+BY94+BZ94+CA94+CB94+CC94+CD94)</f>
        <v>28.08</v>
      </c>
    </row>
    <row r="613" spans="1:14" s="202" customFormat="1" ht="12.65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2">
      <c r="A614" s="212">
        <v>8430</v>
      </c>
      <c r="B614" s="211" t="s">
        <v>167</v>
      </c>
      <c r="C614" s="217">
        <f>BE85</f>
        <v>819342.56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2">
      <c r="A615" s="212"/>
      <c r="B615" s="211" t="s">
        <v>555</v>
      </c>
      <c r="C615" s="217">
        <f>CD69-CD84</f>
        <v>570266.96</v>
      </c>
      <c r="D615" s="217">
        <f>SUM(C614:C615)</f>
        <v>1389609.52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2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2">
      <c r="A617" s="212">
        <v>8510</v>
      </c>
      <c r="B617" s="216" t="s">
        <v>172</v>
      </c>
      <c r="C617" s="217">
        <f>BJ85</f>
        <v>604371.54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2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2">
      <c r="A619" s="212">
        <v>8610</v>
      </c>
      <c r="B619" s="216" t="s">
        <v>562</v>
      </c>
      <c r="C619" s="217">
        <f>BN85</f>
        <v>1415915.17</v>
      </c>
      <c r="D619" s="217">
        <f>(D615/D612)*BN90</f>
        <v>168481.51827555406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2">
      <c r="A620" s="212">
        <v>8790</v>
      </c>
      <c r="B620" s="216" t="s">
        <v>564</v>
      </c>
      <c r="C620" s="217">
        <f>CC85</f>
        <v>481069.75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2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2">
      <c r="A622" s="212">
        <v>8770</v>
      </c>
      <c r="B622" s="211" t="s">
        <v>568</v>
      </c>
      <c r="C622" s="217">
        <f>CB85</f>
        <v>33814.620000000003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2703652.5982755544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2">
      <c r="A624" s="212">
        <v>8420</v>
      </c>
      <c r="B624" s="216" t="s">
        <v>166</v>
      </c>
      <c r="C624" s="217">
        <f>BD85</f>
        <v>339576.52</v>
      </c>
      <c r="D624" s="217">
        <f>(D615/D612)*BD90</f>
        <v>15691.217298390495</v>
      </c>
      <c r="E624" s="219">
        <f>(E623/E612)*SUM(C624:D624)</f>
        <v>33143.90097043835</v>
      </c>
      <c r="F624" s="219">
        <f>SUM(C624:E624)</f>
        <v>388411.63826882886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2">
      <c r="A625" s="212">
        <v>8320</v>
      </c>
      <c r="B625" s="216" t="s">
        <v>162</v>
      </c>
      <c r="C625" s="217">
        <f>AY85</f>
        <v>874927.45000000007</v>
      </c>
      <c r="D625" s="217">
        <f>(D615/D612)*AY90</f>
        <v>86418.793777702871</v>
      </c>
      <c r="E625" s="219">
        <f>(E623/E612)*SUM(C625:D625)</f>
        <v>89686.626048200473</v>
      </c>
      <c r="F625" s="219">
        <f>(F624/F612)*AY64</f>
        <v>41202.135786720013</v>
      </c>
      <c r="G625" s="217">
        <f>SUM(C625:F625)</f>
        <v>1092235.0056126234</v>
      </c>
      <c r="H625" s="219"/>
      <c r="I625" s="217"/>
      <c r="J625" s="217"/>
      <c r="N625" s="213" t="s">
        <v>573</v>
      </c>
    </row>
    <row r="626" spans="1:14" s="202" customFormat="1" ht="12.65" customHeight="1" x14ac:dyDescent="0.2">
      <c r="A626" s="212">
        <v>8650</v>
      </c>
      <c r="B626" s="216" t="s">
        <v>179</v>
      </c>
      <c r="C626" s="217">
        <f>BR85</f>
        <v>322013.26999999996</v>
      </c>
      <c r="D626" s="217">
        <f>(D615/D612)*BR90</f>
        <v>0</v>
      </c>
      <c r="E626" s="219">
        <f>(E623/E612)*SUM(C626:D626)</f>
        <v>30041.50056857802</v>
      </c>
      <c r="F626" s="219">
        <f>(F624/F612)*BR64</f>
        <v>510.87429323812756</v>
      </c>
      <c r="G626" s="217" t="e">
        <f>(G625/G612)*BR91</f>
        <v>#DIV/0!</v>
      </c>
      <c r="H626" s="219"/>
      <c r="I626" s="217"/>
      <c r="J626" s="217"/>
      <c r="N626" s="213" t="s">
        <v>574</v>
      </c>
    </row>
    <row r="627" spans="1:14" s="202" customFormat="1" ht="12.65" customHeight="1" x14ac:dyDescent="0.2">
      <c r="A627" s="212">
        <v>8620</v>
      </c>
      <c r="B627" s="211" t="s">
        <v>575</v>
      </c>
      <c r="C627" s="217">
        <f>BO85</f>
        <v>81120.599999999991</v>
      </c>
      <c r="D627" s="217">
        <f>(D615/D612)*BO90</f>
        <v>0</v>
      </c>
      <c r="E627" s="219">
        <f>(E623/E612)*SUM(C627:D627)</f>
        <v>7567.9631184869813</v>
      </c>
      <c r="F627" s="219">
        <f>(F624/F612)*BO64</f>
        <v>203.77027884004914</v>
      </c>
      <c r="G627" s="217" t="e">
        <f>(G625/G612)*BO91</f>
        <v>#DIV/0!</v>
      </c>
      <c r="H627" s="219"/>
      <c r="I627" s="217"/>
      <c r="J627" s="217"/>
      <c r="N627" s="213" t="s">
        <v>576</v>
      </c>
    </row>
    <row r="628" spans="1:14" s="202" customFormat="1" ht="12.65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577</v>
      </c>
    </row>
    <row r="629" spans="1:14" s="202" customFormat="1" ht="12.65" customHeight="1" x14ac:dyDescent="0.2">
      <c r="A629" s="212">
        <v>8460</v>
      </c>
      <c r="B629" s="216" t="s">
        <v>168</v>
      </c>
      <c r="C629" s="217">
        <f>BF85</f>
        <v>373605.20999999996</v>
      </c>
      <c r="D629" s="217">
        <f>(D615/D612)*BF90</f>
        <v>24614.133403893149</v>
      </c>
      <c r="E629" s="219">
        <f>(E623/E612)*SUM(C629:D629)</f>
        <v>37150.974030625577</v>
      </c>
      <c r="F629" s="219">
        <f>(F624/F612)*BF64</f>
        <v>2385.6941228787114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578</v>
      </c>
    </row>
    <row r="630" spans="1:14" s="202" customFormat="1" ht="12.65" customHeight="1" x14ac:dyDescent="0.2">
      <c r="A630" s="212">
        <v>8350</v>
      </c>
      <c r="B630" s="216" t="s">
        <v>579</v>
      </c>
      <c r="C630" s="217">
        <f>BA85</f>
        <v>134911.91999999998</v>
      </c>
      <c r="D630" s="217">
        <f>(D615/D612)*BA90</f>
        <v>20094.126032864246</v>
      </c>
      <c r="E630" s="219">
        <f>(E623/E612)*SUM(C630:D630)</f>
        <v>14460.938892454096</v>
      </c>
      <c r="F630" s="219">
        <f>(F624/F612)*BA64</f>
        <v>901.86623235407501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580</v>
      </c>
    </row>
    <row r="631" spans="1:14" s="202" customFormat="1" ht="12.65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582</v>
      </c>
    </row>
    <row r="632" spans="1:14" s="202" customFormat="1" ht="12.65" customHeight="1" x14ac:dyDescent="0.2">
      <c r="A632" s="212">
        <v>8360</v>
      </c>
      <c r="B632" s="216" t="s">
        <v>583</v>
      </c>
      <c r="C632" s="217">
        <f>BB85</f>
        <v>109860.1</v>
      </c>
      <c r="D632" s="217">
        <f>(D615/D612)*BB90</f>
        <v>2997.7250958119153</v>
      </c>
      <c r="E632" s="219">
        <f>(E623/E612)*SUM(C632:D632)</f>
        <v>10528.815836640251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584</v>
      </c>
    </row>
    <row r="633" spans="1:14" s="202" customFormat="1" ht="12.65" customHeight="1" x14ac:dyDescent="0.2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586</v>
      </c>
    </row>
    <row r="634" spans="1:14" s="202" customFormat="1" ht="12.65" customHeight="1" x14ac:dyDescent="0.2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588</v>
      </c>
    </row>
    <row r="635" spans="1:14" s="202" customFormat="1" ht="12.65" customHeight="1" x14ac:dyDescent="0.2">
      <c r="A635" s="212">
        <v>8530</v>
      </c>
      <c r="B635" s="216" t="s">
        <v>589</v>
      </c>
      <c r="C635" s="217">
        <f>BK85</f>
        <v>932599.56999999983</v>
      </c>
      <c r="D635" s="217">
        <f>(D615/D612)*BK90</f>
        <v>0</v>
      </c>
      <c r="E635" s="219">
        <f>(E623/E612)*SUM(C635:D635)</f>
        <v>87004.770059353817</v>
      </c>
      <c r="F635" s="219">
        <f>(F624/F612)*BK64</f>
        <v>2028.8838265682193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590</v>
      </c>
    </row>
    <row r="636" spans="1:14" s="202" customFormat="1" ht="12.65" customHeight="1" x14ac:dyDescent="0.2">
      <c r="A636" s="212">
        <v>8480</v>
      </c>
      <c r="B636" s="216" t="s">
        <v>591</v>
      </c>
      <c r="C636" s="217">
        <f>BH85</f>
        <v>1733086.5100000002</v>
      </c>
      <c r="D636" s="217">
        <f>(D615/D612)*BH90</f>
        <v>0</v>
      </c>
      <c r="E636" s="219">
        <f>(E623/E612)*SUM(C636:D636)</f>
        <v>161684.39075681544</v>
      </c>
      <c r="F636" s="219">
        <f>(F624/F612)*BH64</f>
        <v>14839.053014118312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592</v>
      </c>
    </row>
    <row r="637" spans="1:14" s="202" customFormat="1" ht="12.65" customHeight="1" x14ac:dyDescent="0.2">
      <c r="A637" s="212">
        <v>8560</v>
      </c>
      <c r="B637" s="216" t="s">
        <v>174</v>
      </c>
      <c r="C637" s="217">
        <f>BL85</f>
        <v>763489.83</v>
      </c>
      <c r="D637" s="217">
        <f>(D615/D612)*BL90</f>
        <v>0</v>
      </c>
      <c r="E637" s="219">
        <f>(E623/E612)*SUM(C637:D637)</f>
        <v>71228.058899710988</v>
      </c>
      <c r="F637" s="219">
        <f>(F624/F612)*BL64</f>
        <v>588.43216312972129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593</v>
      </c>
    </row>
    <row r="638" spans="1:14" s="202" customFormat="1" ht="12.65" customHeight="1" x14ac:dyDescent="0.2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595</v>
      </c>
    </row>
    <row r="639" spans="1:14" s="202" customFormat="1" ht="12.65" customHeight="1" x14ac:dyDescent="0.2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597</v>
      </c>
    </row>
    <row r="640" spans="1:14" s="202" customFormat="1" ht="12.65" customHeight="1" x14ac:dyDescent="0.2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599</v>
      </c>
    </row>
    <row r="641" spans="1:14" s="202" customFormat="1" ht="12.65" customHeight="1" x14ac:dyDescent="0.2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601</v>
      </c>
    </row>
    <row r="642" spans="1:14" s="202" customFormat="1" ht="12.65" customHeight="1" x14ac:dyDescent="0.2">
      <c r="A642" s="212">
        <v>8690</v>
      </c>
      <c r="B642" s="216" t="s">
        <v>602</v>
      </c>
      <c r="C642" s="217">
        <f>BV85</f>
        <v>257005.46999999997</v>
      </c>
      <c r="D642" s="217">
        <f>(D615/D612)*BV90</f>
        <v>8571.6201958371948</v>
      </c>
      <c r="E642" s="219">
        <f>(E623/E612)*SUM(C642:D642)</f>
        <v>24776.414668002777</v>
      </c>
      <c r="F642" s="219">
        <f>(F624/F612)*BV64</f>
        <v>5.2701462653226576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603</v>
      </c>
    </row>
    <row r="643" spans="1:14" s="202" customFormat="1" ht="12.65" customHeight="1" x14ac:dyDescent="0.2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605</v>
      </c>
    </row>
    <row r="644" spans="1:14" s="202" customFormat="1" ht="12.65" customHeight="1" x14ac:dyDescent="0.2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607</v>
      </c>
    </row>
    <row r="645" spans="1:14" s="202" customFormat="1" ht="12.65" customHeight="1" x14ac:dyDescent="0.2">
      <c r="A645" s="212">
        <v>8720</v>
      </c>
      <c r="B645" s="216" t="s">
        <v>608</v>
      </c>
      <c r="C645" s="217">
        <f>BY85</f>
        <v>0</v>
      </c>
      <c r="D645" s="217">
        <f>(D615/D612)*BY90</f>
        <v>1686.2203663942023</v>
      </c>
      <c r="E645" s="219">
        <f>(E623/E612)*SUM(C645:D645)</f>
        <v>157.31211976381991</v>
      </c>
      <c r="F645" s="219">
        <f>(F624/F612)*BY64</f>
        <v>0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609</v>
      </c>
    </row>
    <row r="646" spans="1:14" s="202" customFormat="1" ht="12.65" customHeight="1" x14ac:dyDescent="0.2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611</v>
      </c>
    </row>
    <row r="647" spans="1:14" s="202" customFormat="1" ht="12.65" customHeight="1" x14ac:dyDescent="0.2">
      <c r="A647" s="212">
        <v>8740</v>
      </c>
      <c r="B647" s="216" t="s">
        <v>612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613</v>
      </c>
    </row>
    <row r="648" spans="1:14" s="202" customFormat="1" ht="12.65" customHeight="1" x14ac:dyDescent="0.2">
      <c r="A648" s="212"/>
      <c r="B648" s="212"/>
      <c r="C648" s="202">
        <f>SUM(C614:C647)</f>
        <v>9846977.0499999989</v>
      </c>
      <c r="L648" s="215"/>
    </row>
    <row r="666" spans="1:14" s="202" customFormat="1" ht="12.65" customHeight="1" x14ac:dyDescent="0.2">
      <c r="C666" s="210" t="s">
        <v>614</v>
      </c>
      <c r="M666" s="210" t="s">
        <v>615</v>
      </c>
    </row>
    <row r="667" spans="1:14" s="202" customFormat="1" ht="12.65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2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617</v>
      </c>
    </row>
    <row r="669" spans="1:14" s="202" customFormat="1" ht="12.65" customHeight="1" x14ac:dyDescent="0.2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618</v>
      </c>
    </row>
    <row r="670" spans="1:14" s="202" customFormat="1" ht="12.65" customHeight="1" x14ac:dyDescent="0.2">
      <c r="A670" s="212">
        <v>6070</v>
      </c>
      <c r="B670" s="211" t="s">
        <v>619</v>
      </c>
      <c r="C670" s="217">
        <f>E85</f>
        <v>3886854.9300000006</v>
      </c>
      <c r="D670" s="217">
        <f>(D615/D612)*E90</f>
        <v>112461.53054756888</v>
      </c>
      <c r="E670" s="219">
        <f>(E623/E612)*SUM(C670:D670)</f>
        <v>373107.19438196835</v>
      </c>
      <c r="F670" s="219">
        <f>(F624/F612)*E64</f>
        <v>11561.012238241137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620</v>
      </c>
    </row>
    <row r="671" spans="1:14" s="202" customFormat="1" ht="12.65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622</v>
      </c>
    </row>
    <row r="672" spans="1:14" s="202" customFormat="1" ht="12.65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624</v>
      </c>
    </row>
    <row r="673" spans="1:14" s="202" customFormat="1" ht="12.65" customHeight="1" x14ac:dyDescent="0.2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626</v>
      </c>
    </row>
    <row r="674" spans="1:14" s="202" customFormat="1" ht="12.65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628</v>
      </c>
    </row>
    <row r="675" spans="1:14" s="202" customFormat="1" ht="12.65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629</v>
      </c>
    </row>
    <row r="676" spans="1:14" s="202" customFormat="1" ht="12.65" customHeight="1" x14ac:dyDescent="0.2">
      <c r="A676" s="212">
        <v>6200</v>
      </c>
      <c r="B676" s="211" t="s">
        <v>349</v>
      </c>
      <c r="C676" s="217">
        <f>K85</f>
        <v>16584</v>
      </c>
      <c r="D676" s="217">
        <f>(D615/D612)*K90</f>
        <v>0</v>
      </c>
      <c r="E676" s="219">
        <f>(E623/E612)*SUM(C676:D676)</f>
        <v>1547.1668152970776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630</v>
      </c>
    </row>
    <row r="677" spans="1:14" s="202" customFormat="1" ht="12.65" customHeight="1" x14ac:dyDescent="0.2">
      <c r="A677" s="212">
        <v>6210</v>
      </c>
      <c r="B677" s="211" t="s">
        <v>350</v>
      </c>
      <c r="C677" s="217">
        <f>L85</f>
        <v>1848223.6300000001</v>
      </c>
      <c r="D677" s="217">
        <f>(D615/D612)*L90</f>
        <v>143820.54541703884</v>
      </c>
      <c r="E677" s="219">
        <f>(E623/E612)*SUM(C677:D677)</f>
        <v>185843.26114393832</v>
      </c>
      <c r="F677" s="219">
        <f>(F624/F612)*L64</f>
        <v>4593.7106619533397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631</v>
      </c>
    </row>
    <row r="678" spans="1:14" s="202" customFormat="1" ht="12.65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633</v>
      </c>
    </row>
    <row r="679" spans="1:14" s="202" customFormat="1" ht="12.65" customHeight="1" x14ac:dyDescent="0.2">
      <c r="A679" s="212">
        <v>6400</v>
      </c>
      <c r="B679" s="211" t="s">
        <v>634</v>
      </c>
      <c r="C679" s="217">
        <f>N85</f>
        <v>123488</v>
      </c>
      <c r="D679" s="217">
        <f>(D615/D612)*N90</f>
        <v>0</v>
      </c>
      <c r="E679" s="219">
        <f>(E623/E612)*SUM(C679:D679)</f>
        <v>11520.533989833906</v>
      </c>
      <c r="F679" s="219">
        <f>(F624/F612)*N64</f>
        <v>2075.655353959783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635</v>
      </c>
    </row>
    <row r="680" spans="1:14" s="202" customFormat="1" ht="12.65" customHeight="1" x14ac:dyDescent="0.2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637</v>
      </c>
    </row>
    <row r="681" spans="1:14" s="202" customFormat="1" ht="12.65" customHeight="1" x14ac:dyDescent="0.2">
      <c r="A681" s="212">
        <v>7020</v>
      </c>
      <c r="B681" s="211" t="s">
        <v>638</v>
      </c>
      <c r="C681" s="217">
        <f>P85</f>
        <v>896301.69000000006</v>
      </c>
      <c r="D681" s="217">
        <f>(D615/D612)*P90</f>
        <v>32857.877417375916</v>
      </c>
      <c r="E681" s="219">
        <f>(E623/E612)*SUM(C681:D681)</f>
        <v>86683.842789673887</v>
      </c>
      <c r="F681" s="219">
        <f>(F624/F612)*P64</f>
        <v>35962.235294199898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639</v>
      </c>
    </row>
    <row r="682" spans="1:14" s="202" customFormat="1" ht="12.65" customHeight="1" x14ac:dyDescent="0.2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641</v>
      </c>
    </row>
    <row r="683" spans="1:14" s="202" customFormat="1" ht="12.65" customHeight="1" x14ac:dyDescent="0.2">
      <c r="A683" s="212">
        <v>7040</v>
      </c>
      <c r="B683" s="211" t="s">
        <v>133</v>
      </c>
      <c r="C683" s="217">
        <f>R85</f>
        <v>709141.02</v>
      </c>
      <c r="D683" s="217">
        <f>(D615/D612)*R90</f>
        <v>5269.4386449818821</v>
      </c>
      <c r="E683" s="219">
        <f>(E623/E612)*SUM(C683:D683)</f>
        <v>66649.309823726551</v>
      </c>
      <c r="F683" s="219">
        <f>(F624/F612)*R64</f>
        <v>2611.6212267518044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642</v>
      </c>
    </row>
    <row r="684" spans="1:14" s="202" customFormat="1" ht="12.65" customHeight="1" x14ac:dyDescent="0.2">
      <c r="A684" s="212">
        <v>7050</v>
      </c>
      <c r="B684" s="211" t="s">
        <v>643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644</v>
      </c>
    </row>
    <row r="685" spans="1:14" s="202" customFormat="1" ht="12.65" customHeight="1" x14ac:dyDescent="0.2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646</v>
      </c>
    </row>
    <row r="686" spans="1:14" s="202" customFormat="1" ht="12.65" customHeight="1" x14ac:dyDescent="0.2">
      <c r="A686" s="212">
        <v>7070</v>
      </c>
      <c r="B686" s="211" t="s">
        <v>136</v>
      </c>
      <c r="C686" s="217">
        <f>U85</f>
        <v>1519726.36</v>
      </c>
      <c r="D686" s="217">
        <f>(D615/D612)*U90</f>
        <v>12342.19629291312</v>
      </c>
      <c r="E686" s="219">
        <f>(E623/E612)*SUM(C686:D686)</f>
        <v>142930.8748828086</v>
      </c>
      <c r="F686" s="219">
        <f>(F624/F612)*U64</f>
        <v>72336.317739107981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647</v>
      </c>
    </row>
    <row r="687" spans="1:14" s="202" customFormat="1" ht="12.65" customHeight="1" x14ac:dyDescent="0.2">
      <c r="A687" s="212">
        <v>7110</v>
      </c>
      <c r="B687" s="211" t="s">
        <v>648</v>
      </c>
      <c r="C687" s="217">
        <f>V85</f>
        <v>3756.36</v>
      </c>
      <c r="D687" s="217">
        <f>(D615/D612)*V90</f>
        <v>0</v>
      </c>
      <c r="E687" s="219">
        <f>(E623/E612)*SUM(C687:D687)</f>
        <v>350.44112025502471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649</v>
      </c>
    </row>
    <row r="688" spans="1:14" s="202" customFormat="1" ht="12.65" customHeight="1" x14ac:dyDescent="0.2">
      <c r="A688" s="212">
        <v>7120</v>
      </c>
      <c r="B688" s="211" t="s">
        <v>650</v>
      </c>
      <c r="C688" s="217">
        <f>W85</f>
        <v>268585.06</v>
      </c>
      <c r="D688" s="217">
        <f>(D615/D612)*W90</f>
        <v>0</v>
      </c>
      <c r="E688" s="219">
        <f>(E623/E612)*SUM(C688:D688)</f>
        <v>25057.036415615923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651</v>
      </c>
    </row>
    <row r="689" spans="1:14" s="202" customFormat="1" ht="12.65" customHeight="1" x14ac:dyDescent="0.2">
      <c r="A689" s="212">
        <v>7130</v>
      </c>
      <c r="B689" s="211" t="s">
        <v>652</v>
      </c>
      <c r="C689" s="217">
        <f>X85</f>
        <v>115342.65</v>
      </c>
      <c r="D689" s="217">
        <f>(D615/D612)*X90</f>
        <v>0</v>
      </c>
      <c r="E689" s="219">
        <f>(E623/E612)*SUM(C689:D689)</f>
        <v>10760.631962640222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653</v>
      </c>
    </row>
    <row r="690" spans="1:14" s="202" customFormat="1" ht="12.65" customHeight="1" x14ac:dyDescent="0.2">
      <c r="A690" s="212">
        <v>7140</v>
      </c>
      <c r="B690" s="211" t="s">
        <v>654</v>
      </c>
      <c r="C690" s="217">
        <f>Y85</f>
        <v>1297376.7499999998</v>
      </c>
      <c r="D690" s="217">
        <f>(D615/D612)*Y90</f>
        <v>36745.552151006996</v>
      </c>
      <c r="E690" s="219">
        <f>(E623/E612)*SUM(C690:D690)</f>
        <v>124463.92628049797</v>
      </c>
      <c r="F690" s="219">
        <f>(F624/F612)*Y64</f>
        <v>8285.9437791296568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655</v>
      </c>
    </row>
    <row r="691" spans="1:14" s="202" customFormat="1" ht="12.65" customHeight="1" x14ac:dyDescent="0.2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657</v>
      </c>
    </row>
    <row r="692" spans="1:14" s="202" customFormat="1" ht="12.65" customHeight="1" x14ac:dyDescent="0.2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659</v>
      </c>
    </row>
    <row r="693" spans="1:14" s="202" customFormat="1" ht="12.65" customHeight="1" x14ac:dyDescent="0.2">
      <c r="A693" s="212">
        <v>7170</v>
      </c>
      <c r="B693" s="211" t="s">
        <v>142</v>
      </c>
      <c r="C693" s="217">
        <f>AB85</f>
        <v>1390589.14</v>
      </c>
      <c r="D693" s="217">
        <f>(D615/D612)*AB90</f>
        <v>8899.4963781916231</v>
      </c>
      <c r="E693" s="219">
        <f>(E623/E612)*SUM(C693:D693)</f>
        <v>130562.13076397107</v>
      </c>
      <c r="F693" s="219">
        <f>(F624/F612)*AB64</f>
        <v>122988.94284805027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660</v>
      </c>
    </row>
    <row r="694" spans="1:14" s="202" customFormat="1" ht="12.65" customHeight="1" x14ac:dyDescent="0.2">
      <c r="A694" s="212">
        <v>7180</v>
      </c>
      <c r="B694" s="211" t="s">
        <v>661</v>
      </c>
      <c r="C694" s="217">
        <f>AC85</f>
        <v>255634.42</v>
      </c>
      <c r="D694" s="217">
        <f>(D615/D612)*AC90</f>
        <v>936.78909244122349</v>
      </c>
      <c r="E694" s="219">
        <f>(E623/E612)*SUM(C694:D694)</f>
        <v>23936.231335532615</v>
      </c>
      <c r="F694" s="219">
        <f>(F624/F612)*AC64</f>
        <v>3235.3749651608564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662</v>
      </c>
    </row>
    <row r="695" spans="1:14" s="202" customFormat="1" ht="12.65" customHeight="1" x14ac:dyDescent="0.2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663</v>
      </c>
    </row>
    <row r="696" spans="1:14" s="202" customFormat="1" ht="12.65" customHeight="1" x14ac:dyDescent="0.2">
      <c r="A696" s="212">
        <v>7200</v>
      </c>
      <c r="B696" s="211" t="s">
        <v>664</v>
      </c>
      <c r="C696" s="217">
        <f>AE85</f>
        <v>839658.20000000007</v>
      </c>
      <c r="D696" s="217">
        <f>(D615/D612)*AE90</f>
        <v>34309.900510659812</v>
      </c>
      <c r="E696" s="219">
        <f>(E623/E612)*SUM(C696:D696)</f>
        <v>81534.879566950898</v>
      </c>
      <c r="F696" s="219">
        <f>(F624/F612)*AE64</f>
        <v>1262.3021018622794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665</v>
      </c>
    </row>
    <row r="697" spans="1:14" s="202" customFormat="1" ht="12.65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667</v>
      </c>
    </row>
    <row r="698" spans="1:14" s="202" customFormat="1" ht="12.65" customHeight="1" x14ac:dyDescent="0.2">
      <c r="A698" s="212">
        <v>7230</v>
      </c>
      <c r="B698" s="211" t="s">
        <v>668</v>
      </c>
      <c r="C698" s="217">
        <f>AG85</f>
        <v>1985258.1100000003</v>
      </c>
      <c r="D698" s="217">
        <f>(D615/D612)*AG90</f>
        <v>13606.861567708771</v>
      </c>
      <c r="E698" s="219">
        <f>(E623/E612)*SUM(C698:D698)</f>
        <v>186479.59191204148</v>
      </c>
      <c r="F698" s="219">
        <f>(F624/F612)*AG64</f>
        <v>13377.328054971076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669</v>
      </c>
    </row>
    <row r="699" spans="1:14" s="202" customFormat="1" ht="12.65" customHeight="1" x14ac:dyDescent="0.2">
      <c r="A699" s="212">
        <v>7240</v>
      </c>
      <c r="B699" s="211" t="s">
        <v>146</v>
      </c>
      <c r="C699" s="217">
        <f>AH85</f>
        <v>265997.47000000003</v>
      </c>
      <c r="D699" s="217">
        <f>(D615/D612)*AH90</f>
        <v>0</v>
      </c>
      <c r="E699" s="219">
        <f>(E623/E612)*SUM(C699:D699)</f>
        <v>24815.6330521575</v>
      </c>
      <c r="F699" s="219">
        <f>(F624/F612)*AH64</f>
        <v>1564.6259123190507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670</v>
      </c>
    </row>
    <row r="700" spans="1:14" s="202" customFormat="1" ht="12.65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672</v>
      </c>
    </row>
    <row r="701" spans="1:14" s="202" customFormat="1" ht="12.65" customHeight="1" x14ac:dyDescent="0.2">
      <c r="A701" s="212">
        <v>7260</v>
      </c>
      <c r="B701" s="211" t="s">
        <v>148</v>
      </c>
      <c r="C701" s="217">
        <f>AJ85</f>
        <v>5795652.3499999996</v>
      </c>
      <c r="D701" s="217">
        <f>(D615/D612)*AJ90</f>
        <v>649803.75397185469</v>
      </c>
      <c r="E701" s="219">
        <f>(E623/E612)*SUM(C701:D701)</f>
        <v>601314.26637236145</v>
      </c>
      <c r="F701" s="219">
        <f>(F624/F612)*AJ64</f>
        <v>32168.976069811662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673</v>
      </c>
    </row>
    <row r="702" spans="1:14" s="202" customFormat="1" ht="12.65" customHeight="1" x14ac:dyDescent="0.2">
      <c r="A702" s="212">
        <v>7310</v>
      </c>
      <c r="B702" s="211" t="s">
        <v>674</v>
      </c>
      <c r="C702" s="217">
        <f>AK85</f>
        <v>99670.48</v>
      </c>
      <c r="D702" s="217">
        <f>(D615/D612)*AK90</f>
        <v>10000.22356181006</v>
      </c>
      <c r="E702" s="219">
        <f>(E623/E612)*SUM(C702:D702)</f>
        <v>10231.480533111162</v>
      </c>
      <c r="F702" s="219">
        <f>(F624/F612)*AK64</f>
        <v>6.4835700878001088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675</v>
      </c>
    </row>
    <row r="703" spans="1:14" s="202" customFormat="1" ht="12.65" customHeight="1" x14ac:dyDescent="0.2">
      <c r="A703" s="212">
        <v>7320</v>
      </c>
      <c r="B703" s="211" t="s">
        <v>676</v>
      </c>
      <c r="C703" s="217">
        <f>AL85</f>
        <v>49438.7</v>
      </c>
      <c r="D703" s="217">
        <f>(D615/D612)*AL90</f>
        <v>0</v>
      </c>
      <c r="E703" s="219">
        <f>(E623/E612)*SUM(C703:D703)</f>
        <v>4612.2718301632667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677</v>
      </c>
    </row>
    <row r="704" spans="1:14" s="202" customFormat="1" ht="12.65" customHeight="1" x14ac:dyDescent="0.2">
      <c r="A704" s="212">
        <v>7330</v>
      </c>
      <c r="B704" s="211" t="s">
        <v>678</v>
      </c>
      <c r="C704" s="217">
        <f>AM85</f>
        <v>63991.380000000005</v>
      </c>
      <c r="D704" s="217">
        <f>(D615/D612)*AM90</f>
        <v>0</v>
      </c>
      <c r="E704" s="219">
        <f>(E623/E612)*SUM(C704:D704)</f>
        <v>5969.9312349894544</v>
      </c>
      <c r="F704" s="219">
        <f>(F624/F612)*AM64</f>
        <v>94.304098526430607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679</v>
      </c>
    </row>
    <row r="705" spans="1:14" s="202" customFormat="1" ht="12.65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681</v>
      </c>
    </row>
    <row r="706" spans="1:14" s="202" customFormat="1" ht="12.65" customHeight="1" x14ac:dyDescent="0.2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683</v>
      </c>
    </row>
    <row r="707" spans="1:14" s="202" customFormat="1" ht="12.65" customHeight="1" x14ac:dyDescent="0.2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685</v>
      </c>
    </row>
    <row r="708" spans="1:14" s="202" customFormat="1" ht="12.65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687</v>
      </c>
    </row>
    <row r="709" spans="1:14" s="202" customFormat="1" ht="12.65" customHeight="1" x14ac:dyDescent="0.2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689</v>
      </c>
    </row>
    <row r="710" spans="1:14" s="202" customFormat="1" ht="12.65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690</v>
      </c>
    </row>
    <row r="711" spans="1:14" s="202" customFormat="1" ht="12.65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692</v>
      </c>
    </row>
    <row r="712" spans="1:14" s="202" customFormat="1" ht="12.65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694</v>
      </c>
    </row>
    <row r="713" spans="1:14" s="202" customFormat="1" ht="12.65" customHeight="1" x14ac:dyDescent="0.2">
      <c r="A713" s="212">
        <v>7490</v>
      </c>
      <c r="B713" s="211" t="s">
        <v>695</v>
      </c>
      <c r="C713" s="217">
        <f>AV85</f>
        <v>405715.33999999997</v>
      </c>
      <c r="D713" s="217">
        <f>(D615/D612)*AV90</f>
        <v>0</v>
      </c>
      <c r="E713" s="219">
        <f>(E623/E612)*SUM(C713:D713)</f>
        <v>37850.296098949046</v>
      </c>
      <c r="F713" s="219">
        <f>(F624/F612)*AV64</f>
        <v>13620.824490583351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696</v>
      </c>
    </row>
    <row r="714" spans="1:14" s="202" customFormat="1" ht="12.65" customHeight="1" x14ac:dyDescent="0.2"/>
    <row r="715" spans="1:14" s="202" customFormat="1" ht="12.65" customHeight="1" x14ac:dyDescent="0.2">
      <c r="C715" s="214">
        <f>SUM(C614:C647)+SUM(C668:C713)</f>
        <v>31683963.089999996</v>
      </c>
      <c r="D715" s="202">
        <f>SUM(D616:D647)+SUM(D668:D713)</f>
        <v>1389609.52</v>
      </c>
      <c r="E715" s="202">
        <f>SUM(E624:E647)+SUM(E668:E713)</f>
        <v>2703652.5982755539</v>
      </c>
      <c r="F715" s="202">
        <f>SUM(F625:F648)+SUM(F668:F713)</f>
        <v>388411.63826882892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697</v>
      </c>
    </row>
    <row r="716" spans="1:14" s="202" customFormat="1" ht="12.65" customHeight="1" x14ac:dyDescent="0.2">
      <c r="C716" s="214">
        <f>CE85</f>
        <v>31683963.090000004</v>
      </c>
      <c r="D716" s="202">
        <f>D615</f>
        <v>1389609.52</v>
      </c>
      <c r="E716" s="202">
        <f>E623</f>
        <v>2703652.5982755544</v>
      </c>
      <c r="F716" s="202">
        <f>F624</f>
        <v>388411.63826882886</v>
      </c>
      <c r="G716" s="202">
        <f>G625</f>
        <v>1092235.0056126234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9846977.0499999989</v>
      </c>
      <c r="N716" s="211" t="s">
        <v>698</v>
      </c>
    </row>
  </sheetData>
  <sheetProtection algorithmName="SHA-512" hashValue="dS1dal48bas/BHQUizRWGlDrJfj0+3UCvYRU76e6DFmoi1Sz0llAU6HCkKBQv8cCc/27Oaxrn6Hk/K3OaWr3Lw==" saltValue="nR1kHf+79/r2NNhfJW73s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510B8D80-C043-451F-896F-4ED5D21302C1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905</v>
      </c>
      <c r="B1" s="169"/>
      <c r="C1" s="169"/>
    </row>
    <row r="2" spans="1:3" ht="20.149999999999999" customHeight="1" x14ac:dyDescent="0.35">
      <c r="A2" s="168"/>
      <c r="B2" s="169"/>
      <c r="C2" s="94" t="s">
        <v>906</v>
      </c>
    </row>
    <row r="3" spans="1:3" ht="20.149999999999999" customHeight="1" x14ac:dyDescent="0.35">
      <c r="A3" s="120" t="str">
        <f>"Hospital: "&amp;data!C98</f>
        <v>Hospital: LINCOLN COUNTY HOSPITAL DISTRICT # 3</v>
      </c>
      <c r="B3" s="170"/>
      <c r="C3" s="142" t="str">
        <f>"FYE: "&amp;data!C96</f>
        <v>FYE: 12/31/2023</v>
      </c>
    </row>
    <row r="4" spans="1:3" ht="20.149999999999999" customHeight="1" x14ac:dyDescent="0.35">
      <c r="A4" s="171"/>
      <c r="B4" s="172" t="s">
        <v>907</v>
      </c>
      <c r="C4" s="173"/>
    </row>
    <row r="5" spans="1:3" ht="20.149999999999999" customHeight="1" x14ac:dyDescent="0.35">
      <c r="A5" s="174">
        <v>1</v>
      </c>
      <c r="B5" s="175" t="s">
        <v>424</v>
      </c>
      <c r="C5" s="175"/>
    </row>
    <row r="6" spans="1:3" ht="20.149999999999999" customHeight="1" x14ac:dyDescent="0.35">
      <c r="A6" s="174">
        <v>2</v>
      </c>
      <c r="B6" s="176" t="s">
        <v>425</v>
      </c>
      <c r="C6" s="176">
        <f>data!C266</f>
        <v>4848260</v>
      </c>
    </row>
    <row r="7" spans="1:3" ht="20.149999999999999" customHeight="1" x14ac:dyDescent="0.35">
      <c r="A7" s="174">
        <v>3</v>
      </c>
      <c r="B7" s="176" t="s">
        <v>426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427</v>
      </c>
      <c r="C8" s="176">
        <f>data!C268</f>
        <v>3474608</v>
      </c>
    </row>
    <row r="9" spans="1:3" ht="20.149999999999999" customHeight="1" x14ac:dyDescent="0.35">
      <c r="A9" s="174">
        <v>5</v>
      </c>
      <c r="B9" s="176" t="s">
        <v>908</v>
      </c>
      <c r="C9" s="176">
        <f>data!C269</f>
        <v>0</v>
      </c>
    </row>
    <row r="10" spans="1:3" ht="20.149999999999999" customHeight="1" x14ac:dyDescent="0.35">
      <c r="A10" s="174">
        <v>6</v>
      </c>
      <c r="B10" s="176" t="s">
        <v>909</v>
      </c>
      <c r="C10" s="176">
        <f>data!C270</f>
        <v>2061445</v>
      </c>
    </row>
    <row r="11" spans="1:3" ht="20.149999999999999" customHeight="1" x14ac:dyDescent="0.35">
      <c r="A11" s="174">
        <v>7</v>
      </c>
      <c r="B11" s="176" t="s">
        <v>910</v>
      </c>
      <c r="C11" s="176">
        <f>data!C271</f>
        <v>142134</v>
      </c>
    </row>
    <row r="12" spans="1:3" ht="20.149999999999999" customHeight="1" x14ac:dyDescent="0.35">
      <c r="A12" s="174">
        <v>8</v>
      </c>
      <c r="B12" s="176" t="s">
        <v>431</v>
      </c>
      <c r="C12" s="176">
        <f>data!C272</f>
        <v>0</v>
      </c>
    </row>
    <row r="13" spans="1:3" ht="20.149999999999999" customHeight="1" x14ac:dyDescent="0.35">
      <c r="A13" s="174">
        <v>9</v>
      </c>
      <c r="B13" s="176" t="s">
        <v>432</v>
      </c>
      <c r="C13" s="176">
        <f>data!C273</f>
        <v>682438</v>
      </c>
    </row>
    <row r="14" spans="1:3" ht="20.149999999999999" customHeight="1" x14ac:dyDescent="0.35">
      <c r="A14" s="174">
        <v>10</v>
      </c>
      <c r="B14" s="176" t="s">
        <v>433</v>
      </c>
      <c r="C14" s="176">
        <f>data!C274</f>
        <v>74420</v>
      </c>
    </row>
    <row r="15" spans="1:3" ht="20.149999999999999" customHeight="1" x14ac:dyDescent="0.35">
      <c r="A15" s="174">
        <v>11</v>
      </c>
      <c r="B15" s="176" t="s">
        <v>911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912</v>
      </c>
      <c r="C16" s="176">
        <f>data!D276</f>
        <v>11283305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913</v>
      </c>
      <c r="C18" s="175"/>
    </row>
    <row r="19" spans="1:3" ht="20.149999999999999" customHeight="1" x14ac:dyDescent="0.35">
      <c r="A19" s="174">
        <v>15</v>
      </c>
      <c r="B19" s="176" t="s">
        <v>425</v>
      </c>
      <c r="C19" s="176">
        <f>data!C278</f>
        <v>10003942</v>
      </c>
    </row>
    <row r="20" spans="1:3" ht="20.149999999999999" customHeight="1" x14ac:dyDescent="0.35">
      <c r="A20" s="174">
        <v>16</v>
      </c>
      <c r="B20" s="176" t="s">
        <v>426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437</v>
      </c>
      <c r="C21" s="176">
        <f>data!C280</f>
        <v>0</v>
      </c>
    </row>
    <row r="22" spans="1:3" ht="20.149999999999999" customHeight="1" x14ac:dyDescent="0.35">
      <c r="A22" s="174">
        <v>18</v>
      </c>
      <c r="B22" s="176" t="s">
        <v>914</v>
      </c>
      <c r="C22" s="176">
        <f>data!D281</f>
        <v>10003942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915</v>
      </c>
      <c r="C24" s="175"/>
    </row>
    <row r="25" spans="1:3" ht="20.149999999999999" customHeight="1" x14ac:dyDescent="0.35">
      <c r="A25" s="174">
        <v>21</v>
      </c>
      <c r="B25" s="176" t="s">
        <v>394</v>
      </c>
      <c r="C25" s="176">
        <f>data!C283</f>
        <v>792630</v>
      </c>
    </row>
    <row r="26" spans="1:3" ht="20.149999999999999" customHeight="1" x14ac:dyDescent="0.35">
      <c r="A26" s="174">
        <v>22</v>
      </c>
      <c r="B26" s="176" t="s">
        <v>395</v>
      </c>
      <c r="C26" s="176">
        <f>data!C284</f>
        <v>324429</v>
      </c>
    </row>
    <row r="27" spans="1:3" ht="20.149999999999999" customHeight="1" x14ac:dyDescent="0.35">
      <c r="A27" s="174">
        <v>23</v>
      </c>
      <c r="B27" s="176" t="s">
        <v>396</v>
      </c>
      <c r="C27" s="176">
        <f>data!C285</f>
        <v>12857806</v>
      </c>
    </row>
    <row r="28" spans="1:3" ht="20.149999999999999" customHeight="1" x14ac:dyDescent="0.35">
      <c r="A28" s="174">
        <v>24</v>
      </c>
      <c r="B28" s="176" t="s">
        <v>916</v>
      </c>
      <c r="C28" s="176">
        <f>data!C286</f>
        <v>0</v>
      </c>
    </row>
    <row r="29" spans="1:3" ht="20.149999999999999" customHeight="1" x14ac:dyDescent="0.35">
      <c r="A29" s="174">
        <v>25</v>
      </c>
      <c r="B29" s="176" t="s">
        <v>398</v>
      </c>
      <c r="C29" s="176">
        <f>data!C287</f>
        <v>5310503</v>
      </c>
    </row>
    <row r="30" spans="1:3" ht="20.149999999999999" customHeight="1" x14ac:dyDescent="0.35">
      <c r="A30" s="174">
        <v>26</v>
      </c>
      <c r="B30" s="176" t="s">
        <v>442</v>
      </c>
      <c r="C30" s="176">
        <f>data!C288</f>
        <v>11353816</v>
      </c>
    </row>
    <row r="31" spans="1:3" ht="20.149999999999999" customHeight="1" x14ac:dyDescent="0.35">
      <c r="A31" s="174">
        <v>27</v>
      </c>
      <c r="B31" s="176" t="s">
        <v>401</v>
      </c>
      <c r="C31" s="176">
        <f>data!C289</f>
        <v>0</v>
      </c>
    </row>
    <row r="32" spans="1:3" ht="20.149999999999999" customHeight="1" x14ac:dyDescent="0.35">
      <c r="A32" s="174">
        <v>28</v>
      </c>
      <c r="B32" s="176" t="s">
        <v>402</v>
      </c>
      <c r="C32" s="176">
        <f>data!C290</f>
        <v>0</v>
      </c>
    </row>
    <row r="33" spans="1:3" ht="20.149999999999999" customHeight="1" x14ac:dyDescent="0.35">
      <c r="A33" s="174">
        <v>29</v>
      </c>
      <c r="B33" s="176" t="s">
        <v>615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917</v>
      </c>
      <c r="C34" s="176">
        <f>data!C292</f>
        <v>18293136</v>
      </c>
    </row>
    <row r="35" spans="1:3" ht="20.149999999999999" customHeight="1" x14ac:dyDescent="0.35">
      <c r="A35" s="174">
        <v>31</v>
      </c>
      <c r="B35" s="176" t="s">
        <v>918</v>
      </c>
      <c r="C35" s="176">
        <f>data!D293</f>
        <v>12346048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919</v>
      </c>
      <c r="C37" s="175"/>
    </row>
    <row r="38" spans="1:3" ht="20.149999999999999" customHeight="1" x14ac:dyDescent="0.35">
      <c r="A38" s="174">
        <v>34</v>
      </c>
      <c r="B38" s="176" t="s">
        <v>920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921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449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437</v>
      </c>
      <c r="C41" s="176">
        <f>data!C298</f>
        <v>774849</v>
      </c>
    </row>
    <row r="42" spans="1:3" ht="20.149999999999999" customHeight="1" x14ac:dyDescent="0.35">
      <c r="A42" s="174">
        <v>38</v>
      </c>
      <c r="B42" s="176" t="s">
        <v>922</v>
      </c>
      <c r="C42" s="176">
        <f>data!D299</f>
        <v>774849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923</v>
      </c>
      <c r="C44" s="175"/>
    </row>
    <row r="45" spans="1:3" ht="20.149999999999999" customHeight="1" x14ac:dyDescent="0.35">
      <c r="A45" s="174">
        <v>41</v>
      </c>
      <c r="B45" s="176" t="s">
        <v>452</v>
      </c>
      <c r="C45" s="176">
        <f>data!C302</f>
        <v>0</v>
      </c>
    </row>
    <row r="46" spans="1:3" ht="20.149999999999999" customHeight="1" x14ac:dyDescent="0.35">
      <c r="A46" s="174">
        <v>42</v>
      </c>
      <c r="B46" s="176" t="s">
        <v>453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924</v>
      </c>
      <c r="C47" s="176">
        <f>data!C304</f>
        <v>0</v>
      </c>
    </row>
    <row r="48" spans="1:3" ht="20.149999999999999" customHeight="1" x14ac:dyDescent="0.35">
      <c r="A48" s="174">
        <v>44</v>
      </c>
      <c r="B48" s="176" t="s">
        <v>455</v>
      </c>
      <c r="C48" s="176">
        <f>data!C305</f>
        <v>0</v>
      </c>
    </row>
    <row r="49" spans="1:3" ht="20.149999999999999" customHeight="1" x14ac:dyDescent="0.35">
      <c r="A49" s="174">
        <v>45</v>
      </c>
      <c r="B49" s="176" t="s">
        <v>925</v>
      </c>
      <c r="C49" s="176">
        <f>data!D306</f>
        <v>0</v>
      </c>
    </row>
    <row r="50" spans="1:3" ht="20.149999999999999" customHeight="1" x14ac:dyDescent="0.35">
      <c r="A50" s="179">
        <v>46</v>
      </c>
      <c r="B50" s="180" t="s">
        <v>926</v>
      </c>
      <c r="C50" s="176">
        <f>data!D308</f>
        <v>34408144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927</v>
      </c>
      <c r="B53" s="169"/>
      <c r="C53" s="169"/>
    </row>
    <row r="54" spans="1:3" ht="20.149999999999999" customHeight="1" x14ac:dyDescent="0.35">
      <c r="A54" s="168"/>
      <c r="B54" s="169"/>
      <c r="C54" s="94" t="s">
        <v>928</v>
      </c>
    </row>
    <row r="55" spans="1:3" ht="20.149999999999999" customHeight="1" x14ac:dyDescent="0.35">
      <c r="A55" s="120" t="str">
        <f>"Hospital: "&amp;data!C98</f>
        <v>Hospital: LINCOLN COUNTY HOSPITAL DISTRICT # 3</v>
      </c>
      <c r="B55" s="170"/>
      <c r="C55" s="142" t="str">
        <f>"FYE: "&amp;data!C96</f>
        <v>FYE: 12/31/2023</v>
      </c>
    </row>
    <row r="56" spans="1:3" ht="20.149999999999999" customHeight="1" x14ac:dyDescent="0.35">
      <c r="A56" s="181"/>
      <c r="B56" s="182" t="s">
        <v>929</v>
      </c>
      <c r="C56" s="173"/>
    </row>
    <row r="57" spans="1:3" ht="20.149999999999999" customHeight="1" x14ac:dyDescent="0.35">
      <c r="A57" s="183">
        <v>1</v>
      </c>
      <c r="B57" s="168" t="s">
        <v>459</v>
      </c>
      <c r="C57" s="184"/>
    </row>
    <row r="58" spans="1:3" ht="20.149999999999999" customHeight="1" x14ac:dyDescent="0.35">
      <c r="A58" s="174">
        <v>2</v>
      </c>
      <c r="B58" s="176" t="s">
        <v>460</v>
      </c>
      <c r="C58" s="176">
        <f>data!C314</f>
        <v>684543</v>
      </c>
    </row>
    <row r="59" spans="1:3" ht="20.149999999999999" customHeight="1" x14ac:dyDescent="0.35">
      <c r="A59" s="174">
        <v>3</v>
      </c>
      <c r="B59" s="176" t="s">
        <v>930</v>
      </c>
      <c r="C59" s="176">
        <f>data!C315</f>
        <v>396737</v>
      </c>
    </row>
    <row r="60" spans="1:3" ht="20.149999999999999" customHeight="1" x14ac:dyDescent="0.35">
      <c r="A60" s="174">
        <v>4</v>
      </c>
      <c r="B60" s="176" t="s">
        <v>931</v>
      </c>
      <c r="C60" s="176">
        <f>data!C316</f>
        <v>2094664</v>
      </c>
    </row>
    <row r="61" spans="1:3" ht="20.149999999999999" customHeight="1" x14ac:dyDescent="0.35">
      <c r="A61" s="174">
        <v>5</v>
      </c>
      <c r="B61" s="176" t="s">
        <v>463</v>
      </c>
      <c r="C61" s="176">
        <f>data!C317</f>
        <v>20563</v>
      </c>
    </row>
    <row r="62" spans="1:3" ht="20.149999999999999" customHeight="1" x14ac:dyDescent="0.35">
      <c r="A62" s="174">
        <v>6</v>
      </c>
      <c r="B62" s="176" t="s">
        <v>932</v>
      </c>
      <c r="C62" s="176">
        <f>data!C318</f>
        <v>0</v>
      </c>
    </row>
    <row r="63" spans="1:3" ht="20.149999999999999" customHeight="1" x14ac:dyDescent="0.35">
      <c r="A63" s="174">
        <v>7</v>
      </c>
      <c r="B63" s="176" t="s">
        <v>933</v>
      </c>
      <c r="C63" s="176">
        <f>data!C319</f>
        <v>0</v>
      </c>
    </row>
    <row r="64" spans="1:3" ht="20.149999999999999" customHeight="1" x14ac:dyDescent="0.35">
      <c r="A64" s="174">
        <v>8</v>
      </c>
      <c r="B64" s="176" t="s">
        <v>466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467</v>
      </c>
      <c r="C65" s="176">
        <f>data!C321</f>
        <v>0</v>
      </c>
    </row>
    <row r="66" spans="1:3" ht="20.149999999999999" customHeight="1" x14ac:dyDescent="0.35">
      <c r="A66" s="174">
        <v>10</v>
      </c>
      <c r="B66" s="176" t="s">
        <v>468</v>
      </c>
      <c r="C66" s="176">
        <f>data!C322</f>
        <v>0</v>
      </c>
    </row>
    <row r="67" spans="1:3" ht="20.149999999999999" customHeight="1" x14ac:dyDescent="0.35">
      <c r="A67" s="174">
        <v>11</v>
      </c>
      <c r="B67" s="176" t="s">
        <v>934</v>
      </c>
      <c r="C67" s="176">
        <f>data!C323</f>
        <v>0</v>
      </c>
    </row>
    <row r="68" spans="1:3" ht="20.149999999999999" customHeight="1" x14ac:dyDescent="0.35">
      <c r="A68" s="174">
        <v>12</v>
      </c>
      <c r="B68" s="176" t="s">
        <v>935</v>
      </c>
      <c r="C68" s="176">
        <f>data!D324</f>
        <v>3196507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936</v>
      </c>
      <c r="C70" s="175"/>
    </row>
    <row r="71" spans="1:3" ht="20.149999999999999" customHeight="1" x14ac:dyDescent="0.35">
      <c r="A71" s="174">
        <v>15</v>
      </c>
      <c r="B71" s="176" t="s">
        <v>472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937</v>
      </c>
      <c r="C72" s="176">
        <f>data!C327</f>
        <v>0</v>
      </c>
    </row>
    <row r="73" spans="1:3" ht="20.149999999999999" customHeight="1" x14ac:dyDescent="0.35">
      <c r="A73" s="174">
        <v>17</v>
      </c>
      <c r="B73" s="176" t="s">
        <v>474</v>
      </c>
      <c r="C73" s="176">
        <f>data!C328</f>
        <v>0</v>
      </c>
    </row>
    <row r="74" spans="1:3" ht="20.149999999999999" customHeight="1" x14ac:dyDescent="0.35">
      <c r="A74" s="174">
        <v>18</v>
      </c>
      <c r="B74" s="176" t="s">
        <v>938</v>
      </c>
      <c r="C74" s="176">
        <f>data!D329</f>
        <v>0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476</v>
      </c>
      <c r="C76" s="175"/>
    </row>
    <row r="77" spans="1:3" ht="20.149999999999999" customHeight="1" x14ac:dyDescent="0.35">
      <c r="A77" s="174">
        <v>21</v>
      </c>
      <c r="B77" s="176" t="s">
        <v>477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939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479</v>
      </c>
      <c r="C79" s="176">
        <f>data!C333</f>
        <v>395098</v>
      </c>
    </row>
    <row r="80" spans="1:3" ht="20.149999999999999" customHeight="1" x14ac:dyDescent="0.35">
      <c r="A80" s="174">
        <v>24</v>
      </c>
      <c r="B80" s="176" t="s">
        <v>940</v>
      </c>
      <c r="C80" s="176">
        <f>data!C334</f>
        <v>107716</v>
      </c>
    </row>
    <row r="81" spans="1:3" ht="20.149999999999999" customHeight="1" x14ac:dyDescent="0.35">
      <c r="A81" s="174">
        <v>25</v>
      </c>
      <c r="B81" s="176" t="s">
        <v>481</v>
      </c>
      <c r="C81" s="176">
        <f>data!C335</f>
        <v>6046405</v>
      </c>
    </row>
    <row r="82" spans="1:3" ht="20.149999999999999" customHeight="1" x14ac:dyDescent="0.35">
      <c r="A82" s="174">
        <v>26</v>
      </c>
      <c r="B82" s="176" t="s">
        <v>941</v>
      </c>
      <c r="C82" s="176">
        <f>data!C336</f>
        <v>0</v>
      </c>
    </row>
    <row r="83" spans="1:3" ht="20.149999999999999" customHeight="1" x14ac:dyDescent="0.35">
      <c r="A83" s="174">
        <v>27</v>
      </c>
      <c r="B83" s="176" t="s">
        <v>483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484</v>
      </c>
      <c r="C84" s="176">
        <f>data!C338</f>
        <v>2036075</v>
      </c>
    </row>
    <row r="85" spans="1:3" ht="20.149999999999999" customHeight="1" x14ac:dyDescent="0.35">
      <c r="A85" s="174">
        <v>29</v>
      </c>
      <c r="B85" s="176" t="s">
        <v>615</v>
      </c>
      <c r="C85" s="176">
        <f>data!D339</f>
        <v>8585294</v>
      </c>
    </row>
    <row r="86" spans="1:3" ht="20.149999999999999" customHeight="1" x14ac:dyDescent="0.35">
      <c r="A86" s="174">
        <v>30</v>
      </c>
      <c r="B86" s="176" t="s">
        <v>942</v>
      </c>
      <c r="C86" s="176">
        <f>data!D340</f>
        <v>0</v>
      </c>
    </row>
    <row r="87" spans="1:3" ht="20.149999999999999" customHeight="1" x14ac:dyDescent="0.35">
      <c r="A87" s="174">
        <v>31</v>
      </c>
      <c r="B87" s="176" t="s">
        <v>943</v>
      </c>
      <c r="C87" s="176">
        <f>data!D341</f>
        <v>8585294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944</v>
      </c>
      <c r="C89" s="176">
        <f>data!C343</f>
        <v>19838364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945</v>
      </c>
      <c r="C91" s="175"/>
    </row>
    <row r="92" spans="1:3" ht="20.149999999999999" customHeight="1" x14ac:dyDescent="0.35">
      <c r="A92" s="174">
        <v>36</v>
      </c>
      <c r="B92" s="176" t="s">
        <v>488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489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946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947</v>
      </c>
      <c r="C98" s="176">
        <f>data!C348</f>
        <v>0</v>
      </c>
    </row>
    <row r="99" spans="1:3" ht="20.149999999999999" customHeight="1" x14ac:dyDescent="0.35">
      <c r="A99" s="174">
        <v>43</v>
      </c>
      <c r="B99" s="176" t="s">
        <v>948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949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950</v>
      </c>
      <c r="C102" s="176">
        <f>data!C343+data!C345+data!C346+data!C347+data!C348-data!C349</f>
        <v>19838364</v>
      </c>
    </row>
    <row r="103" spans="1:3" ht="20.149999999999999" customHeight="1" x14ac:dyDescent="0.35">
      <c r="A103" s="174">
        <v>47</v>
      </c>
      <c r="B103" s="176" t="s">
        <v>951</v>
      </c>
      <c r="C103" s="176">
        <f>data!D352</f>
        <v>34408144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952</v>
      </c>
      <c r="B106" s="169"/>
      <c r="C106" s="169"/>
    </row>
    <row r="107" spans="1:3" ht="20.149999999999999" customHeight="1" x14ac:dyDescent="0.35">
      <c r="A107" s="170"/>
      <c r="C107" s="94" t="s">
        <v>953</v>
      </c>
    </row>
    <row r="108" spans="1:3" ht="20.149999999999999" customHeight="1" x14ac:dyDescent="0.35">
      <c r="A108" s="120" t="str">
        <f>"Hospital: "&amp;data!C98</f>
        <v>Hospital: LINCOLN COUNTY HOSPITAL DISTRICT # 3</v>
      </c>
      <c r="B108" s="170"/>
      <c r="C108" s="142" t="str">
        <f>"FYE: "&amp;data!C96</f>
        <v>FYE: 12/31/2023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954</v>
      </c>
      <c r="C110" s="175"/>
    </row>
    <row r="111" spans="1:3" ht="20.149999999999999" customHeight="1" x14ac:dyDescent="0.35">
      <c r="A111" s="174">
        <v>2</v>
      </c>
      <c r="B111" s="176" t="s">
        <v>497</v>
      </c>
      <c r="C111" s="176">
        <f>data!C358</f>
        <v>0</v>
      </c>
    </row>
    <row r="112" spans="1:3" ht="20.149999999999999" customHeight="1" x14ac:dyDescent="0.35">
      <c r="A112" s="174">
        <v>3</v>
      </c>
      <c r="B112" s="176" t="s">
        <v>498</v>
      </c>
      <c r="C112" s="176">
        <f>data!C359</f>
        <v>0</v>
      </c>
    </row>
    <row r="113" spans="1:3" ht="20.149999999999999" customHeight="1" x14ac:dyDescent="0.35">
      <c r="A113" s="174">
        <v>4</v>
      </c>
      <c r="B113" s="176" t="s">
        <v>955</v>
      </c>
      <c r="C113" s="176">
        <f>data!D360</f>
        <v>36111277.990000002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956</v>
      </c>
      <c r="C115" s="175"/>
    </row>
    <row r="116" spans="1:3" ht="20.149999999999999" customHeight="1" x14ac:dyDescent="0.35">
      <c r="A116" s="174">
        <v>7</v>
      </c>
      <c r="B116" s="188" t="s">
        <v>957</v>
      </c>
      <c r="C116" s="189">
        <f>data!C362</f>
        <v>0</v>
      </c>
    </row>
    <row r="117" spans="1:3" ht="20.149999999999999" customHeight="1" x14ac:dyDescent="0.35">
      <c r="A117" s="174">
        <v>8</v>
      </c>
      <c r="B117" s="176" t="s">
        <v>501</v>
      </c>
      <c r="C117" s="189">
        <f>data!C363</f>
        <v>0</v>
      </c>
    </row>
    <row r="118" spans="1:3" ht="20.149999999999999" customHeight="1" x14ac:dyDescent="0.35">
      <c r="A118" s="174">
        <v>9</v>
      </c>
      <c r="B118" s="176" t="s">
        <v>958</v>
      </c>
      <c r="C118" s="189">
        <f>data!C364</f>
        <v>0</v>
      </c>
    </row>
    <row r="119" spans="1:3" ht="20.149999999999999" customHeight="1" x14ac:dyDescent="0.35">
      <c r="A119" s="174">
        <v>10</v>
      </c>
      <c r="B119" s="176" t="s">
        <v>959</v>
      </c>
      <c r="C119" s="189">
        <f>data!C365</f>
        <v>0</v>
      </c>
    </row>
    <row r="120" spans="1:3" ht="20.149999999999999" customHeight="1" x14ac:dyDescent="0.35">
      <c r="A120" s="174">
        <v>11</v>
      </c>
      <c r="B120" s="176" t="s">
        <v>903</v>
      </c>
      <c r="C120" s="189">
        <f>data!D366</f>
        <v>7052512.9899999993</v>
      </c>
    </row>
    <row r="121" spans="1:3" ht="20.149999999999999" customHeight="1" x14ac:dyDescent="0.35">
      <c r="A121" s="174">
        <v>12</v>
      </c>
      <c r="B121" s="176" t="s">
        <v>960</v>
      </c>
      <c r="C121" s="189">
        <f>data!D367</f>
        <v>29058765.000000004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505</v>
      </c>
      <c r="C123" s="175"/>
    </row>
    <row r="124" spans="1:3" ht="20.149999999999999" customHeight="1" x14ac:dyDescent="0.35">
      <c r="A124" s="174">
        <v>15</v>
      </c>
      <c r="B124" s="190" t="s">
        <v>506</v>
      </c>
      <c r="C124" s="191"/>
    </row>
    <row r="125" spans="1:3" ht="20.149999999999999" customHeight="1" x14ac:dyDescent="0.35">
      <c r="A125" s="195" t="s">
        <v>961</v>
      </c>
      <c r="B125" s="192" t="s">
        <v>507</v>
      </c>
      <c r="C125" s="191">
        <f>data!C370</f>
        <v>0</v>
      </c>
    </row>
    <row r="126" spans="1:3" ht="20.149999999999999" customHeight="1" x14ac:dyDescent="0.35">
      <c r="A126" s="195" t="s">
        <v>962</v>
      </c>
      <c r="B126" s="192" t="s">
        <v>508</v>
      </c>
      <c r="C126" s="191">
        <f>data!C371</f>
        <v>0</v>
      </c>
    </row>
    <row r="127" spans="1:3" ht="20.149999999999999" customHeight="1" x14ac:dyDescent="0.35">
      <c r="A127" s="195" t="s">
        <v>963</v>
      </c>
      <c r="B127" s="192" t="s">
        <v>509</v>
      </c>
      <c r="C127" s="191">
        <f>data!C372</f>
        <v>0</v>
      </c>
    </row>
    <row r="128" spans="1:3" ht="20.149999999999999" customHeight="1" x14ac:dyDescent="0.35">
      <c r="A128" s="195" t="s">
        <v>964</v>
      </c>
      <c r="B128" s="192" t="s">
        <v>510</v>
      </c>
      <c r="C128" s="191">
        <f>data!C373</f>
        <v>0</v>
      </c>
    </row>
    <row r="129" spans="1:3" ht="20.149999999999999" customHeight="1" x14ac:dyDescent="0.35">
      <c r="A129" s="195" t="s">
        <v>965</v>
      </c>
      <c r="B129" s="192" t="s">
        <v>511</v>
      </c>
      <c r="C129" s="191">
        <f>data!C374</f>
        <v>0</v>
      </c>
    </row>
    <row r="130" spans="1:3" ht="20.149999999999999" customHeight="1" x14ac:dyDescent="0.35">
      <c r="A130" s="195" t="s">
        <v>966</v>
      </c>
      <c r="B130" s="192" t="s">
        <v>512</v>
      </c>
      <c r="C130" s="191">
        <f>data!C375</f>
        <v>0</v>
      </c>
    </row>
    <row r="131" spans="1:3" ht="20.149999999999999" customHeight="1" x14ac:dyDescent="0.35">
      <c r="A131" s="195" t="s">
        <v>967</v>
      </c>
      <c r="B131" s="192" t="s">
        <v>513</v>
      </c>
      <c r="C131" s="191">
        <f>data!C376</f>
        <v>0</v>
      </c>
    </row>
    <row r="132" spans="1:3" ht="20.149999999999999" customHeight="1" x14ac:dyDescent="0.35">
      <c r="A132" s="195" t="s">
        <v>968</v>
      </c>
      <c r="B132" s="192" t="s">
        <v>514</v>
      </c>
      <c r="C132" s="191">
        <f>data!C377</f>
        <v>0</v>
      </c>
    </row>
    <row r="133" spans="1:3" ht="20.149999999999999" customHeight="1" x14ac:dyDescent="0.35">
      <c r="A133" s="195" t="s">
        <v>969</v>
      </c>
      <c r="B133" s="192" t="s">
        <v>515</v>
      </c>
      <c r="C133" s="191">
        <f>data!C378</f>
        <v>0</v>
      </c>
    </row>
    <row r="134" spans="1:3" ht="20.149999999999999" customHeight="1" x14ac:dyDescent="0.35">
      <c r="A134" s="195" t="s">
        <v>970</v>
      </c>
      <c r="B134" s="192" t="s">
        <v>516</v>
      </c>
      <c r="C134" s="191">
        <f>data!C379</f>
        <v>0</v>
      </c>
    </row>
    <row r="135" spans="1:3" ht="20.149999999999999" customHeight="1" x14ac:dyDescent="0.35">
      <c r="A135" s="195" t="s">
        <v>971</v>
      </c>
      <c r="B135" s="192" t="s">
        <v>517</v>
      </c>
      <c r="C135" s="191">
        <f>data!C380</f>
        <v>0</v>
      </c>
    </row>
    <row r="136" spans="1:3" ht="20.149999999999999" customHeight="1" x14ac:dyDescent="0.35">
      <c r="A136" s="174">
        <v>16</v>
      </c>
      <c r="B136" s="176" t="s">
        <v>519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972</v>
      </c>
      <c r="C137" s="189">
        <f>data!D383</f>
        <v>1759667.74</v>
      </c>
    </row>
    <row r="138" spans="1:3" ht="20.149999999999999" customHeight="1" x14ac:dyDescent="0.35">
      <c r="A138" s="174">
        <v>18</v>
      </c>
      <c r="B138" s="176" t="s">
        <v>973</v>
      </c>
      <c r="C138" s="189">
        <f>data!D384</f>
        <v>30818432.740000002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974</v>
      </c>
      <c r="C140" s="175"/>
    </row>
    <row r="141" spans="1:3" ht="20.149999999999999" customHeight="1" x14ac:dyDescent="0.35">
      <c r="A141" s="174">
        <v>21</v>
      </c>
      <c r="B141" s="176" t="s">
        <v>523</v>
      </c>
      <c r="C141" s="189">
        <f>data!C389</f>
        <v>16671935</v>
      </c>
    </row>
    <row r="142" spans="1:3" ht="20.149999999999999" customHeight="1" x14ac:dyDescent="0.35">
      <c r="A142" s="174">
        <v>22</v>
      </c>
      <c r="B142" s="176" t="s">
        <v>11</v>
      </c>
      <c r="C142" s="189">
        <f>data!C390</f>
        <v>3720787</v>
      </c>
    </row>
    <row r="143" spans="1:3" ht="20.149999999999999" customHeight="1" x14ac:dyDescent="0.35">
      <c r="A143" s="174">
        <v>23</v>
      </c>
      <c r="B143" s="176" t="s">
        <v>264</v>
      </c>
      <c r="C143" s="189">
        <f>data!C391</f>
        <v>846694</v>
      </c>
    </row>
    <row r="144" spans="1:3" ht="20.149999999999999" customHeight="1" x14ac:dyDescent="0.35">
      <c r="A144" s="174">
        <v>24</v>
      </c>
      <c r="B144" s="176" t="s">
        <v>265</v>
      </c>
      <c r="C144" s="189">
        <f>data!C392</f>
        <v>2210224</v>
      </c>
    </row>
    <row r="145" spans="1:3" ht="20.149999999999999" customHeight="1" x14ac:dyDescent="0.35">
      <c r="A145" s="174">
        <v>25</v>
      </c>
      <c r="B145" s="176" t="s">
        <v>975</v>
      </c>
      <c r="C145" s="189">
        <f>data!C393</f>
        <v>507622</v>
      </c>
    </row>
    <row r="146" spans="1:3" ht="20.149999999999999" customHeight="1" x14ac:dyDescent="0.35">
      <c r="A146" s="174">
        <v>26</v>
      </c>
      <c r="B146" s="176" t="s">
        <v>976</v>
      </c>
      <c r="C146" s="189">
        <f>data!C394</f>
        <v>1790021</v>
      </c>
    </row>
    <row r="147" spans="1:3" ht="20.149999999999999" customHeight="1" x14ac:dyDescent="0.35">
      <c r="A147" s="174">
        <v>27</v>
      </c>
      <c r="B147" s="176" t="s">
        <v>16</v>
      </c>
      <c r="C147" s="189">
        <f>data!C395</f>
        <v>1583180</v>
      </c>
    </row>
    <row r="148" spans="1:3" ht="20.149999999999999" customHeight="1" x14ac:dyDescent="0.35">
      <c r="A148" s="174">
        <v>28</v>
      </c>
      <c r="B148" s="176" t="s">
        <v>977</v>
      </c>
      <c r="C148" s="189">
        <f>data!C396</f>
        <v>84582</v>
      </c>
    </row>
    <row r="149" spans="1:3" ht="20.149999999999999" customHeight="1" x14ac:dyDescent="0.35">
      <c r="A149" s="174">
        <v>29</v>
      </c>
      <c r="B149" s="176" t="s">
        <v>528</v>
      </c>
      <c r="C149" s="189">
        <f>data!C397</f>
        <v>328040</v>
      </c>
    </row>
    <row r="150" spans="1:3" ht="20.149999999999999" customHeight="1" x14ac:dyDescent="0.35">
      <c r="A150" s="174">
        <v>30</v>
      </c>
      <c r="B150" s="176" t="s">
        <v>978</v>
      </c>
      <c r="C150" s="189">
        <f>data!C398</f>
        <v>0</v>
      </c>
    </row>
    <row r="151" spans="1:3" ht="20.149999999999999" customHeight="1" x14ac:dyDescent="0.35">
      <c r="A151" s="174">
        <v>31</v>
      </c>
      <c r="B151" s="176" t="s">
        <v>530</v>
      </c>
      <c r="C151" s="189">
        <f>data!C399</f>
        <v>0</v>
      </c>
    </row>
    <row r="152" spans="1:3" ht="20.149999999999999" customHeight="1" x14ac:dyDescent="0.35">
      <c r="A152" s="174">
        <v>32</v>
      </c>
      <c r="B152" s="176" t="s">
        <v>269</v>
      </c>
      <c r="C152" s="189"/>
    </row>
    <row r="153" spans="1:3" ht="20.149999999999999" customHeight="1" x14ac:dyDescent="0.35">
      <c r="A153" s="195" t="s">
        <v>979</v>
      </c>
      <c r="B153" s="193" t="s">
        <v>270</v>
      </c>
      <c r="C153" s="189">
        <f>data!C401</f>
        <v>0</v>
      </c>
    </row>
    <row r="154" spans="1:3" ht="20.149999999999999" customHeight="1" x14ac:dyDescent="0.35">
      <c r="A154" s="195" t="s">
        <v>980</v>
      </c>
      <c r="B154" s="193" t="s">
        <v>271</v>
      </c>
      <c r="C154" s="189">
        <f>data!C402</f>
        <v>2539397.7800000003</v>
      </c>
    </row>
    <row r="155" spans="1:3" ht="20.149999999999999" customHeight="1" x14ac:dyDescent="0.35">
      <c r="A155" s="195" t="s">
        <v>981</v>
      </c>
      <c r="B155" s="193" t="s">
        <v>982</v>
      </c>
      <c r="C155" s="189">
        <f>data!C403</f>
        <v>0</v>
      </c>
    </row>
    <row r="156" spans="1:3" ht="20.149999999999999" customHeight="1" x14ac:dyDescent="0.35">
      <c r="A156" s="195" t="s">
        <v>983</v>
      </c>
      <c r="B156" s="193" t="s">
        <v>273</v>
      </c>
      <c r="C156" s="189">
        <f>data!C404</f>
        <v>0</v>
      </c>
    </row>
    <row r="157" spans="1:3" ht="20.149999999999999" customHeight="1" x14ac:dyDescent="0.35">
      <c r="A157" s="195" t="s">
        <v>984</v>
      </c>
      <c r="B157" s="193" t="s">
        <v>274</v>
      </c>
      <c r="C157" s="189">
        <f>data!C405</f>
        <v>0</v>
      </c>
    </row>
    <row r="158" spans="1:3" ht="20.149999999999999" customHeight="1" x14ac:dyDescent="0.35">
      <c r="A158" s="195" t="s">
        <v>985</v>
      </c>
      <c r="B158" s="193" t="s">
        <v>275</v>
      </c>
      <c r="C158" s="189">
        <f>data!C406</f>
        <v>77783.5</v>
      </c>
    </row>
    <row r="159" spans="1:3" ht="20.149999999999999" customHeight="1" x14ac:dyDescent="0.35">
      <c r="A159" s="195" t="s">
        <v>986</v>
      </c>
      <c r="B159" s="193" t="s">
        <v>276</v>
      </c>
      <c r="C159" s="189">
        <f>data!C407</f>
        <v>0</v>
      </c>
    </row>
    <row r="160" spans="1:3" ht="20.149999999999999" customHeight="1" x14ac:dyDescent="0.35">
      <c r="A160" s="195" t="s">
        <v>987</v>
      </c>
      <c r="B160" s="193" t="s">
        <v>277</v>
      </c>
      <c r="C160" s="189">
        <f>data!C408</f>
        <v>0</v>
      </c>
    </row>
    <row r="161" spans="1:3" ht="20.149999999999999" customHeight="1" x14ac:dyDescent="0.35">
      <c r="A161" s="195" t="s">
        <v>988</v>
      </c>
      <c r="B161" s="193" t="s">
        <v>278</v>
      </c>
      <c r="C161" s="189">
        <f>data!C409</f>
        <v>0</v>
      </c>
    </row>
    <row r="162" spans="1:3" ht="20.149999999999999" customHeight="1" x14ac:dyDescent="0.35">
      <c r="A162" s="195" t="s">
        <v>989</v>
      </c>
      <c r="B162" s="193" t="s">
        <v>279</v>
      </c>
      <c r="C162" s="189">
        <f>data!C410</f>
        <v>0</v>
      </c>
    </row>
    <row r="163" spans="1:3" ht="20.149999999999999" customHeight="1" x14ac:dyDescent="0.35">
      <c r="A163" s="195" t="s">
        <v>990</v>
      </c>
      <c r="B163" s="193" t="s">
        <v>280</v>
      </c>
      <c r="C163" s="189">
        <f>data!C411</f>
        <v>305325.7</v>
      </c>
    </row>
    <row r="164" spans="1:3" ht="20.149999999999999" customHeight="1" x14ac:dyDescent="0.35">
      <c r="A164" s="195" t="s">
        <v>991</v>
      </c>
      <c r="B164" s="193" t="s">
        <v>281</v>
      </c>
      <c r="C164" s="189">
        <f>data!C412</f>
        <v>343838.09</v>
      </c>
    </row>
    <row r="165" spans="1:3" ht="20.149999999999999" customHeight="1" x14ac:dyDescent="0.35">
      <c r="A165" s="195" t="s">
        <v>992</v>
      </c>
      <c r="B165" s="193" t="s">
        <v>282</v>
      </c>
      <c r="C165" s="189">
        <f>data!C413</f>
        <v>0</v>
      </c>
    </row>
    <row r="166" spans="1:3" ht="20.149999999999999" customHeight="1" x14ac:dyDescent="0.35">
      <c r="A166" s="195" t="s">
        <v>993</v>
      </c>
      <c r="B166" s="193" t="s">
        <v>994</v>
      </c>
      <c r="C166" s="189">
        <f>data!C414</f>
        <v>-38922.070000000298</v>
      </c>
    </row>
    <row r="167" spans="1:3" ht="20.149999999999999" customHeight="1" x14ac:dyDescent="0.35">
      <c r="A167" s="174">
        <v>34</v>
      </c>
      <c r="B167" s="176" t="s">
        <v>995</v>
      </c>
      <c r="C167" s="189">
        <f>data!D416</f>
        <v>31452840.350000001</v>
      </c>
    </row>
    <row r="168" spans="1:3" ht="20.149999999999999" customHeight="1" x14ac:dyDescent="0.35">
      <c r="A168" s="174">
        <v>35</v>
      </c>
      <c r="B168" s="176" t="s">
        <v>996</v>
      </c>
      <c r="C168" s="189">
        <f>data!D417</f>
        <v>-634407.6099999994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997</v>
      </c>
      <c r="C170" s="189">
        <f>data!D420</f>
        <v>431470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998</v>
      </c>
      <c r="C172" s="176">
        <f>data!D421</f>
        <v>-202937.6099999994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999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1000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1001</v>
      </c>
      <c r="C177" s="189">
        <f>data!D424</f>
        <v>-202937.6099999994</v>
      </c>
    </row>
    <row r="178" spans="1:3" ht="20.149999999999999" customHeight="1" x14ac:dyDescent="0.35">
      <c r="A178" s="179">
        <v>45</v>
      </c>
      <c r="B178" s="178" t="s">
        <v>1002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3" width="8.9140625" style="281" customWidth="1"/>
    <col min="14" max="16384" width="8.9140625" style="281"/>
  </cols>
  <sheetData>
    <row r="1" spans="1:9" customFormat="1" ht="20.149999999999999" customHeight="1" x14ac:dyDescent="0.35">
      <c r="A1" s="282" t="s">
        <v>1003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1004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LINCOLN COUNTY HOSPITAL DISTRICT # 3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1005</v>
      </c>
      <c r="C6" s="294" t="s">
        <v>118</v>
      </c>
      <c r="D6" s="295" t="s">
        <v>1006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1007</v>
      </c>
      <c r="E7" s="295" t="s">
        <v>190</v>
      </c>
      <c r="F7" s="295" t="s">
        <v>1008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1009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801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18.940000000000001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1983822.35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450028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2232.17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70790.039999999994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525</v>
      </c>
      <c r="C15" s="289">
        <f>data!C65</f>
        <v>0</v>
      </c>
      <c r="D15" s="289">
        <f>data!D65</f>
        <v>0</v>
      </c>
      <c r="E15" s="289">
        <f>data!E65</f>
        <v>3195.35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526</v>
      </c>
      <c r="C16" s="289">
        <f>data!C66</f>
        <v>0</v>
      </c>
      <c r="D16" s="289">
        <f>data!D66</f>
        <v>0</v>
      </c>
      <c r="E16" s="289">
        <f>data!E66</f>
        <v>96575.89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103194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1010</v>
      </c>
      <c r="C18" s="289">
        <f>data!C68</f>
        <v>0</v>
      </c>
      <c r="D18" s="289">
        <f>data!D68</f>
        <v>0</v>
      </c>
      <c r="E18" s="289">
        <f>data!E68</f>
        <v>25542.240000000002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1011</v>
      </c>
      <c r="C19" s="289">
        <f>data!C69</f>
        <v>0</v>
      </c>
      <c r="D19" s="289">
        <f>data!D69</f>
        <v>0</v>
      </c>
      <c r="E19" s="289">
        <f>data!E69</f>
        <v>1151474.8900000001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1012</v>
      </c>
      <c r="C21" s="289">
        <f>data!C85</f>
        <v>0</v>
      </c>
      <c r="D21" s="289">
        <f>data!D85</f>
        <v>0</v>
      </c>
      <c r="E21" s="289">
        <f>data!E85</f>
        <v>3886854.9300000006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1013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49999999999999" customHeight="1" x14ac:dyDescent="0.35">
      <c r="A24" s="288">
        <v>19</v>
      </c>
      <c r="B24" s="297" t="s">
        <v>1014</v>
      </c>
      <c r="C24" s="289">
        <f>data!C87</f>
        <v>0</v>
      </c>
      <c r="D24" s="289">
        <f>data!D87</f>
        <v>0</v>
      </c>
      <c r="E24" s="289">
        <f>data!E87</f>
        <v>1730015.23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1015</v>
      </c>
      <c r="C25" s="289">
        <f>data!C88</f>
        <v>0</v>
      </c>
      <c r="D25" s="289">
        <f>data!D88</f>
        <v>0</v>
      </c>
      <c r="E25" s="289">
        <f>data!E88</f>
        <v>3922.06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1016</v>
      </c>
      <c r="C26" s="289">
        <f>data!C89</f>
        <v>0</v>
      </c>
      <c r="D26" s="289">
        <f>data!D89</f>
        <v>0</v>
      </c>
      <c r="E26" s="289">
        <f>data!E89</f>
        <v>1733937.29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49999999999999" customHeight="1" x14ac:dyDescent="0.35">
      <c r="A27" s="288" t="s">
        <v>1017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1018</v>
      </c>
      <c r="C28" s="289">
        <f>data!C90</f>
        <v>0</v>
      </c>
      <c r="D28" s="289">
        <f>data!D90</f>
        <v>0</v>
      </c>
      <c r="E28" s="289">
        <f>data!E90</f>
        <v>4802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1019</v>
      </c>
      <c r="C29" s="289">
        <f>data!C91</f>
        <v>0</v>
      </c>
      <c r="D29" s="289">
        <f>data!D91</f>
        <v>0</v>
      </c>
      <c r="E29" s="289">
        <f>data!E91</f>
        <v>0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1020</v>
      </c>
      <c r="C30" s="289">
        <f>data!C92</f>
        <v>0</v>
      </c>
      <c r="D30" s="289">
        <f>data!D92</f>
        <v>0</v>
      </c>
      <c r="E30" s="289">
        <f>data!E92</f>
        <v>446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1021</v>
      </c>
      <c r="C31" s="289">
        <f>data!C93</f>
        <v>0</v>
      </c>
      <c r="D31" s="289">
        <f>data!D93</f>
        <v>0</v>
      </c>
      <c r="E31" s="289">
        <f>data!E93</f>
        <v>3055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15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49999999999999" customHeight="1" x14ac:dyDescent="0.35">
      <c r="A33" s="282" t="s">
        <v>1003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1022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LINCOLN COUNTY HOSPITAL DISTRICT # 3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1005</v>
      </c>
      <c r="C38" s="295"/>
      <c r="D38" s="295" t="s">
        <v>126</v>
      </c>
      <c r="E38" s="295" t="s">
        <v>127</v>
      </c>
      <c r="F38" s="295" t="s">
        <v>1023</v>
      </c>
      <c r="G38" s="295" t="s">
        <v>129</v>
      </c>
      <c r="H38" s="295" t="s">
        <v>1024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1009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3846</v>
      </c>
      <c r="F41" s="289">
        <f>data!M59</f>
        <v>0</v>
      </c>
      <c r="G41" s="289">
        <f>data!N59</f>
        <v>569</v>
      </c>
      <c r="H41" s="289">
        <f>data!O59</f>
        <v>0</v>
      </c>
      <c r="I41" s="289">
        <f>data!P59</f>
        <v>22687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16.55</v>
      </c>
      <c r="F42" s="296">
        <f>data!M60</f>
        <v>0</v>
      </c>
      <c r="G42" s="296">
        <f>data!N60</f>
        <v>0.94</v>
      </c>
      <c r="H42" s="296">
        <f>data!O60</f>
        <v>0</v>
      </c>
      <c r="I42" s="296">
        <f>data!P60</f>
        <v>4.13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1284393.6100000001</v>
      </c>
      <c r="F43" s="289">
        <f>data!M61</f>
        <v>0</v>
      </c>
      <c r="G43" s="289">
        <f>data!N61</f>
        <v>84341.17</v>
      </c>
      <c r="H43" s="289">
        <f>data!O61</f>
        <v>0</v>
      </c>
      <c r="I43" s="289">
        <f>data!P61</f>
        <v>444246.12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332708</v>
      </c>
      <c r="F44" s="289">
        <f>data!M62</f>
        <v>0</v>
      </c>
      <c r="G44" s="289">
        <f>data!N62</f>
        <v>26226</v>
      </c>
      <c r="H44" s="289">
        <f>data!O62</f>
        <v>0</v>
      </c>
      <c r="I44" s="289">
        <f>data!P62</f>
        <v>123587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7970.4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28128.07</v>
      </c>
      <c r="F46" s="289">
        <f>data!M64</f>
        <v>0</v>
      </c>
      <c r="G46" s="289">
        <f>data!N64</f>
        <v>12709.59</v>
      </c>
      <c r="H46" s="289">
        <f>data!O64</f>
        <v>0</v>
      </c>
      <c r="I46" s="289">
        <f>data!P64</f>
        <v>220202.87000000002</v>
      </c>
    </row>
    <row r="47" spans="1:9" customFormat="1" ht="20.149999999999999" customHeight="1" x14ac:dyDescent="0.35">
      <c r="A47" s="288">
        <v>10</v>
      </c>
      <c r="B47" s="289" t="s">
        <v>525</v>
      </c>
      <c r="C47" s="289">
        <f>data!J65</f>
        <v>0</v>
      </c>
      <c r="D47" s="289">
        <f>data!K65</f>
        <v>0</v>
      </c>
      <c r="E47" s="289">
        <f>data!L65</f>
        <v>1635.14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-25.39</v>
      </c>
    </row>
    <row r="48" spans="1:9" customFormat="1" ht="20.149999999999999" customHeight="1" x14ac:dyDescent="0.35">
      <c r="A48" s="288">
        <v>11</v>
      </c>
      <c r="B48" s="289" t="s">
        <v>526</v>
      </c>
      <c r="C48" s="289">
        <f>data!J66</f>
        <v>0</v>
      </c>
      <c r="D48" s="289">
        <f>data!K66</f>
        <v>0</v>
      </c>
      <c r="E48" s="289">
        <f>data!L66</f>
        <v>4594.03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30954.880000000001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0</v>
      </c>
      <c r="D49" s="289">
        <f>data!K67</f>
        <v>16584</v>
      </c>
      <c r="E49" s="289">
        <f>data!L67</f>
        <v>16584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66463</v>
      </c>
    </row>
    <row r="50" spans="1:11" customFormat="1" ht="20.149999999999999" customHeight="1" x14ac:dyDescent="0.35">
      <c r="A50" s="288">
        <v>13</v>
      </c>
      <c r="B50" s="289" t="s">
        <v>1010</v>
      </c>
      <c r="C50" s="289">
        <f>data!J68</f>
        <v>0</v>
      </c>
      <c r="D50" s="289">
        <f>data!K68</f>
        <v>0</v>
      </c>
      <c r="E50" s="289">
        <f>data!L68</f>
        <v>11807.2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26.67</v>
      </c>
    </row>
    <row r="51" spans="1:11" customFormat="1" ht="20.149999999999999" customHeight="1" x14ac:dyDescent="0.35">
      <c r="A51" s="288">
        <v>14</v>
      </c>
      <c r="B51" s="289" t="s">
        <v>1011</v>
      </c>
      <c r="C51" s="289">
        <f>data!J69</f>
        <v>0</v>
      </c>
      <c r="D51" s="289">
        <f>data!K69</f>
        <v>0</v>
      </c>
      <c r="E51" s="289">
        <f>data!L69</f>
        <v>168373.58000000002</v>
      </c>
      <c r="F51" s="289">
        <f>data!M69</f>
        <v>0</v>
      </c>
      <c r="G51" s="289">
        <f>data!N69</f>
        <v>211.24</v>
      </c>
      <c r="H51" s="289">
        <f>data!O69</f>
        <v>0</v>
      </c>
      <c r="I51" s="289">
        <f>data!P69</f>
        <v>2876.1399999999994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1012</v>
      </c>
      <c r="C53" s="289">
        <f>data!J85</f>
        <v>0</v>
      </c>
      <c r="D53" s="289">
        <f>data!K85</f>
        <v>16584</v>
      </c>
      <c r="E53" s="289">
        <f>data!L85</f>
        <v>1848223.6300000001</v>
      </c>
      <c r="F53" s="289">
        <f>data!M85</f>
        <v>0</v>
      </c>
      <c r="G53" s="289">
        <f>data!N85</f>
        <v>123488</v>
      </c>
      <c r="H53" s="289">
        <f>data!O85</f>
        <v>0</v>
      </c>
      <c r="I53" s="289">
        <f>data!P85</f>
        <v>896301.69000000006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1013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49999999999999" customHeight="1" x14ac:dyDescent="0.35">
      <c r="A56" s="288">
        <v>19</v>
      </c>
      <c r="B56" s="297" t="s">
        <v>1014</v>
      </c>
      <c r="C56" s="289">
        <f>data!J87</f>
        <v>0</v>
      </c>
      <c r="D56" s="289">
        <f>data!K87</f>
        <v>0</v>
      </c>
      <c r="E56" s="289">
        <f>data!L87</f>
        <v>1117756.2</v>
      </c>
      <c r="F56" s="289">
        <f>data!M87</f>
        <v>0</v>
      </c>
      <c r="G56" s="289">
        <f>data!N87</f>
        <v>5116.28</v>
      </c>
      <c r="H56" s="289">
        <f>data!O87</f>
        <v>0</v>
      </c>
      <c r="I56" s="289">
        <f>data!P87</f>
        <v>85561.3</v>
      </c>
    </row>
    <row r="57" spans="1:11" customFormat="1" ht="20.149999999999999" customHeight="1" x14ac:dyDescent="0.35">
      <c r="A57" s="288">
        <v>20</v>
      </c>
      <c r="B57" s="297" t="s">
        <v>1015</v>
      </c>
      <c r="C57" s="289">
        <f>data!J88</f>
        <v>0</v>
      </c>
      <c r="D57" s="289">
        <f>data!K88</f>
        <v>0</v>
      </c>
      <c r="E57" s="289">
        <f>data!L88</f>
        <v>2605.64</v>
      </c>
      <c r="F57" s="289">
        <f>data!M88</f>
        <v>0</v>
      </c>
      <c r="G57" s="289">
        <f>data!N88</f>
        <v>238642.65</v>
      </c>
      <c r="H57" s="289">
        <f>data!O88</f>
        <v>0</v>
      </c>
      <c r="I57" s="289">
        <f>data!P88</f>
        <v>2064943.87</v>
      </c>
    </row>
    <row r="58" spans="1:11" customFormat="1" ht="20.149999999999999" customHeight="1" x14ac:dyDescent="0.35">
      <c r="A58" s="288">
        <v>21</v>
      </c>
      <c r="B58" s="297" t="s">
        <v>1016</v>
      </c>
      <c r="C58" s="289">
        <f>data!J89</f>
        <v>0</v>
      </c>
      <c r="D58" s="289">
        <f>data!K89</f>
        <v>0</v>
      </c>
      <c r="E58" s="289">
        <f>data!L89</f>
        <v>1120361.8399999999</v>
      </c>
      <c r="F58" s="289">
        <f>data!M89</f>
        <v>0</v>
      </c>
      <c r="G58" s="289">
        <f>data!N89</f>
        <v>243758.93</v>
      </c>
      <c r="H58" s="289">
        <f>data!O89</f>
        <v>0</v>
      </c>
      <c r="I58" s="289">
        <f>data!P89</f>
        <v>2150505.17</v>
      </c>
    </row>
    <row r="59" spans="1:11" customFormat="1" ht="20.149999999999999" customHeight="1" x14ac:dyDescent="0.35">
      <c r="A59" s="288" t="s">
        <v>1017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1018</v>
      </c>
      <c r="C60" s="289">
        <f>data!J90</f>
        <v>0</v>
      </c>
      <c r="D60" s="289">
        <f>data!K90</f>
        <v>0</v>
      </c>
      <c r="E60" s="289">
        <f>data!L90</f>
        <v>6141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1403</v>
      </c>
      <c r="K60" s="300"/>
    </row>
    <row r="61" spans="1:11" customFormat="1" ht="20.149999999999999" customHeight="1" x14ac:dyDescent="0.35">
      <c r="A61" s="288">
        <v>23</v>
      </c>
      <c r="B61" s="289" t="s">
        <v>1019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1020</v>
      </c>
      <c r="C62" s="289">
        <f>data!J92</f>
        <v>0</v>
      </c>
      <c r="D62" s="289">
        <f>data!K92</f>
        <v>0</v>
      </c>
      <c r="E62" s="289">
        <f>data!L92</f>
        <v>446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0</v>
      </c>
    </row>
    <row r="63" spans="1:11" customFormat="1" ht="20.149999999999999" customHeight="1" x14ac:dyDescent="0.35">
      <c r="A63" s="288">
        <v>25</v>
      </c>
      <c r="B63" s="289" t="s">
        <v>1021</v>
      </c>
      <c r="C63" s="289">
        <f>data!J93</f>
        <v>0</v>
      </c>
      <c r="D63" s="289">
        <f>data!K93</f>
        <v>0</v>
      </c>
      <c r="E63" s="289">
        <f>data!L93</f>
        <v>3544</v>
      </c>
      <c r="F63" s="289">
        <f>data!M93</f>
        <v>0</v>
      </c>
      <c r="G63" s="289">
        <f>data!N93</f>
        <v>88</v>
      </c>
      <c r="H63" s="289">
        <f>data!O93</f>
        <v>0</v>
      </c>
      <c r="I63" s="289">
        <f>data!P93</f>
        <v>1098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9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0</v>
      </c>
    </row>
    <row r="65" spans="1:9" customFormat="1" ht="20.149999999999999" customHeight="1" x14ac:dyDescent="0.35">
      <c r="A65" s="282" t="s">
        <v>1003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1025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LINCOLN COUNTY HOSPITAL DISTRICT # 3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1005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1026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1009</v>
      </c>
      <c r="C72" s="291" t="s">
        <v>1027</v>
      </c>
      <c r="D72" s="290" t="s">
        <v>1028</v>
      </c>
      <c r="E72" s="301"/>
      <c r="F72" s="301"/>
      <c r="G72" s="290" t="s">
        <v>1029</v>
      </c>
      <c r="H72" s="290" t="s">
        <v>1029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0</v>
      </c>
      <c r="D73" s="297">
        <f>data!R59</f>
        <v>27656</v>
      </c>
      <c r="E73" s="301"/>
      <c r="F73" s="301"/>
      <c r="G73" s="289">
        <f>data!U59</f>
        <v>62249</v>
      </c>
      <c r="H73" s="289">
        <f>data!V59</f>
        <v>156</v>
      </c>
      <c r="I73" s="289">
        <f>data!W59</f>
        <v>519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0</v>
      </c>
      <c r="D74" s="296">
        <f>data!R60</f>
        <v>1.42</v>
      </c>
      <c r="E74" s="296">
        <f>data!S60</f>
        <v>0</v>
      </c>
      <c r="F74" s="296">
        <f>data!T60</f>
        <v>0</v>
      </c>
      <c r="G74" s="296">
        <f>data!U60</f>
        <v>7.39</v>
      </c>
      <c r="H74" s="296">
        <f>data!V60</f>
        <v>0</v>
      </c>
      <c r="I74" s="296">
        <f>data!W60</f>
        <v>0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0</v>
      </c>
      <c r="D75" s="289">
        <f>data!R61</f>
        <v>524956.57999999996</v>
      </c>
      <c r="E75" s="289">
        <f>data!S61</f>
        <v>0</v>
      </c>
      <c r="F75" s="289">
        <f>data!T61</f>
        <v>0</v>
      </c>
      <c r="G75" s="289">
        <f>data!U61</f>
        <v>704669.51</v>
      </c>
      <c r="H75" s="289">
        <f>data!V61</f>
        <v>0</v>
      </c>
      <c r="I75" s="289">
        <f>data!W61</f>
        <v>0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0</v>
      </c>
      <c r="D76" s="289">
        <f>data!R62</f>
        <v>86868</v>
      </c>
      <c r="E76" s="289">
        <f>data!S62</f>
        <v>0</v>
      </c>
      <c r="F76" s="289">
        <f>data!T62</f>
        <v>0</v>
      </c>
      <c r="G76" s="289">
        <f>data!U62</f>
        <v>147672</v>
      </c>
      <c r="H76" s="289">
        <f>data!V62</f>
        <v>0</v>
      </c>
      <c r="I76" s="289">
        <f>data!W62</f>
        <v>0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152928.74</v>
      </c>
      <c r="H77" s="289">
        <f>data!V63</f>
        <v>208</v>
      </c>
      <c r="I77" s="289">
        <f>data!W63</f>
        <v>268585.06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0</v>
      </c>
      <c r="D78" s="289">
        <f>data!R64</f>
        <v>15991.399999999998</v>
      </c>
      <c r="E78" s="289">
        <f>data!S64</f>
        <v>0</v>
      </c>
      <c r="F78" s="289">
        <f>data!T64</f>
        <v>0</v>
      </c>
      <c r="G78" s="289">
        <f>data!U64</f>
        <v>442927.55</v>
      </c>
      <c r="H78" s="289">
        <f>data!V64</f>
        <v>0</v>
      </c>
      <c r="I78" s="289">
        <f>data!W64</f>
        <v>0</v>
      </c>
    </row>
    <row r="79" spans="1:9" customFormat="1" ht="20.149999999999999" customHeight="1" x14ac:dyDescent="0.35">
      <c r="A79" s="288">
        <v>10</v>
      </c>
      <c r="B79" s="289" t="s">
        <v>525</v>
      </c>
      <c r="C79" s="289">
        <f>data!Q65</f>
        <v>0</v>
      </c>
      <c r="D79" s="289">
        <f>data!R65</f>
        <v>1700</v>
      </c>
      <c r="E79" s="289">
        <f>data!S65</f>
        <v>0</v>
      </c>
      <c r="F79" s="289">
        <f>data!T65</f>
        <v>0</v>
      </c>
      <c r="G79" s="289">
        <f>data!U65</f>
        <v>1587.78</v>
      </c>
      <c r="H79" s="289">
        <f>data!V65</f>
        <v>963.36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526</v>
      </c>
      <c r="C80" s="289">
        <f>data!Q66</f>
        <v>0</v>
      </c>
      <c r="D80" s="289">
        <f>data!R66</f>
        <v>2332.8000000000002</v>
      </c>
      <c r="E80" s="289">
        <f>data!S66</f>
        <v>0</v>
      </c>
      <c r="F80" s="289">
        <f>data!T66</f>
        <v>0</v>
      </c>
      <c r="G80" s="289">
        <f>data!U66</f>
        <v>21563.52</v>
      </c>
      <c r="H80" s="289">
        <f>data!V66</f>
        <v>0</v>
      </c>
      <c r="I80" s="289">
        <f>data!W66</f>
        <v>0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0</v>
      </c>
      <c r="D81" s="289">
        <f>data!R67</f>
        <v>0</v>
      </c>
      <c r="E81" s="289">
        <f>data!S67</f>
        <v>0</v>
      </c>
      <c r="F81" s="289">
        <f>data!T67</f>
        <v>0</v>
      </c>
      <c r="G81" s="289">
        <f>data!U67</f>
        <v>33339</v>
      </c>
      <c r="H81" s="289">
        <f>data!V67</f>
        <v>0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1010</v>
      </c>
      <c r="C82" s="289">
        <f>data!Q68</f>
        <v>0</v>
      </c>
      <c r="D82" s="289">
        <f>data!R68</f>
        <v>8398.83</v>
      </c>
      <c r="E82" s="289">
        <f>data!S68</f>
        <v>0</v>
      </c>
      <c r="F82" s="289">
        <f>data!T68</f>
        <v>0</v>
      </c>
      <c r="G82" s="289">
        <f>data!U68</f>
        <v>1384</v>
      </c>
      <c r="H82" s="289">
        <f>data!V68</f>
        <v>2585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1011</v>
      </c>
      <c r="C83" s="289">
        <f>data!Q69</f>
        <v>0</v>
      </c>
      <c r="D83" s="289">
        <f>data!R69</f>
        <v>68893.41</v>
      </c>
      <c r="E83" s="289">
        <f>data!S69</f>
        <v>0</v>
      </c>
      <c r="F83" s="289">
        <f>data!T69</f>
        <v>0</v>
      </c>
      <c r="G83" s="289">
        <f>data!U69</f>
        <v>13654.26</v>
      </c>
      <c r="H83" s="289">
        <f>data!V69</f>
        <v>0</v>
      </c>
      <c r="I83" s="289">
        <f>data!W69</f>
        <v>0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1012</v>
      </c>
      <c r="C85" s="289">
        <f>data!Q85</f>
        <v>0</v>
      </c>
      <c r="D85" s="289">
        <f>data!R85</f>
        <v>709141.02</v>
      </c>
      <c r="E85" s="289">
        <f>data!S85</f>
        <v>0</v>
      </c>
      <c r="F85" s="289">
        <f>data!T85</f>
        <v>0</v>
      </c>
      <c r="G85" s="289">
        <f>data!U85</f>
        <v>1519726.36</v>
      </c>
      <c r="H85" s="289">
        <f>data!V85</f>
        <v>3756.36</v>
      </c>
      <c r="I85" s="289">
        <f>data!W85</f>
        <v>268585.06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1013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49999999999999" customHeight="1" x14ac:dyDescent="0.35">
      <c r="A88" s="288">
        <v>19</v>
      </c>
      <c r="B88" s="297" t="s">
        <v>1014</v>
      </c>
      <c r="C88" s="289">
        <f>data!Q87</f>
        <v>0</v>
      </c>
      <c r="D88" s="289">
        <f>data!R87</f>
        <v>80061.240000000005</v>
      </c>
      <c r="E88" s="289">
        <f>data!S87</f>
        <v>0</v>
      </c>
      <c r="F88" s="289">
        <f>data!T87</f>
        <v>18764.59</v>
      </c>
      <c r="G88" s="289">
        <f>data!U87</f>
        <v>717699.07</v>
      </c>
      <c r="H88" s="289">
        <f>data!V87</f>
        <v>11628.05</v>
      </c>
      <c r="I88" s="289">
        <f>data!W87</f>
        <v>43114.03</v>
      </c>
    </row>
    <row r="89" spans="1:9" customFormat="1" ht="20.149999999999999" customHeight="1" x14ac:dyDescent="0.35">
      <c r="A89" s="288">
        <v>20</v>
      </c>
      <c r="B89" s="297" t="s">
        <v>1015</v>
      </c>
      <c r="C89" s="289">
        <f>data!Q88</f>
        <v>0</v>
      </c>
      <c r="D89" s="289">
        <f>data!R88</f>
        <v>1599139.98</v>
      </c>
      <c r="E89" s="289">
        <f>data!S88</f>
        <v>0</v>
      </c>
      <c r="F89" s="289">
        <f>data!T88</f>
        <v>28115.3</v>
      </c>
      <c r="G89" s="289">
        <f>data!U88</f>
        <v>4886234.92</v>
      </c>
      <c r="H89" s="289">
        <f>data!V88</f>
        <v>200325.3</v>
      </c>
      <c r="I89" s="289">
        <f>data!W88</f>
        <v>1222585.1399999999</v>
      </c>
    </row>
    <row r="90" spans="1:9" customFormat="1" ht="20.149999999999999" customHeight="1" x14ac:dyDescent="0.35">
      <c r="A90" s="288">
        <v>21</v>
      </c>
      <c r="B90" s="297" t="s">
        <v>1016</v>
      </c>
      <c r="C90" s="289">
        <f>data!Q89</f>
        <v>0</v>
      </c>
      <c r="D90" s="289">
        <f>data!R89</f>
        <v>1679201.22</v>
      </c>
      <c r="E90" s="289">
        <f>data!S89</f>
        <v>0</v>
      </c>
      <c r="F90" s="289">
        <f>data!T89</f>
        <v>46879.89</v>
      </c>
      <c r="G90" s="289">
        <f>data!U89</f>
        <v>5603933.9900000002</v>
      </c>
      <c r="H90" s="289">
        <f>data!V89</f>
        <v>211953.34999999998</v>
      </c>
      <c r="I90" s="289">
        <f>data!W89</f>
        <v>1265699.17</v>
      </c>
    </row>
    <row r="91" spans="1:9" customFormat="1" ht="20.149999999999999" customHeight="1" x14ac:dyDescent="0.35">
      <c r="A91" s="288" t="s">
        <v>1017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1018</v>
      </c>
      <c r="C92" s="289">
        <f>data!Q90</f>
        <v>0</v>
      </c>
      <c r="D92" s="289">
        <f>data!R90</f>
        <v>225</v>
      </c>
      <c r="E92" s="289">
        <f>data!S90</f>
        <v>0</v>
      </c>
      <c r="F92" s="289">
        <f>data!T90</f>
        <v>0</v>
      </c>
      <c r="G92" s="289">
        <f>data!U90</f>
        <v>527</v>
      </c>
      <c r="H92" s="289">
        <f>data!V90</f>
        <v>0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1019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1020</v>
      </c>
      <c r="C94" s="289">
        <f>data!Q92</f>
        <v>0</v>
      </c>
      <c r="D94" s="289">
        <f>data!R92</f>
        <v>0</v>
      </c>
      <c r="E94" s="289">
        <f>data!S92</f>
        <v>0</v>
      </c>
      <c r="F94" s="289">
        <f>data!T92</f>
        <v>0</v>
      </c>
      <c r="G94" s="289">
        <f>data!U92</f>
        <v>0</v>
      </c>
      <c r="H94" s="289">
        <f>data!V92</f>
        <v>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1021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1003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1030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LINCOLN COUNTY HOSPITAL DISTRICT # 3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1005</v>
      </c>
      <c r="C102" s="295" t="s">
        <v>1031</v>
      </c>
      <c r="D102" s="295" t="s">
        <v>1032</v>
      </c>
      <c r="E102" s="295" t="s">
        <v>1032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1009</v>
      </c>
      <c r="C104" s="290" t="s">
        <v>251</v>
      </c>
      <c r="D104" s="291" t="s">
        <v>1033</v>
      </c>
      <c r="E104" s="291" t="s">
        <v>1033</v>
      </c>
      <c r="F104" s="291" t="s">
        <v>1033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2088</v>
      </c>
      <c r="D105" s="289">
        <f>data!Y59</f>
        <v>8395</v>
      </c>
      <c r="E105" s="289">
        <f>data!Z59</f>
        <v>0</v>
      </c>
      <c r="F105" s="289">
        <f>data!AA59</f>
        <v>0</v>
      </c>
      <c r="G105" s="301"/>
      <c r="H105" s="289">
        <f>data!AC59</f>
        <v>4609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0</v>
      </c>
      <c r="D106" s="296">
        <f>data!Y60</f>
        <v>6.64</v>
      </c>
      <c r="E106" s="296">
        <f>data!Z60</f>
        <v>0</v>
      </c>
      <c r="F106" s="296">
        <f>data!AA60</f>
        <v>0</v>
      </c>
      <c r="G106" s="296">
        <f>data!AB60</f>
        <v>2.59</v>
      </c>
      <c r="H106" s="296">
        <f>data!AC60</f>
        <v>2.19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0</v>
      </c>
      <c r="D107" s="289">
        <f>data!Y61</f>
        <v>695951.09</v>
      </c>
      <c r="E107" s="289">
        <f>data!Z61</f>
        <v>0</v>
      </c>
      <c r="F107" s="289">
        <f>data!AA61</f>
        <v>0</v>
      </c>
      <c r="G107" s="289">
        <f>data!AB61</f>
        <v>323365.92</v>
      </c>
      <c r="H107" s="289">
        <f>data!AC61</f>
        <v>201990.05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0</v>
      </c>
      <c r="D108" s="289">
        <f>data!Y62</f>
        <v>145156</v>
      </c>
      <c r="E108" s="289">
        <f>data!Z62</f>
        <v>0</v>
      </c>
      <c r="F108" s="289">
        <f>data!AA62</f>
        <v>0</v>
      </c>
      <c r="G108" s="289">
        <f>data!AB62</f>
        <v>86479</v>
      </c>
      <c r="H108" s="289">
        <f>data!AC62</f>
        <v>24014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35013.699999999997</v>
      </c>
      <c r="D109" s="289">
        <f>data!Y63</f>
        <v>103475.39</v>
      </c>
      <c r="E109" s="289">
        <f>data!Z63</f>
        <v>0</v>
      </c>
      <c r="F109" s="289">
        <f>data!AA63</f>
        <v>0</v>
      </c>
      <c r="G109" s="289">
        <f>data!AB63</f>
        <v>63445.279999999999</v>
      </c>
      <c r="H109" s="289">
        <f>data!AC63</f>
        <v>885.2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0</v>
      </c>
      <c r="D110" s="289">
        <f>data!Y64</f>
        <v>50736.240000000005</v>
      </c>
      <c r="E110" s="289">
        <f>data!Z64</f>
        <v>0</v>
      </c>
      <c r="F110" s="289">
        <f>data!AA64</f>
        <v>0</v>
      </c>
      <c r="G110" s="289">
        <f>data!AB64</f>
        <v>753082.16999999993</v>
      </c>
      <c r="H110" s="289">
        <f>data!AC64</f>
        <v>19810.75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525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526</v>
      </c>
      <c r="C112" s="289">
        <f>data!X66</f>
        <v>79618.95</v>
      </c>
      <c r="D112" s="289">
        <f>data!Y66</f>
        <v>124821.13999999998</v>
      </c>
      <c r="E112" s="289">
        <f>data!Z66</f>
        <v>0</v>
      </c>
      <c r="F112" s="289">
        <f>data!AA66</f>
        <v>0</v>
      </c>
      <c r="G112" s="289">
        <f>data!AB66</f>
        <v>140504.03</v>
      </c>
      <c r="H112" s="289">
        <f>data!AC66</f>
        <v>0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710</v>
      </c>
      <c r="D113" s="289">
        <f>data!Y67</f>
        <v>154799</v>
      </c>
      <c r="E113" s="289">
        <f>data!Z67</f>
        <v>0</v>
      </c>
      <c r="F113" s="289">
        <f>data!AA67</f>
        <v>0</v>
      </c>
      <c r="G113" s="289">
        <f>data!AB67</f>
        <v>0</v>
      </c>
      <c r="H113" s="289">
        <f>data!AC67</f>
        <v>0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1010</v>
      </c>
      <c r="C114" s="289">
        <f>data!X68</f>
        <v>0</v>
      </c>
      <c r="D114" s="289">
        <f>data!Y68</f>
        <v>0</v>
      </c>
      <c r="E114" s="289">
        <f>data!Z68</f>
        <v>0</v>
      </c>
      <c r="F114" s="289">
        <f>data!AA68</f>
        <v>0</v>
      </c>
      <c r="G114" s="289">
        <f>data!AB68</f>
        <v>3221.59</v>
      </c>
      <c r="H114" s="289">
        <f>data!AC68</f>
        <v>8741.94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1011</v>
      </c>
      <c r="C115" s="289">
        <f>data!X69</f>
        <v>0</v>
      </c>
      <c r="D115" s="289">
        <f>data!Y69</f>
        <v>22437.89</v>
      </c>
      <c r="E115" s="289">
        <f>data!Z69</f>
        <v>0</v>
      </c>
      <c r="F115" s="289">
        <f>data!AA69</f>
        <v>0</v>
      </c>
      <c r="G115" s="289">
        <f>data!AB69</f>
        <v>20491.150000000001</v>
      </c>
      <c r="H115" s="289">
        <f>data!AC69</f>
        <v>192.48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1012</v>
      </c>
      <c r="C117" s="289">
        <f>data!X85</f>
        <v>115342.65</v>
      </c>
      <c r="D117" s="289">
        <f>data!Y85</f>
        <v>1297376.7499999998</v>
      </c>
      <c r="E117" s="289">
        <f>data!Z85</f>
        <v>0</v>
      </c>
      <c r="F117" s="289">
        <f>data!AA85</f>
        <v>0</v>
      </c>
      <c r="G117" s="289">
        <f>data!AB85</f>
        <v>1390589.14</v>
      </c>
      <c r="H117" s="289">
        <f>data!AC85</f>
        <v>255634.42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1013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49999999999999" customHeight="1" x14ac:dyDescent="0.35">
      <c r="A120" s="288">
        <v>19</v>
      </c>
      <c r="B120" s="297" t="s">
        <v>1014</v>
      </c>
      <c r="C120" s="289">
        <f>data!X87</f>
        <v>199678.85</v>
      </c>
      <c r="D120" s="289">
        <f>data!Y87</f>
        <v>81792.95</v>
      </c>
      <c r="E120" s="289">
        <f>data!Z87</f>
        <v>0</v>
      </c>
      <c r="F120" s="289">
        <f>data!AA87</f>
        <v>0</v>
      </c>
      <c r="G120" s="289">
        <f>data!AB87</f>
        <v>568553.31000000006</v>
      </c>
      <c r="H120" s="289">
        <f>data!AC87</f>
        <v>320268.65000000002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1015</v>
      </c>
      <c r="C121" s="289">
        <f>data!X88</f>
        <v>3559304.36</v>
      </c>
      <c r="D121" s="289">
        <f>data!Y88</f>
        <v>2132817.85</v>
      </c>
      <c r="E121" s="289">
        <f>data!Z88</f>
        <v>0</v>
      </c>
      <c r="F121" s="289">
        <f>data!AA88</f>
        <v>0</v>
      </c>
      <c r="G121" s="289">
        <f>data!AB88</f>
        <v>1720878.7</v>
      </c>
      <c r="H121" s="289">
        <f>data!AC88</f>
        <v>121388.55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1016</v>
      </c>
      <c r="C122" s="289">
        <f>data!X89</f>
        <v>3758983.21</v>
      </c>
      <c r="D122" s="289">
        <f>data!Y89</f>
        <v>2214610.8000000003</v>
      </c>
      <c r="E122" s="289">
        <f>data!Z89</f>
        <v>0</v>
      </c>
      <c r="F122" s="289">
        <f>data!AA89</f>
        <v>0</v>
      </c>
      <c r="G122" s="289">
        <f>data!AB89</f>
        <v>2289432.0099999998</v>
      </c>
      <c r="H122" s="289">
        <f>data!AC89</f>
        <v>441657.2</v>
      </c>
      <c r="I122" s="289">
        <f>data!AD89</f>
        <v>0</v>
      </c>
    </row>
    <row r="123" spans="1:9" customFormat="1" ht="20.149999999999999" customHeight="1" x14ac:dyDescent="0.35">
      <c r="A123" s="288" t="s">
        <v>1017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1018</v>
      </c>
      <c r="C124" s="289">
        <f>data!X90</f>
        <v>0</v>
      </c>
      <c r="D124" s="289">
        <f>data!Y90</f>
        <v>1569</v>
      </c>
      <c r="E124" s="289">
        <f>data!Z90</f>
        <v>0</v>
      </c>
      <c r="F124" s="289">
        <f>data!AA90</f>
        <v>0</v>
      </c>
      <c r="G124" s="289">
        <f>data!AB90</f>
        <v>380</v>
      </c>
      <c r="H124" s="289">
        <f>data!AC90</f>
        <v>40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1019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1020</v>
      </c>
      <c r="C126" s="289">
        <f>data!X92</f>
        <v>0</v>
      </c>
      <c r="D126" s="289">
        <f>data!Y92</f>
        <v>0</v>
      </c>
      <c r="E126" s="289">
        <f>data!Z92</f>
        <v>0</v>
      </c>
      <c r="F126" s="289">
        <f>data!AA92</f>
        <v>0</v>
      </c>
      <c r="G126" s="289">
        <f>data!AB92</f>
        <v>0</v>
      </c>
      <c r="H126" s="289">
        <f>data!AC92</f>
        <v>0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1021</v>
      </c>
      <c r="C127" s="289">
        <f>data!X93</f>
        <v>0</v>
      </c>
      <c r="D127" s="289">
        <f>data!Y93</f>
        <v>1168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49999999999999" customHeight="1" x14ac:dyDescent="0.35">
      <c r="A129" s="282" t="s">
        <v>1003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1034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LINCOLN COUNTY HOSPITAL DISTRICT # 3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1005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1035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1009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1036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5796</v>
      </c>
      <c r="D137" s="289">
        <f>data!AF59</f>
        <v>0</v>
      </c>
      <c r="E137" s="289">
        <f>data!AG59</f>
        <v>3848</v>
      </c>
      <c r="F137" s="289">
        <f>data!AH59</f>
        <v>428</v>
      </c>
      <c r="G137" s="289">
        <f>data!AI59</f>
        <v>0</v>
      </c>
      <c r="H137" s="289">
        <f>data!AJ59</f>
        <v>21752</v>
      </c>
      <c r="I137" s="289">
        <f>data!AK59</f>
        <v>165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5.33</v>
      </c>
      <c r="D138" s="296">
        <f>data!AF60</f>
        <v>0</v>
      </c>
      <c r="E138" s="296">
        <f>data!AG60</f>
        <v>4.08</v>
      </c>
      <c r="F138" s="296">
        <f>data!AH60</f>
        <v>1.47</v>
      </c>
      <c r="G138" s="296">
        <f>data!AI60</f>
        <v>0</v>
      </c>
      <c r="H138" s="296">
        <f>data!AJ60</f>
        <v>34.739999999999995</v>
      </c>
      <c r="I138" s="296">
        <f>data!AK60</f>
        <v>0.69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621969.15</v>
      </c>
      <c r="D139" s="289">
        <f>data!AF61</f>
        <v>0</v>
      </c>
      <c r="E139" s="289">
        <f>data!AG61</f>
        <v>640788.42000000004</v>
      </c>
      <c r="F139" s="289">
        <f>data!AH61</f>
        <v>166779.48000000001</v>
      </c>
      <c r="G139" s="289">
        <f>data!AI61</f>
        <v>0</v>
      </c>
      <c r="H139" s="289">
        <f>data!AJ61</f>
        <v>4480435.91</v>
      </c>
      <c r="I139" s="289">
        <f>data!AK61</f>
        <v>81459.48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136598</v>
      </c>
      <c r="D140" s="289">
        <f>data!AF62</f>
        <v>0</v>
      </c>
      <c r="E140" s="289">
        <f>data!AG62</f>
        <v>42024</v>
      </c>
      <c r="F140" s="289">
        <f>data!AH62</f>
        <v>11793</v>
      </c>
      <c r="G140" s="289">
        <f>data!AI62</f>
        <v>0</v>
      </c>
      <c r="H140" s="289">
        <f>data!AJ62</f>
        <v>823581</v>
      </c>
      <c r="I140" s="289">
        <f>data!AK62</f>
        <v>18132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2197.9299999999998</v>
      </c>
      <c r="F141" s="289">
        <f>data!AH63</f>
        <v>3855.42</v>
      </c>
      <c r="G141" s="289">
        <f>data!AI63</f>
        <v>0</v>
      </c>
      <c r="H141" s="289">
        <f>data!AJ63</f>
        <v>19860</v>
      </c>
      <c r="I141" s="289">
        <f>data!AK63</f>
        <v>0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7729.2899999999991</v>
      </c>
      <c r="D142" s="289">
        <f>data!AF64</f>
        <v>0</v>
      </c>
      <c r="E142" s="289">
        <f>data!AG64</f>
        <v>81911.649999999994</v>
      </c>
      <c r="F142" s="289">
        <f>data!AH64</f>
        <v>9580.4700000000012</v>
      </c>
      <c r="G142" s="289">
        <f>data!AI64</f>
        <v>0</v>
      </c>
      <c r="H142" s="289">
        <f>data!AJ64</f>
        <v>196976.1</v>
      </c>
      <c r="I142" s="289">
        <f>data!AK64</f>
        <v>39.700000000000003</v>
      </c>
    </row>
    <row r="143" spans="1:14" customFormat="1" ht="20.149999999999999" customHeight="1" x14ac:dyDescent="0.35">
      <c r="A143" s="288">
        <v>10</v>
      </c>
      <c r="B143" s="289" t="s">
        <v>525</v>
      </c>
      <c r="C143" s="289">
        <f>data!AE65</f>
        <v>7318.36</v>
      </c>
      <c r="D143" s="289">
        <f>data!AF65</f>
        <v>0</v>
      </c>
      <c r="E143" s="289">
        <f>data!AG65</f>
        <v>0</v>
      </c>
      <c r="F143" s="289">
        <f>data!AH65</f>
        <v>10994.83</v>
      </c>
      <c r="G143" s="289">
        <f>data!AI65</f>
        <v>0</v>
      </c>
      <c r="H143" s="289">
        <f>data!AJ65</f>
        <v>55843.58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526</v>
      </c>
      <c r="C144" s="289">
        <f>data!AE66</f>
        <v>2426.37</v>
      </c>
      <c r="D144" s="289">
        <f>data!AF66</f>
        <v>0</v>
      </c>
      <c r="E144" s="289">
        <f>data!AG66</f>
        <v>3740.68</v>
      </c>
      <c r="F144" s="289">
        <f>data!AH66</f>
        <v>8373.4500000000007</v>
      </c>
      <c r="G144" s="289">
        <f>data!AI66</f>
        <v>0</v>
      </c>
      <c r="H144" s="289">
        <f>data!AJ66</f>
        <v>114565.82999999999</v>
      </c>
      <c r="I144" s="289">
        <f>data!AK66</f>
        <v>0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23074</v>
      </c>
      <c r="D145" s="289">
        <f>data!AF67</f>
        <v>0</v>
      </c>
      <c r="E145" s="289">
        <f>data!AG67</f>
        <v>9578</v>
      </c>
      <c r="F145" s="289">
        <f>data!AH67</f>
        <v>34760</v>
      </c>
      <c r="G145" s="289">
        <f>data!AI67</f>
        <v>0</v>
      </c>
      <c r="H145" s="289">
        <f>data!AJ67</f>
        <v>32395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1010</v>
      </c>
      <c r="C146" s="289">
        <f>data!AE68</f>
        <v>25200</v>
      </c>
      <c r="D146" s="289">
        <f>data!AF68</f>
        <v>0</v>
      </c>
      <c r="E146" s="289">
        <f>data!AG68</f>
        <v>6567.15</v>
      </c>
      <c r="F146" s="289">
        <f>data!AH68</f>
        <v>711.84</v>
      </c>
      <c r="G146" s="289">
        <f>data!AI68</f>
        <v>0</v>
      </c>
      <c r="H146" s="289">
        <f>data!AJ68</f>
        <v>4073.56</v>
      </c>
      <c r="I146" s="289">
        <f>data!AK68</f>
        <v>0</v>
      </c>
    </row>
    <row r="147" spans="1:9" customFormat="1" ht="20.149999999999999" customHeight="1" x14ac:dyDescent="0.35">
      <c r="A147" s="288">
        <v>14</v>
      </c>
      <c r="B147" s="289" t="s">
        <v>1011</v>
      </c>
      <c r="C147" s="289">
        <f>data!AE69</f>
        <v>15343.03</v>
      </c>
      <c r="D147" s="289">
        <f>data!AF69</f>
        <v>0</v>
      </c>
      <c r="E147" s="289">
        <f>data!AG69</f>
        <v>1198450.28</v>
      </c>
      <c r="F147" s="289">
        <f>data!AH69</f>
        <v>19148.980000000003</v>
      </c>
      <c r="G147" s="289">
        <f>data!AI69</f>
        <v>0</v>
      </c>
      <c r="H147" s="289">
        <f>data!AJ69</f>
        <v>67921.37</v>
      </c>
      <c r="I147" s="289">
        <f>data!AK69</f>
        <v>39.299999999999997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1012</v>
      </c>
      <c r="C149" s="289">
        <f>data!AE85</f>
        <v>839658.20000000007</v>
      </c>
      <c r="D149" s="289">
        <f>data!AF85</f>
        <v>0</v>
      </c>
      <c r="E149" s="289">
        <f>data!AG85</f>
        <v>1985258.1100000003</v>
      </c>
      <c r="F149" s="289">
        <f>data!AH85</f>
        <v>265997.47000000003</v>
      </c>
      <c r="G149" s="289">
        <f>data!AI85</f>
        <v>0</v>
      </c>
      <c r="H149" s="289">
        <f>data!AJ85</f>
        <v>5795652.3499999996</v>
      </c>
      <c r="I149" s="289">
        <f>data!AK85</f>
        <v>99670.48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1013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49999999999999" customHeight="1" x14ac:dyDescent="0.35">
      <c r="A152" s="288">
        <v>19</v>
      </c>
      <c r="B152" s="297" t="s">
        <v>1014</v>
      </c>
      <c r="C152" s="289">
        <f>data!AE87</f>
        <v>230941.6</v>
      </c>
      <c r="D152" s="289">
        <f>data!AF87</f>
        <v>0</v>
      </c>
      <c r="E152" s="289">
        <f>data!AG87</f>
        <v>68778.5</v>
      </c>
      <c r="F152" s="289">
        <f>data!AH87</f>
        <v>9275</v>
      </c>
      <c r="G152" s="289">
        <f>data!AI87</f>
        <v>0</v>
      </c>
      <c r="H152" s="289">
        <f>data!AJ87</f>
        <v>284775.86</v>
      </c>
      <c r="I152" s="289">
        <f>data!AK87</f>
        <v>141578.20000000001</v>
      </c>
    </row>
    <row r="153" spans="1:9" customFormat="1" ht="20.149999999999999" customHeight="1" x14ac:dyDescent="0.35">
      <c r="A153" s="288">
        <v>20</v>
      </c>
      <c r="B153" s="297" t="s">
        <v>1015</v>
      </c>
      <c r="C153" s="289">
        <f>data!AE88</f>
        <v>1438775.47</v>
      </c>
      <c r="D153" s="289">
        <f>data!AF88</f>
        <v>0</v>
      </c>
      <c r="E153" s="289">
        <f>data!AG88</f>
        <v>3349766.98</v>
      </c>
      <c r="F153" s="289">
        <f>data!AH88</f>
        <v>486930.8</v>
      </c>
      <c r="G153" s="289">
        <f>data!AI88</f>
        <v>0</v>
      </c>
      <c r="H153" s="289">
        <f>data!AJ88</f>
        <v>5205902.49</v>
      </c>
      <c r="I153" s="289">
        <f>data!AK88</f>
        <v>88566.85</v>
      </c>
    </row>
    <row r="154" spans="1:9" customFormat="1" ht="20.149999999999999" customHeight="1" x14ac:dyDescent="0.35">
      <c r="A154" s="288">
        <v>21</v>
      </c>
      <c r="B154" s="297" t="s">
        <v>1016</v>
      </c>
      <c r="C154" s="289">
        <f>data!AE89</f>
        <v>1669717.07</v>
      </c>
      <c r="D154" s="289">
        <f>data!AF89</f>
        <v>0</v>
      </c>
      <c r="E154" s="289">
        <f>data!AG89</f>
        <v>3418545.48</v>
      </c>
      <c r="F154" s="289">
        <f>data!AH89</f>
        <v>496205.8</v>
      </c>
      <c r="G154" s="289">
        <f>data!AI89</f>
        <v>0</v>
      </c>
      <c r="H154" s="289">
        <f>data!AJ89</f>
        <v>5490678.3500000006</v>
      </c>
      <c r="I154" s="289">
        <f>data!AK89</f>
        <v>230145.05000000002</v>
      </c>
    </row>
    <row r="155" spans="1:9" customFormat="1" ht="20.149999999999999" customHeight="1" x14ac:dyDescent="0.35">
      <c r="A155" s="288" t="s">
        <v>1017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1018</v>
      </c>
      <c r="C156" s="289">
        <f>data!AE90</f>
        <v>1465</v>
      </c>
      <c r="D156" s="289">
        <f>data!AF90</f>
        <v>0</v>
      </c>
      <c r="E156" s="289">
        <f>data!AG90</f>
        <v>581</v>
      </c>
      <c r="F156" s="289">
        <f>data!AH90</f>
        <v>0</v>
      </c>
      <c r="G156" s="289">
        <f>data!AI90</f>
        <v>0</v>
      </c>
      <c r="H156" s="289">
        <f>data!AJ90</f>
        <v>27746</v>
      </c>
      <c r="I156" s="289">
        <f>data!AK90</f>
        <v>427</v>
      </c>
    </row>
    <row r="157" spans="1:9" customFormat="1" ht="20.149999999999999" customHeight="1" x14ac:dyDescent="0.35">
      <c r="A157" s="288">
        <v>23</v>
      </c>
      <c r="B157" s="289" t="s">
        <v>1019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1020</v>
      </c>
      <c r="C158" s="289">
        <f>data!AE92</f>
        <v>0</v>
      </c>
      <c r="D158" s="289">
        <f>data!AF92</f>
        <v>0</v>
      </c>
      <c r="E158" s="289">
        <f>data!AG92</f>
        <v>0</v>
      </c>
      <c r="F158" s="289">
        <f>data!AH92</f>
        <v>0</v>
      </c>
      <c r="G158" s="289">
        <f>data!AI92</f>
        <v>0</v>
      </c>
      <c r="H158" s="289">
        <f>data!AJ92</f>
        <v>0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1021</v>
      </c>
      <c r="C159" s="289">
        <f>data!AE93</f>
        <v>1058</v>
      </c>
      <c r="D159" s="289">
        <f>data!AF93</f>
        <v>0</v>
      </c>
      <c r="E159" s="289">
        <f>data!AG93</f>
        <v>1582</v>
      </c>
      <c r="F159" s="289">
        <f>data!AH93</f>
        <v>565</v>
      </c>
      <c r="G159" s="289">
        <f>data!AI93</f>
        <v>0</v>
      </c>
      <c r="H159" s="289">
        <f>data!AJ93</f>
        <v>0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4.08</v>
      </c>
      <c r="F160" s="296">
        <f>data!AH94</f>
        <v>0</v>
      </c>
      <c r="G160" s="296">
        <f>data!AI94</f>
        <v>0</v>
      </c>
      <c r="H160" s="296">
        <f>data!AJ94</f>
        <v>0</v>
      </c>
      <c r="I160" s="296">
        <f>data!AK94</f>
        <v>0</v>
      </c>
    </row>
    <row r="161" spans="1:9" customFormat="1" ht="20.149999999999999" customHeight="1" x14ac:dyDescent="0.35">
      <c r="A161" s="282" t="s">
        <v>1003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1037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LINCOLN COUNTY HOSPITAL DISTRICT # 3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1005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1038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1039</v>
      </c>
      <c r="F167" s="295" t="s">
        <v>209</v>
      </c>
      <c r="G167" s="295" t="s">
        <v>148</v>
      </c>
      <c r="H167" s="294" t="s">
        <v>1040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1009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0.64</v>
      </c>
      <c r="D170" s="296">
        <f>data!AM60</f>
        <v>2.19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41541.699999999997</v>
      </c>
      <c r="D171" s="289">
        <f>data!AM61</f>
        <v>50196.94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7897</v>
      </c>
      <c r="D172" s="289">
        <f>data!AM62</f>
        <v>13227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0</v>
      </c>
      <c r="D174" s="289">
        <f>data!AM64</f>
        <v>577.44000000000005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1010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1011</v>
      </c>
      <c r="C179" s="289">
        <f>data!AL69</f>
        <v>0</v>
      </c>
      <c r="D179" s="289">
        <f>data!AM69</f>
        <v>-10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1012</v>
      </c>
      <c r="C181" s="289">
        <f>data!AL85</f>
        <v>49438.7</v>
      </c>
      <c r="D181" s="289">
        <f>data!AM85</f>
        <v>63991.380000000005</v>
      </c>
      <c r="E181" s="289">
        <f>data!AN85</f>
        <v>0</v>
      </c>
      <c r="F181" s="289">
        <f>data!AO85</f>
        <v>0</v>
      </c>
      <c r="G181" s="289">
        <f>data!AP85</f>
        <v>0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1013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49999999999999" customHeight="1" x14ac:dyDescent="0.35">
      <c r="A184" s="288">
        <v>19</v>
      </c>
      <c r="B184" s="297" t="s">
        <v>1014</v>
      </c>
      <c r="C184" s="289">
        <f>data!AL87</f>
        <v>29072.15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1015</v>
      </c>
      <c r="C185" s="289">
        <f>data!AL88</f>
        <v>28091.45</v>
      </c>
      <c r="D185" s="289">
        <f>data!AM88</f>
        <v>0</v>
      </c>
      <c r="E185" s="289">
        <f>data!AN88</f>
        <v>0</v>
      </c>
      <c r="F185" s="289">
        <f>data!AO88</f>
        <v>469828.05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1016</v>
      </c>
      <c r="C186" s="289">
        <f>data!AL89</f>
        <v>57163.600000000006</v>
      </c>
      <c r="D186" s="289">
        <f>data!AM89</f>
        <v>0</v>
      </c>
      <c r="E186" s="289">
        <f>data!AN89</f>
        <v>0</v>
      </c>
      <c r="F186" s="289">
        <f>data!AO89</f>
        <v>469828.05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1017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1018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1019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1020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1021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1003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1041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LINCOLN COUNTY HOSPITAL DISTRICT # 3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1005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1042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1043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1009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13532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3.01</v>
      </c>
      <c r="G202" s="296">
        <f>data!AW60</f>
        <v>0</v>
      </c>
      <c r="H202" s="296">
        <f>data!AX60</f>
        <v>0</v>
      </c>
      <c r="I202" s="296">
        <f>data!AY60</f>
        <v>9.01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284872.40999999997</v>
      </c>
      <c r="G203" s="289">
        <f>data!AW61</f>
        <v>0</v>
      </c>
      <c r="H203" s="289">
        <f>data!AX61</f>
        <v>0</v>
      </c>
      <c r="I203" s="289">
        <f>data!AY61</f>
        <v>479618.34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28861</v>
      </c>
      <c r="G204" s="289">
        <f>data!AW62</f>
        <v>0</v>
      </c>
      <c r="H204" s="289">
        <f>data!AX62</f>
        <v>0</v>
      </c>
      <c r="I204" s="289">
        <f>data!AY62</f>
        <v>136065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2653.5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83402.62</v>
      </c>
      <c r="G206" s="289">
        <f>data!AW64</f>
        <v>0</v>
      </c>
      <c r="H206" s="289">
        <f>data!AX64</f>
        <v>0</v>
      </c>
      <c r="I206" s="289">
        <f>data!AY64</f>
        <v>252287.66999999998</v>
      </c>
    </row>
    <row r="207" spans="1:9" customFormat="1" ht="20.149999999999999" customHeight="1" x14ac:dyDescent="0.35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526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1736.82</v>
      </c>
      <c r="G208" s="289">
        <f>data!AW66</f>
        <v>0</v>
      </c>
      <c r="H208" s="289">
        <f>data!AX66</f>
        <v>0</v>
      </c>
      <c r="I208" s="289">
        <f>data!AY66</f>
        <v>1111.55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723</v>
      </c>
    </row>
    <row r="210" spans="1:9" customFormat="1" ht="20.149999999999999" customHeight="1" x14ac:dyDescent="0.35">
      <c r="A210" s="288">
        <v>13</v>
      </c>
      <c r="B210" s="289" t="s">
        <v>1010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4157.76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49999999999999" customHeight="1" x14ac:dyDescent="0.35">
      <c r="A211" s="288">
        <v>14</v>
      </c>
      <c r="B211" s="289" t="s">
        <v>1011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2684.73</v>
      </c>
      <c r="G211" s="289">
        <f>data!AW69</f>
        <v>0</v>
      </c>
      <c r="H211" s="289">
        <f>data!AX69</f>
        <v>0</v>
      </c>
      <c r="I211" s="289">
        <f>data!AY69</f>
        <v>2468.39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1012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405715.33999999997</v>
      </c>
      <c r="G213" s="289">
        <f>data!AW85</f>
        <v>0</v>
      </c>
      <c r="H213" s="289">
        <f>data!AX85</f>
        <v>0</v>
      </c>
      <c r="I213" s="289">
        <f>data!AY85</f>
        <v>874927.45000000007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1013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1014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62076.91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1015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1456003.73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1016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1518080.64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1017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1018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3690</v>
      </c>
    </row>
    <row r="221" spans="1:9" customFormat="1" ht="20.149999999999999" customHeight="1" x14ac:dyDescent="0.35">
      <c r="A221" s="288">
        <v>23</v>
      </c>
      <c r="B221" s="289" t="s">
        <v>1019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1020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1021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1003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1044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LINCOLN COUNTY HOSPITAL DISTRICT # 3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1005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1045</v>
      </c>
      <c r="F231" s="295" t="s">
        <v>1046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1009</v>
      </c>
      <c r="C232" s="291" t="s">
        <v>1047</v>
      </c>
      <c r="D232" s="291" t="s">
        <v>1048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62296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2.84</v>
      </c>
      <c r="E234" s="296">
        <f>data!BB60</f>
        <v>1</v>
      </c>
      <c r="F234" s="296">
        <f>data!BC60</f>
        <v>0</v>
      </c>
      <c r="G234" s="296">
        <f>data!BD60</f>
        <v>1.89</v>
      </c>
      <c r="H234" s="296">
        <f>data!BE60</f>
        <v>3.97</v>
      </c>
      <c r="I234" s="296">
        <f>data!BF60</f>
        <v>6.08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97432.53</v>
      </c>
      <c r="E235" s="289">
        <f>data!BB61</f>
        <v>90115.1</v>
      </c>
      <c r="F235" s="289">
        <f>data!BC61</f>
        <v>0</v>
      </c>
      <c r="G235" s="289">
        <f>data!BD61</f>
        <v>142726.54</v>
      </c>
      <c r="H235" s="289">
        <f>data!BE61</f>
        <v>253399.12</v>
      </c>
      <c r="I235" s="289">
        <f>data!BF61</f>
        <v>290326.3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31082</v>
      </c>
      <c r="E236" s="289">
        <f>data!BB62</f>
        <v>19745</v>
      </c>
      <c r="F236" s="289">
        <f>data!BC62</f>
        <v>0</v>
      </c>
      <c r="G236" s="289">
        <f>data!BD62</f>
        <v>41793</v>
      </c>
      <c r="H236" s="289">
        <f>data!BE62</f>
        <v>72911</v>
      </c>
      <c r="I236" s="289">
        <f>data!BF62</f>
        <v>65371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0</v>
      </c>
      <c r="D238" s="289">
        <f>data!BA64</f>
        <v>5522.28</v>
      </c>
      <c r="E238" s="289">
        <f>data!BB64</f>
        <v>0</v>
      </c>
      <c r="F238" s="289">
        <f>data!BC64</f>
        <v>0</v>
      </c>
      <c r="G238" s="289">
        <f>data!BD64</f>
        <v>156785.87</v>
      </c>
      <c r="H238" s="289">
        <f>data!BE64</f>
        <v>25122.13</v>
      </c>
      <c r="I238" s="289">
        <f>data!BF64</f>
        <v>14608.009999999998</v>
      </c>
    </row>
    <row r="239" spans="1:9" customFormat="1" ht="20.149999999999999" customHeight="1" x14ac:dyDescent="0.35">
      <c r="A239" s="288">
        <v>10</v>
      </c>
      <c r="B239" s="289" t="s">
        <v>525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25.55</v>
      </c>
      <c r="H239" s="289">
        <f>data!BE65</f>
        <v>320167.70000000007</v>
      </c>
      <c r="I239" s="289">
        <f>data!BF65</f>
        <v>83.76</v>
      </c>
    </row>
    <row r="240" spans="1:9" customFormat="1" ht="20.149999999999999" customHeight="1" x14ac:dyDescent="0.35">
      <c r="A240" s="288">
        <v>11</v>
      </c>
      <c r="B240" s="289" t="s">
        <v>526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325.14999999999998</v>
      </c>
      <c r="H240" s="289">
        <f>data!BE66</f>
        <v>57532.97</v>
      </c>
      <c r="I240" s="289">
        <f>data!BF66</f>
        <v>-2.15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0</v>
      </c>
      <c r="D241" s="289">
        <f>data!BA67</f>
        <v>819</v>
      </c>
      <c r="E241" s="289">
        <f>data!BB67</f>
        <v>0</v>
      </c>
      <c r="F241" s="289">
        <f>data!BC67</f>
        <v>0</v>
      </c>
      <c r="G241" s="289">
        <f>data!BD67</f>
        <v>0</v>
      </c>
      <c r="H241" s="289">
        <f>data!BE67</f>
        <v>31537</v>
      </c>
      <c r="I241" s="289">
        <f>data!BF67</f>
        <v>2152</v>
      </c>
    </row>
    <row r="242" spans="1:9" customFormat="1" ht="20.149999999999999" customHeight="1" x14ac:dyDescent="0.35">
      <c r="A242" s="288">
        <v>13</v>
      </c>
      <c r="B242" s="289" t="s">
        <v>1010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0</v>
      </c>
      <c r="H242" s="289">
        <f>data!BE68</f>
        <v>2695.58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1011</v>
      </c>
      <c r="C243" s="289">
        <f>data!AZ69</f>
        <v>0</v>
      </c>
      <c r="D243" s="289">
        <f>data!BA69</f>
        <v>56.11</v>
      </c>
      <c r="E243" s="289">
        <f>data!BB69</f>
        <v>0</v>
      </c>
      <c r="F243" s="289">
        <f>data!BC69</f>
        <v>0</v>
      </c>
      <c r="G243" s="289">
        <f>data!BD69</f>
        <v>-2079.59</v>
      </c>
      <c r="H243" s="289">
        <f>data!BE69</f>
        <v>55977.06</v>
      </c>
      <c r="I243" s="289">
        <f>data!BF69</f>
        <v>1066.29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1012</v>
      </c>
      <c r="C245" s="289">
        <f>data!AZ85</f>
        <v>0</v>
      </c>
      <c r="D245" s="289">
        <f>data!BA85</f>
        <v>134911.91999999998</v>
      </c>
      <c r="E245" s="289">
        <f>data!BB85</f>
        <v>109860.1</v>
      </c>
      <c r="F245" s="289">
        <f>data!BC85</f>
        <v>0</v>
      </c>
      <c r="G245" s="289">
        <f>data!BD85</f>
        <v>339576.52</v>
      </c>
      <c r="H245" s="289">
        <f>data!BE85</f>
        <v>819342.56</v>
      </c>
      <c r="I245" s="289">
        <f>data!BF85</f>
        <v>373605.20999999996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1013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1014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1015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1016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1017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1018</v>
      </c>
      <c r="C252" s="305">
        <f>data!AZ90</f>
        <v>0</v>
      </c>
      <c r="D252" s="305">
        <f>data!BA90</f>
        <v>858</v>
      </c>
      <c r="E252" s="305">
        <f>data!BB90</f>
        <v>128</v>
      </c>
      <c r="F252" s="305">
        <f>data!BC90</f>
        <v>0</v>
      </c>
      <c r="G252" s="305">
        <f>data!BD90</f>
        <v>670</v>
      </c>
      <c r="H252" s="305">
        <f>data!BE90</f>
        <v>2961</v>
      </c>
      <c r="I252" s="305">
        <f>data!BF90</f>
        <v>1051</v>
      </c>
    </row>
    <row r="253" spans="1:9" customFormat="1" ht="20.149999999999999" customHeight="1" x14ac:dyDescent="0.35">
      <c r="A253" s="288">
        <v>23</v>
      </c>
      <c r="B253" s="289" t="s">
        <v>1019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1020</v>
      </c>
      <c r="C254" s="304" t="str">
        <f>IF(data!AZ92&gt;0,data!AZ92,"")</f>
        <v>x</v>
      </c>
      <c r="D254" s="305">
        <f>data!BA92</f>
        <v>0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1021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1003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1049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LINCOLN COUNTY HOSPITAL DISTRICT # 3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1005</v>
      </c>
      <c r="C262" s="295" t="s">
        <v>1050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1051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1052</v>
      </c>
    </row>
    <row r="264" spans="1:9" customFormat="1" ht="20.149999999999999" customHeight="1" x14ac:dyDescent="0.35">
      <c r="A264" s="288">
        <v>3</v>
      </c>
      <c r="B264" s="289" t="s">
        <v>1009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0</v>
      </c>
      <c r="D266" s="296">
        <f>data!BH60</f>
        <v>2.95</v>
      </c>
      <c r="E266" s="296">
        <f>data!BI60</f>
        <v>0</v>
      </c>
      <c r="F266" s="296">
        <f>data!BJ60</f>
        <v>2.94</v>
      </c>
      <c r="G266" s="296">
        <f>data!BK60</f>
        <v>10.17</v>
      </c>
      <c r="H266" s="296">
        <f>data!BL60</f>
        <v>13.790000000000001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0</v>
      </c>
      <c r="D267" s="289">
        <f>data!BH61</f>
        <v>227765.35</v>
      </c>
      <c r="E267" s="289">
        <f>data!BI61</f>
        <v>0</v>
      </c>
      <c r="F267" s="289">
        <f>data!BJ61</f>
        <v>327477.13</v>
      </c>
      <c r="G267" s="289">
        <f>data!BK61</f>
        <v>517218.64</v>
      </c>
      <c r="H267" s="289">
        <f>data!BL61</f>
        <v>615918.04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0</v>
      </c>
      <c r="D268" s="289">
        <f>data!BH62</f>
        <v>56691</v>
      </c>
      <c r="E268" s="289">
        <f>data!BI62</f>
        <v>0</v>
      </c>
      <c r="F268" s="289">
        <f>data!BJ62</f>
        <v>71530</v>
      </c>
      <c r="G268" s="289">
        <f>data!BK62</f>
        <v>142494</v>
      </c>
      <c r="H268" s="289">
        <f>data!BL62</f>
        <v>143436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3734.7</v>
      </c>
      <c r="H269" s="289">
        <f>data!BL63</f>
        <v>0</v>
      </c>
      <c r="I269" s="289">
        <f>data!BM63</f>
        <v>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0</v>
      </c>
      <c r="D270" s="289">
        <f>data!BH64</f>
        <v>90862.040000000008</v>
      </c>
      <c r="E270" s="289">
        <f>data!BI64</f>
        <v>0</v>
      </c>
      <c r="F270" s="289">
        <f>data!BJ64</f>
        <v>968.78</v>
      </c>
      <c r="G270" s="289">
        <f>data!BK64</f>
        <v>12423.2</v>
      </c>
      <c r="H270" s="289">
        <f>data!BL64</f>
        <v>3603.07</v>
      </c>
      <c r="I270" s="289">
        <f>data!BM64</f>
        <v>0</v>
      </c>
    </row>
    <row r="271" spans="1:9" customFormat="1" ht="20.149999999999999" customHeight="1" x14ac:dyDescent="0.35">
      <c r="A271" s="288">
        <v>10</v>
      </c>
      <c r="B271" s="289" t="s">
        <v>525</v>
      </c>
      <c r="C271" s="289">
        <f>data!BG65</f>
        <v>0</v>
      </c>
      <c r="D271" s="289">
        <f>data!BH65</f>
        <v>83133.36</v>
      </c>
      <c r="E271" s="289">
        <f>data!BI65</f>
        <v>0</v>
      </c>
      <c r="F271" s="289">
        <f>data!BJ65</f>
        <v>56.78</v>
      </c>
      <c r="G271" s="289">
        <f>data!BK65</f>
        <v>23182.21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526</v>
      </c>
      <c r="C272" s="289">
        <f>data!BG66</f>
        <v>0</v>
      </c>
      <c r="D272" s="289">
        <f>data!BH66</f>
        <v>600742.87</v>
      </c>
      <c r="E272" s="289">
        <f>data!BI66</f>
        <v>0</v>
      </c>
      <c r="F272" s="289">
        <f>data!BJ66</f>
        <v>118894.73</v>
      </c>
      <c r="G272" s="289">
        <f>data!BK66</f>
        <v>182049.21</v>
      </c>
      <c r="H272" s="289">
        <f>data!BL66</f>
        <v>117.72</v>
      </c>
      <c r="I272" s="289">
        <f>data!BM66</f>
        <v>0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0</v>
      </c>
      <c r="D273" s="289">
        <f>data!BH67</f>
        <v>582727</v>
      </c>
      <c r="E273" s="289">
        <f>data!BI67</f>
        <v>0</v>
      </c>
      <c r="F273" s="289">
        <f>data!BJ67</f>
        <v>22433</v>
      </c>
      <c r="G273" s="289">
        <f>data!BK67</f>
        <v>0</v>
      </c>
      <c r="H273" s="289">
        <f>data!BL67</f>
        <v>0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1010</v>
      </c>
      <c r="C274" s="289">
        <f>data!BG68</f>
        <v>0</v>
      </c>
      <c r="D274" s="289">
        <f>data!BH68</f>
        <v>6262.58</v>
      </c>
      <c r="E274" s="289">
        <f>data!BI68</f>
        <v>0</v>
      </c>
      <c r="F274" s="289">
        <f>data!BJ68</f>
        <v>8275.4</v>
      </c>
      <c r="G274" s="289">
        <f>data!BK68</f>
        <v>4593.1000000000004</v>
      </c>
      <c r="H274" s="289">
        <f>data!BL68</f>
        <v>0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1011</v>
      </c>
      <c r="C275" s="289">
        <f>data!BG69</f>
        <v>0</v>
      </c>
      <c r="D275" s="289">
        <f>data!BH69</f>
        <v>84902.31</v>
      </c>
      <c r="E275" s="289">
        <f>data!BI69</f>
        <v>0</v>
      </c>
      <c r="F275" s="289">
        <f>data!BJ69</f>
        <v>54735.72</v>
      </c>
      <c r="G275" s="289">
        <f>data!BK69</f>
        <v>46904.51</v>
      </c>
      <c r="H275" s="289">
        <f>data!BL69</f>
        <v>415</v>
      </c>
      <c r="I275" s="289">
        <f>data!BM69</f>
        <v>0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1012</v>
      </c>
      <c r="C277" s="289">
        <f>data!BG85</f>
        <v>0</v>
      </c>
      <c r="D277" s="289">
        <f>data!BH85</f>
        <v>1733086.5100000002</v>
      </c>
      <c r="E277" s="289">
        <f>data!BI85</f>
        <v>0</v>
      </c>
      <c r="F277" s="289">
        <f>data!BJ85</f>
        <v>604371.54</v>
      </c>
      <c r="G277" s="289">
        <f>data!BK85</f>
        <v>932599.56999999983</v>
      </c>
      <c r="H277" s="289">
        <f>data!BL85</f>
        <v>763489.83</v>
      </c>
      <c r="I277" s="289">
        <f>data!BM85</f>
        <v>0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1013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1014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1015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1016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1017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1018</v>
      </c>
      <c r="C284" s="305">
        <f>data!BG90</f>
        <v>0</v>
      </c>
      <c r="D284" s="305">
        <f>data!BH90</f>
        <v>0</v>
      </c>
      <c r="E284" s="305">
        <f>data!BI90</f>
        <v>0</v>
      </c>
      <c r="F284" s="305">
        <f>data!BJ90</f>
        <v>0</v>
      </c>
      <c r="G284" s="305">
        <f>data!BK90</f>
        <v>0</v>
      </c>
      <c r="H284" s="305">
        <f>data!BL90</f>
        <v>0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1019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1020</v>
      </c>
      <c r="C286" s="304" t="str">
        <f>IF(data!BG92&gt;0,data!BG92,"")</f>
        <v>x</v>
      </c>
      <c r="D286" s="305">
        <f>data!BH92</f>
        <v>0</v>
      </c>
      <c r="E286" s="305">
        <f>data!BI92</f>
        <v>0</v>
      </c>
      <c r="F286" s="304" t="str">
        <f>IF(data!BJ92&gt;0,data!BJ92,"")</f>
        <v>x</v>
      </c>
      <c r="G286" s="305">
        <f>data!BK92</f>
        <v>0</v>
      </c>
      <c r="H286" s="305">
        <f>data!BL92</f>
        <v>0</v>
      </c>
      <c r="I286" s="305">
        <f>data!BM92</f>
        <v>0</v>
      </c>
    </row>
    <row r="287" spans="1:9" customFormat="1" ht="20.149999999999999" customHeight="1" x14ac:dyDescent="0.35">
      <c r="A287" s="288">
        <v>25</v>
      </c>
      <c r="B287" s="289" t="s">
        <v>1021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1003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1053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LINCOLN COUNTY HOSPITAL DISTRICT # 3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1005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1054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1009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5.64</v>
      </c>
      <c r="D298" s="296">
        <f>data!BO60</f>
        <v>0.5</v>
      </c>
      <c r="E298" s="296">
        <f>data!BP60</f>
        <v>0</v>
      </c>
      <c r="F298" s="296">
        <f>data!BQ60</f>
        <v>0</v>
      </c>
      <c r="G298" s="296">
        <f>data!BR60</f>
        <v>2.09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656600.65</v>
      </c>
      <c r="D299" s="289">
        <f>data!BO61</f>
        <v>51966.52</v>
      </c>
      <c r="E299" s="289">
        <f>data!BP61</f>
        <v>0</v>
      </c>
      <c r="F299" s="289">
        <f>data!BQ61</f>
        <v>0</v>
      </c>
      <c r="G299" s="289">
        <f>data!BR61</f>
        <v>167267.51999999999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308013</v>
      </c>
      <c r="D300" s="289">
        <f>data!BO62</f>
        <v>22145</v>
      </c>
      <c r="E300" s="289">
        <f>data!BP62</f>
        <v>0</v>
      </c>
      <c r="F300" s="289">
        <f>data!BQ62</f>
        <v>0</v>
      </c>
      <c r="G300" s="289">
        <f>data!BR62</f>
        <v>42144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40432.080000000002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2488.08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9750.26</v>
      </c>
      <c r="D302" s="289">
        <f>data!BO64</f>
        <v>1247.72</v>
      </c>
      <c r="E302" s="289">
        <f>data!BP64</f>
        <v>0</v>
      </c>
      <c r="F302" s="289">
        <f>data!BQ64</f>
        <v>0</v>
      </c>
      <c r="G302" s="289">
        <f>data!BR64</f>
        <v>3128.17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525</v>
      </c>
      <c r="C303" s="289">
        <f>data!BN65</f>
        <v>163.34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526</v>
      </c>
      <c r="C304" s="289">
        <f>data!BN66</f>
        <v>49019.57</v>
      </c>
      <c r="D304" s="289">
        <f>data!BO66</f>
        <v>0</v>
      </c>
      <c r="E304" s="289">
        <f>data!BP66</f>
        <v>0</v>
      </c>
      <c r="F304" s="289">
        <f>data!BQ66</f>
        <v>0</v>
      </c>
      <c r="G304" s="289">
        <f>data!BR66</f>
        <v>36442.33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3397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5000</v>
      </c>
      <c r="H305" s="289">
        <f>data!BS67</f>
        <v>0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1010</v>
      </c>
      <c r="C306" s="289">
        <f>data!BN68</f>
        <v>-39662.400000000001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1011</v>
      </c>
      <c r="C307" s="289">
        <f>data!BN69</f>
        <v>388201.67</v>
      </c>
      <c r="D307" s="289">
        <f>data!BO69</f>
        <v>5761.36</v>
      </c>
      <c r="E307" s="289">
        <f>data!BP69</f>
        <v>0</v>
      </c>
      <c r="F307" s="289">
        <f>data!BQ69</f>
        <v>0</v>
      </c>
      <c r="G307" s="289">
        <f>data!BR69</f>
        <v>65543.17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1012</v>
      </c>
      <c r="C309" s="289">
        <f>data!BN85</f>
        <v>1415915.17</v>
      </c>
      <c r="D309" s="289">
        <f>data!BO85</f>
        <v>81120.599999999991</v>
      </c>
      <c r="E309" s="289">
        <f>data!BP85</f>
        <v>0</v>
      </c>
      <c r="F309" s="289">
        <f>data!BQ85</f>
        <v>0</v>
      </c>
      <c r="G309" s="289">
        <f>data!BR85</f>
        <v>322013.26999999996</v>
      </c>
      <c r="H309" s="289">
        <f>data!BS85</f>
        <v>0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1013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1014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1015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1016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1017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1018</v>
      </c>
      <c r="C316" s="305">
        <f>data!BN90</f>
        <v>7194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0</v>
      </c>
      <c r="H316" s="305">
        <f>data!BS90</f>
        <v>0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1019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1020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1021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1003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1055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LINCOLN COUNTY HOSPITAL DISTRICT # 3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1005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1054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1009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2.83</v>
      </c>
      <c r="E330" s="296">
        <f>data!BW60</f>
        <v>0</v>
      </c>
      <c r="F330" s="296">
        <f>data!BX60</f>
        <v>0</v>
      </c>
      <c r="G330" s="296">
        <f>data!BY60</f>
        <v>0</v>
      </c>
      <c r="H330" s="296">
        <f>data!BZ60</f>
        <v>0</v>
      </c>
      <c r="I330" s="296">
        <f>data!CA60</f>
        <v>0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138323.46</v>
      </c>
      <c r="E331" s="308">
        <f>data!BW61</f>
        <v>0</v>
      </c>
      <c r="F331" s="308">
        <f>data!BX61</f>
        <v>0</v>
      </c>
      <c r="G331" s="308">
        <f>data!BY61</f>
        <v>0</v>
      </c>
      <c r="H331" s="308">
        <f>data!BZ61</f>
        <v>0</v>
      </c>
      <c r="I331" s="308">
        <f>data!CA61</f>
        <v>0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42603</v>
      </c>
      <c r="E332" s="308">
        <f>data!BW62</f>
        <v>0</v>
      </c>
      <c r="F332" s="308">
        <f>data!BX62</f>
        <v>0</v>
      </c>
      <c r="G332" s="308">
        <f>data!BY62</f>
        <v>0</v>
      </c>
      <c r="H332" s="308">
        <f>data!BZ62</f>
        <v>0</v>
      </c>
      <c r="I332" s="308">
        <f>data!CA62</f>
        <v>0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50755.37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32.270000000000003</v>
      </c>
      <c r="E334" s="308">
        <f>data!BW64</f>
        <v>0</v>
      </c>
      <c r="F334" s="308">
        <f>data!BX64</f>
        <v>0</v>
      </c>
      <c r="G334" s="308">
        <f>data!BY64</f>
        <v>0</v>
      </c>
      <c r="H334" s="308">
        <f>data!BZ64</f>
        <v>0</v>
      </c>
      <c r="I334" s="308">
        <f>data!CA64</f>
        <v>0</v>
      </c>
    </row>
    <row r="335" spans="1:9" customFormat="1" ht="20.149999999999999" customHeight="1" x14ac:dyDescent="0.35">
      <c r="A335" s="288">
        <v>10</v>
      </c>
      <c r="B335" s="289" t="s">
        <v>525</v>
      </c>
      <c r="C335" s="308">
        <f>data!BU65</f>
        <v>0</v>
      </c>
      <c r="D335" s="308">
        <f>data!BV65</f>
        <v>1110.3800000000001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526</v>
      </c>
      <c r="C336" s="308">
        <f>data!BU66</f>
        <v>0</v>
      </c>
      <c r="D336" s="308">
        <f>data!BV66</f>
        <v>23826.99</v>
      </c>
      <c r="E336" s="308">
        <f>data!BW66</f>
        <v>0</v>
      </c>
      <c r="F336" s="308">
        <f>data!BX66</f>
        <v>0</v>
      </c>
      <c r="G336" s="308">
        <f>data!BY66</f>
        <v>0</v>
      </c>
      <c r="H336" s="308">
        <f>data!BZ66</f>
        <v>0</v>
      </c>
      <c r="I336" s="308">
        <f>data!CA66</f>
        <v>0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0</v>
      </c>
      <c r="E337" s="308">
        <f>data!BW67</f>
        <v>0</v>
      </c>
      <c r="F337" s="308">
        <f>data!BX67</f>
        <v>0</v>
      </c>
      <c r="G337" s="308">
        <f>data!BY67</f>
        <v>0</v>
      </c>
      <c r="H337" s="308">
        <f>data!BZ67</f>
        <v>0</v>
      </c>
      <c r="I337" s="308">
        <f>data!CA67</f>
        <v>0</v>
      </c>
    </row>
    <row r="338" spans="1:9" customFormat="1" ht="20.149999999999999" customHeight="1" x14ac:dyDescent="0.35">
      <c r="A338" s="288">
        <v>13</v>
      </c>
      <c r="B338" s="289" t="s">
        <v>1010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1011</v>
      </c>
      <c r="C339" s="308">
        <f>data!BU69</f>
        <v>0</v>
      </c>
      <c r="D339" s="308">
        <f>data!BV69</f>
        <v>354</v>
      </c>
      <c r="E339" s="308">
        <f>data!BW69</f>
        <v>0</v>
      </c>
      <c r="F339" s="308">
        <f>data!BX69</f>
        <v>0</v>
      </c>
      <c r="G339" s="308">
        <f>data!BY69</f>
        <v>0</v>
      </c>
      <c r="H339" s="308">
        <f>data!BZ69</f>
        <v>0</v>
      </c>
      <c r="I339" s="308">
        <f>data!CA69</f>
        <v>0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1012</v>
      </c>
      <c r="C341" s="289">
        <f>data!BU85</f>
        <v>0</v>
      </c>
      <c r="D341" s="289">
        <f>data!BV85</f>
        <v>257005.46999999997</v>
      </c>
      <c r="E341" s="289">
        <f>data!BW85</f>
        <v>0</v>
      </c>
      <c r="F341" s="289">
        <f>data!BX85</f>
        <v>0</v>
      </c>
      <c r="G341" s="289">
        <f>data!BY85</f>
        <v>0</v>
      </c>
      <c r="H341" s="289">
        <f>data!BZ85</f>
        <v>0</v>
      </c>
      <c r="I341" s="289">
        <f>data!CA85</f>
        <v>0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1013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1014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1015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1016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1017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1018</v>
      </c>
      <c r="C348" s="305">
        <f>data!BU90</f>
        <v>0</v>
      </c>
      <c r="D348" s="305">
        <f>data!BV90</f>
        <v>366</v>
      </c>
      <c r="E348" s="305">
        <f>data!BW90</f>
        <v>0</v>
      </c>
      <c r="F348" s="305">
        <f>data!BX90</f>
        <v>0</v>
      </c>
      <c r="G348" s="305">
        <f>data!BY90</f>
        <v>72</v>
      </c>
      <c r="H348" s="305">
        <f>data!BZ90</f>
        <v>0</v>
      </c>
      <c r="I348" s="305">
        <f>data!CA90</f>
        <v>0</v>
      </c>
    </row>
    <row r="349" spans="1:9" customFormat="1" ht="20.149999999999999" customHeight="1" x14ac:dyDescent="0.35">
      <c r="A349" s="288">
        <v>23</v>
      </c>
      <c r="B349" s="289" t="s">
        <v>1019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1020</v>
      </c>
      <c r="C350" s="305">
        <f>data!BU92</f>
        <v>0</v>
      </c>
      <c r="D350" s="305">
        <f>data!BV92</f>
        <v>0</v>
      </c>
      <c r="E350" s="305">
        <f>data!BW92</f>
        <v>0</v>
      </c>
      <c r="F350" s="305">
        <f>data!BX92</f>
        <v>0</v>
      </c>
      <c r="G350" s="305">
        <f>data!BY92</f>
        <v>0</v>
      </c>
      <c r="H350" s="305">
        <f>data!BZ92</f>
        <v>0</v>
      </c>
      <c r="I350" s="305">
        <f>data!CA92</f>
        <v>0</v>
      </c>
    </row>
    <row r="351" spans="1:9" customFormat="1" ht="20.149999999999999" customHeight="1" x14ac:dyDescent="0.35">
      <c r="A351" s="288">
        <v>25</v>
      </c>
      <c r="B351" s="289" t="s">
        <v>1021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1003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1056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LINCOLN COUNTY HOSPITAL DISTRICT # 3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1005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1057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1009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</v>
      </c>
      <c r="D362" s="296">
        <f>data!CC60</f>
        <v>0</v>
      </c>
      <c r="E362" s="311"/>
      <c r="F362" s="299"/>
      <c r="G362" s="299"/>
      <c r="H362" s="299"/>
      <c r="I362" s="312">
        <f>data!CE60</f>
        <v>178.64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0</v>
      </c>
      <c r="D363" s="308">
        <f>data!CC61</f>
        <v>0.01</v>
      </c>
      <c r="E363" s="313"/>
      <c r="F363" s="313"/>
      <c r="G363" s="313"/>
      <c r="H363" s="313"/>
      <c r="I363" s="308">
        <f>data!CE61</f>
        <v>16671935.139999997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0</v>
      </c>
      <c r="D364" s="308">
        <f>data!CC62</f>
        <v>19915</v>
      </c>
      <c r="E364" s="313"/>
      <c r="F364" s="313"/>
      <c r="G364" s="313"/>
      <c r="H364" s="313"/>
      <c r="I364" s="308">
        <f>data!CE62</f>
        <v>3720789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760721.0199999999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4549.72</v>
      </c>
      <c r="D366" s="308">
        <f>data!CC64</f>
        <v>1657.74</v>
      </c>
      <c r="E366" s="313"/>
      <c r="F366" s="313"/>
      <c r="G366" s="313"/>
      <c r="H366" s="313"/>
      <c r="I366" s="308">
        <f>data!CE64</f>
        <v>2577144.8799999994</v>
      </c>
    </row>
    <row r="367" spans="1:9" customFormat="1" ht="20.149999999999999" customHeight="1" x14ac:dyDescent="0.35">
      <c r="A367" s="288">
        <v>10</v>
      </c>
      <c r="B367" s="289" t="s">
        <v>525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511136.09000000014</v>
      </c>
    </row>
    <row r="368" spans="1:9" customFormat="1" ht="20.149999999999999" customHeight="1" x14ac:dyDescent="0.35">
      <c r="A368" s="288">
        <v>11</v>
      </c>
      <c r="B368" s="289" t="s">
        <v>526</v>
      </c>
      <c r="C368" s="308">
        <f>data!CB66</f>
        <v>27264.9</v>
      </c>
      <c r="D368" s="308">
        <f>data!CC66</f>
        <v>0</v>
      </c>
      <c r="E368" s="313"/>
      <c r="F368" s="313"/>
      <c r="G368" s="313"/>
      <c r="H368" s="313"/>
      <c r="I368" s="308">
        <f>data!CE66</f>
        <v>1729134.2299999997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0</v>
      </c>
      <c r="D369" s="308">
        <f>data!CC67</f>
        <v>459497</v>
      </c>
      <c r="E369" s="313"/>
      <c r="F369" s="313"/>
      <c r="G369" s="313"/>
      <c r="H369" s="313"/>
      <c r="I369" s="308">
        <f>data!CE67</f>
        <v>1599765</v>
      </c>
    </row>
    <row r="370" spans="1:9" customFormat="1" ht="20.149999999999999" customHeight="1" x14ac:dyDescent="0.35">
      <c r="A370" s="288">
        <v>13</v>
      </c>
      <c r="B370" s="289" t="s">
        <v>1010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84582.039999999979</v>
      </c>
    </row>
    <row r="371" spans="1:9" customFormat="1" ht="20.149999999999999" customHeight="1" x14ac:dyDescent="0.35">
      <c r="A371" s="288">
        <v>14</v>
      </c>
      <c r="B371" s="289" t="s">
        <v>1011</v>
      </c>
      <c r="C371" s="308">
        <f>data!CB69</f>
        <v>2000</v>
      </c>
      <c r="D371" s="308">
        <f>data!CC69</f>
        <v>0</v>
      </c>
      <c r="E371" s="308">
        <f>data!CD69</f>
        <v>570266.96</v>
      </c>
      <c r="F371" s="313"/>
      <c r="G371" s="313"/>
      <c r="H371" s="313"/>
      <c r="I371" s="308">
        <f>data!CE69</f>
        <v>4028755.6900000004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49999999999999" customHeight="1" x14ac:dyDescent="0.35">
      <c r="A373" s="288">
        <v>16</v>
      </c>
      <c r="B373" s="297" t="s">
        <v>1012</v>
      </c>
      <c r="C373" s="308">
        <f>data!CB85</f>
        <v>33814.620000000003</v>
      </c>
      <c r="D373" s="308">
        <f>data!CC85</f>
        <v>481069.75</v>
      </c>
      <c r="E373" s="308">
        <f>data!CD85</f>
        <v>570266.96</v>
      </c>
      <c r="F373" s="313"/>
      <c r="G373" s="313"/>
      <c r="H373" s="313"/>
      <c r="I373" s="289">
        <f>data!CE85</f>
        <v>31683963.090000004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775894.48</v>
      </c>
    </row>
    <row r="375" spans="1:9" customFormat="1" ht="20.149999999999999" customHeight="1" x14ac:dyDescent="0.35">
      <c r="A375" s="288">
        <v>18</v>
      </c>
      <c r="B375" s="289" t="s">
        <v>1013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1014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5806507.9700000007</v>
      </c>
    </row>
    <row r="377" spans="1:9" customFormat="1" ht="20.149999999999999" customHeight="1" x14ac:dyDescent="0.35">
      <c r="A377" s="288">
        <v>20</v>
      </c>
      <c r="B377" s="297" t="s">
        <v>1015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30304770.140000004</v>
      </c>
    </row>
    <row r="378" spans="1:9" customFormat="1" ht="20.149999999999999" customHeight="1" x14ac:dyDescent="0.35">
      <c r="A378" s="288">
        <v>21</v>
      </c>
      <c r="B378" s="297" t="s">
        <v>1016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36111278.109999992</v>
      </c>
    </row>
    <row r="379" spans="1:9" customFormat="1" ht="20.149999999999999" customHeight="1" x14ac:dyDescent="0.35">
      <c r="A379" s="288" t="s">
        <v>1017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1018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62296</v>
      </c>
    </row>
    <row r="381" spans="1:9" customFormat="1" ht="20.149999999999999" customHeight="1" x14ac:dyDescent="0.35">
      <c r="A381" s="288">
        <v>23</v>
      </c>
      <c r="B381" s="289" t="s">
        <v>1019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0</v>
      </c>
    </row>
    <row r="382" spans="1:9" customFormat="1" ht="20.149999999999999" customHeight="1" x14ac:dyDescent="0.35">
      <c r="A382" s="288">
        <v>24</v>
      </c>
      <c r="B382" s="289" t="s">
        <v>1020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892</v>
      </c>
    </row>
    <row r="383" spans="1:9" customFormat="1" ht="20.149999999999999" customHeight="1" x14ac:dyDescent="0.35">
      <c r="A383" s="288">
        <v>25</v>
      </c>
      <c r="B383" s="289" t="s">
        <v>1021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12158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28.08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6" transitionEvaluation="1" transitionEntry="1" codeName="Sheet1">
    <tabColor rgb="FF92D050"/>
    <pageSetUpPr autoPageBreaks="0" fitToPage="1"/>
  </sheetPr>
  <dimension ref="A1:CF716"/>
  <sheetViews>
    <sheetView topLeftCell="A36" zoomScaleNormal="100" workbookViewId="0">
      <selection activeCell="C90" sqref="C90:CC9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3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3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3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3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35">
        <v>0</v>
      </c>
      <c r="D47" s="235">
        <v>0</v>
      </c>
      <c r="E47" s="235">
        <v>437920.08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292405.62</v>
      </c>
      <c r="M47" s="235">
        <v>0</v>
      </c>
      <c r="N47" s="235">
        <v>24059.279999999999</v>
      </c>
      <c r="O47" s="235">
        <v>0</v>
      </c>
      <c r="P47" s="235">
        <v>118259.59</v>
      </c>
      <c r="Q47" s="235">
        <v>0</v>
      </c>
      <c r="R47" s="235">
        <v>121102.72</v>
      </c>
      <c r="S47" s="235">
        <v>0</v>
      </c>
      <c r="T47" s="235">
        <v>0</v>
      </c>
      <c r="U47" s="235">
        <v>133881</v>
      </c>
      <c r="V47" s="235">
        <v>0</v>
      </c>
      <c r="W47" s="235">
        <v>0</v>
      </c>
      <c r="X47" s="235">
        <v>0</v>
      </c>
      <c r="Y47" s="235">
        <v>122248</v>
      </c>
      <c r="Z47" s="235">
        <v>0</v>
      </c>
      <c r="AA47" s="235">
        <v>0</v>
      </c>
      <c r="AB47" s="235">
        <v>66031.17</v>
      </c>
      <c r="AC47" s="235">
        <v>35261.279999999999</v>
      </c>
      <c r="AD47" s="235">
        <v>0</v>
      </c>
      <c r="AE47" s="235">
        <v>120509.29</v>
      </c>
      <c r="AF47" s="235">
        <v>0</v>
      </c>
      <c r="AG47" s="235">
        <v>104766.49</v>
      </c>
      <c r="AH47" s="235">
        <v>26326.31</v>
      </c>
      <c r="AI47" s="235">
        <v>0</v>
      </c>
      <c r="AJ47" s="235">
        <v>746987.79</v>
      </c>
      <c r="AK47" s="235">
        <v>18560.669999999998</v>
      </c>
      <c r="AL47" s="235">
        <v>13900.06</v>
      </c>
      <c r="AM47" s="235">
        <v>12993.77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112591.38</v>
      </c>
      <c r="AZ47" s="235">
        <v>0</v>
      </c>
      <c r="BA47" s="235">
        <v>41913</v>
      </c>
      <c r="BB47" s="235">
        <v>18509.53</v>
      </c>
      <c r="BC47" s="235">
        <v>0</v>
      </c>
      <c r="BD47" s="235">
        <v>39924.82</v>
      </c>
      <c r="BE47" s="235">
        <v>69559.37</v>
      </c>
      <c r="BF47" s="235">
        <v>65347.11</v>
      </c>
      <c r="BG47" s="235">
        <v>0</v>
      </c>
      <c r="BH47" s="235">
        <v>50060.89</v>
      </c>
      <c r="BI47" s="235">
        <v>16931.98</v>
      </c>
      <c r="BJ47" s="235">
        <v>72244.639999999999</v>
      </c>
      <c r="BK47" s="235">
        <v>143299.29999999999</v>
      </c>
      <c r="BL47" s="235">
        <v>137071.70000000001</v>
      </c>
      <c r="BM47" s="235">
        <v>0</v>
      </c>
      <c r="BN47" s="235">
        <v>443278.99</v>
      </c>
      <c r="BO47" s="235">
        <v>0</v>
      </c>
      <c r="BP47" s="235">
        <v>0</v>
      </c>
      <c r="BQ47" s="235">
        <v>0</v>
      </c>
      <c r="BR47" s="235">
        <v>40223.370000000003</v>
      </c>
      <c r="BS47" s="235">
        <v>0</v>
      </c>
      <c r="BT47" s="235">
        <v>0</v>
      </c>
      <c r="BU47" s="235">
        <v>0</v>
      </c>
      <c r="BV47" s="235">
        <v>50013.37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v>3696182.5700000003</v>
      </c>
    </row>
    <row r="48" spans="1:83" x14ac:dyDescent="0.35">
      <c r="A48" s="25" t="s">
        <v>232</v>
      </c>
      <c r="B48" s="234">
        <v>91582.69</v>
      </c>
      <c r="C48" s="25">
        <v>0</v>
      </c>
      <c r="D48" s="25">
        <v>0</v>
      </c>
      <c r="E48" s="25">
        <v>10232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6903</v>
      </c>
      <c r="M48" s="25">
        <v>0</v>
      </c>
      <c r="N48" s="25">
        <v>676</v>
      </c>
      <c r="O48" s="25">
        <v>0</v>
      </c>
      <c r="P48" s="25">
        <v>2687</v>
      </c>
      <c r="Q48" s="25">
        <v>0</v>
      </c>
      <c r="R48" s="25">
        <v>4770</v>
      </c>
      <c r="S48" s="25">
        <v>0</v>
      </c>
      <c r="T48" s="25">
        <v>0</v>
      </c>
      <c r="U48" s="25">
        <v>3663</v>
      </c>
      <c r="V48" s="25">
        <v>0</v>
      </c>
      <c r="W48" s="25">
        <v>0</v>
      </c>
      <c r="X48" s="25">
        <v>0</v>
      </c>
      <c r="Y48" s="25">
        <v>3474</v>
      </c>
      <c r="Z48" s="25">
        <v>0</v>
      </c>
      <c r="AA48" s="25">
        <v>0</v>
      </c>
      <c r="AB48" s="25">
        <v>1825</v>
      </c>
      <c r="AC48" s="25">
        <v>1009</v>
      </c>
      <c r="AD48" s="25">
        <v>0</v>
      </c>
      <c r="AE48" s="25">
        <v>3026</v>
      </c>
      <c r="AF48" s="25">
        <v>0</v>
      </c>
      <c r="AG48" s="25">
        <v>3564</v>
      </c>
      <c r="AH48" s="25">
        <v>837</v>
      </c>
      <c r="AI48" s="25">
        <v>0</v>
      </c>
      <c r="AJ48" s="25">
        <v>24960</v>
      </c>
      <c r="AK48" s="25">
        <v>515</v>
      </c>
      <c r="AL48" s="25">
        <v>379</v>
      </c>
      <c r="AM48" s="25">
        <v>276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2255</v>
      </c>
      <c r="AZ48" s="25">
        <v>0</v>
      </c>
      <c r="BA48" s="25">
        <v>807</v>
      </c>
      <c r="BB48" s="25">
        <v>502</v>
      </c>
      <c r="BC48" s="25">
        <v>0</v>
      </c>
      <c r="BD48" s="25">
        <v>807</v>
      </c>
      <c r="BE48" s="25">
        <v>1498</v>
      </c>
      <c r="BF48" s="25">
        <v>1487</v>
      </c>
      <c r="BG48" s="25">
        <v>0</v>
      </c>
      <c r="BH48" s="25">
        <v>1211</v>
      </c>
      <c r="BI48" s="25">
        <v>333</v>
      </c>
      <c r="BJ48" s="25">
        <v>1732</v>
      </c>
      <c r="BK48" s="25">
        <v>2928</v>
      </c>
      <c r="BL48" s="25">
        <v>3223</v>
      </c>
      <c r="BM48" s="25">
        <v>0</v>
      </c>
      <c r="BN48" s="25">
        <v>4115</v>
      </c>
      <c r="BO48" s="25">
        <v>0</v>
      </c>
      <c r="BP48" s="25">
        <v>0</v>
      </c>
      <c r="BQ48" s="25">
        <v>0</v>
      </c>
      <c r="BR48" s="25">
        <v>897</v>
      </c>
      <c r="BS48" s="25">
        <v>0</v>
      </c>
      <c r="BT48" s="25">
        <v>0</v>
      </c>
      <c r="BU48" s="25">
        <v>0</v>
      </c>
      <c r="BV48" s="25">
        <v>990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</row>
    <row r="49" spans="1:83" x14ac:dyDescent="0.35">
      <c r="A49" s="16" t="s">
        <v>233</v>
      </c>
      <c r="B49" s="25">
        <v>91582.69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0</v>
      </c>
      <c r="C51" s="235">
        <v>0</v>
      </c>
      <c r="D51" s="235">
        <v>0</v>
      </c>
      <c r="E51" s="235">
        <v>83865.070000000007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17605.810000000001</v>
      </c>
      <c r="M51" s="235">
        <v>0</v>
      </c>
      <c r="N51" s="235">
        <v>0</v>
      </c>
      <c r="O51" s="235">
        <v>0</v>
      </c>
      <c r="P51" s="235">
        <v>58837.55</v>
      </c>
      <c r="Q51" s="235">
        <v>0</v>
      </c>
      <c r="R51" s="235">
        <v>2304.58</v>
      </c>
      <c r="S51" s="235">
        <v>0</v>
      </c>
      <c r="T51" s="235">
        <v>0</v>
      </c>
      <c r="U51" s="235">
        <v>29366.23</v>
      </c>
      <c r="V51" s="235">
        <v>0</v>
      </c>
      <c r="W51" s="235">
        <v>0</v>
      </c>
      <c r="X51" s="235">
        <v>710.32</v>
      </c>
      <c r="Y51" s="235">
        <v>152585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1169.48</v>
      </c>
      <c r="AF51" s="235">
        <v>0</v>
      </c>
      <c r="AG51" s="235">
        <v>3255.58</v>
      </c>
      <c r="AH51" s="235">
        <v>14038.4</v>
      </c>
      <c r="AI51" s="235">
        <v>0</v>
      </c>
      <c r="AJ51" s="235">
        <v>16758.7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722.95</v>
      </c>
      <c r="AZ51" s="235">
        <v>0</v>
      </c>
      <c r="BA51" s="235">
        <v>819.31</v>
      </c>
      <c r="BB51" s="235">
        <v>0</v>
      </c>
      <c r="BC51" s="235">
        <v>0</v>
      </c>
      <c r="BD51" s="235">
        <v>0</v>
      </c>
      <c r="BE51" s="235">
        <v>17194.650000000001</v>
      </c>
      <c r="BF51" s="235">
        <v>1613.87</v>
      </c>
      <c r="BG51" s="235">
        <v>0</v>
      </c>
      <c r="BH51" s="235">
        <v>25306.880000000001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80359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506513.38000000006</v>
      </c>
    </row>
    <row r="52" spans="1:83" x14ac:dyDescent="0.35">
      <c r="A52" s="31" t="s">
        <v>235</v>
      </c>
      <c r="B52" s="234">
        <v>524044.72</v>
      </c>
      <c r="C52" s="25">
        <v>0</v>
      </c>
      <c r="D52" s="25">
        <v>0</v>
      </c>
      <c r="E52" s="25">
        <v>61313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78409</v>
      </c>
      <c r="M52" s="25">
        <v>0</v>
      </c>
      <c r="N52" s="25">
        <v>0</v>
      </c>
      <c r="O52" s="25">
        <v>0</v>
      </c>
      <c r="P52" s="25">
        <v>17914</v>
      </c>
      <c r="Q52" s="25">
        <v>0</v>
      </c>
      <c r="R52" s="25">
        <v>2873</v>
      </c>
      <c r="S52" s="25">
        <v>0</v>
      </c>
      <c r="T52" s="25">
        <v>0</v>
      </c>
      <c r="U52" s="25">
        <v>6729</v>
      </c>
      <c r="V52" s="25">
        <v>0</v>
      </c>
      <c r="W52" s="25">
        <v>0</v>
      </c>
      <c r="X52" s="25">
        <v>0</v>
      </c>
      <c r="Y52" s="25">
        <v>20033</v>
      </c>
      <c r="Z52" s="25">
        <v>0</v>
      </c>
      <c r="AA52" s="25">
        <v>0</v>
      </c>
      <c r="AB52" s="25">
        <v>4852</v>
      </c>
      <c r="AC52" s="25">
        <v>511</v>
      </c>
      <c r="AD52" s="25">
        <v>0</v>
      </c>
      <c r="AE52" s="25">
        <v>18705</v>
      </c>
      <c r="AF52" s="25">
        <v>0</v>
      </c>
      <c r="AG52" s="25">
        <v>7418</v>
      </c>
      <c r="AH52" s="25">
        <v>0</v>
      </c>
      <c r="AI52" s="25">
        <v>0</v>
      </c>
      <c r="AJ52" s="25">
        <v>82904</v>
      </c>
      <c r="AK52" s="25">
        <v>5452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47115</v>
      </c>
      <c r="AZ52" s="25">
        <v>0</v>
      </c>
      <c r="BA52" s="25">
        <v>10955</v>
      </c>
      <c r="BB52" s="25">
        <v>1634</v>
      </c>
      <c r="BC52" s="25">
        <v>0</v>
      </c>
      <c r="BD52" s="25">
        <v>8555</v>
      </c>
      <c r="BE52" s="25">
        <v>37807</v>
      </c>
      <c r="BF52" s="25">
        <v>13419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91854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4673</v>
      </c>
      <c r="BW52" s="25">
        <v>0</v>
      </c>
      <c r="BX52" s="25">
        <v>0</v>
      </c>
      <c r="BY52" s="25">
        <v>919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</row>
    <row r="53" spans="1:83" x14ac:dyDescent="0.35">
      <c r="A53" s="16" t="s">
        <v>233</v>
      </c>
      <c r="B53" s="25">
        <v>524044.72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925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4388</v>
      </c>
      <c r="M59" s="235">
        <v>0</v>
      </c>
      <c r="N59" s="235">
        <v>0</v>
      </c>
      <c r="O59" s="235">
        <v>0</v>
      </c>
      <c r="P59" s="236">
        <v>17345</v>
      </c>
      <c r="Q59" s="237">
        <v>23670</v>
      </c>
      <c r="R59" s="237">
        <v>0</v>
      </c>
      <c r="S59" s="230">
        <v>0</v>
      </c>
      <c r="T59" s="230">
        <v>0</v>
      </c>
      <c r="U59" s="238">
        <v>57611</v>
      </c>
      <c r="V59" s="237">
        <v>350</v>
      </c>
      <c r="W59" s="237">
        <v>0</v>
      </c>
      <c r="X59" s="237">
        <v>2007</v>
      </c>
      <c r="Y59" s="237">
        <v>8813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8079</v>
      </c>
      <c r="AF59" s="237">
        <v>0</v>
      </c>
      <c r="AG59" s="237">
        <v>3726</v>
      </c>
      <c r="AH59" s="237">
        <v>418</v>
      </c>
      <c r="AI59" s="237">
        <v>0</v>
      </c>
      <c r="AJ59" s="237">
        <v>22390</v>
      </c>
      <c r="AK59" s="237">
        <v>1347</v>
      </c>
      <c r="AL59" s="237">
        <v>542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15674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41043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35">
      <c r="A60" s="207" t="s">
        <v>262</v>
      </c>
      <c r="B60" s="208"/>
      <c r="C60" s="239">
        <v>0</v>
      </c>
      <c r="D60" s="239">
        <v>0</v>
      </c>
      <c r="E60" s="239">
        <v>0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0</v>
      </c>
      <c r="T60" s="240">
        <v>0</v>
      </c>
      <c r="U60" s="241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0</v>
      </c>
      <c r="AF60" s="236">
        <v>0</v>
      </c>
      <c r="AG60" s="236">
        <v>0</v>
      </c>
      <c r="AH60" s="236">
        <v>0</v>
      </c>
      <c r="AI60" s="236">
        <v>0</v>
      </c>
      <c r="AJ60" s="236">
        <v>0</v>
      </c>
      <c r="AK60" s="236">
        <v>0</v>
      </c>
      <c r="AL60" s="236">
        <v>0</v>
      </c>
      <c r="AM60" s="236">
        <v>0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0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0</v>
      </c>
      <c r="BF60" s="240">
        <v>0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0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0</v>
      </c>
      <c r="BY60" s="240">
        <v>0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v>0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1758332.27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1186152.57</v>
      </c>
      <c r="M61" s="235">
        <v>0</v>
      </c>
      <c r="N61" s="235">
        <v>116216.88</v>
      </c>
      <c r="O61" s="235">
        <v>0</v>
      </c>
      <c r="P61" s="237">
        <v>461692.38</v>
      </c>
      <c r="Q61" s="237">
        <v>0</v>
      </c>
      <c r="R61" s="237">
        <v>819673.19</v>
      </c>
      <c r="S61" s="242">
        <v>0</v>
      </c>
      <c r="T61" s="242">
        <v>0</v>
      </c>
      <c r="U61" s="238">
        <v>629511.81000000006</v>
      </c>
      <c r="V61" s="237">
        <v>0</v>
      </c>
      <c r="W61" s="237">
        <v>0</v>
      </c>
      <c r="X61" s="237">
        <v>0</v>
      </c>
      <c r="Y61" s="237">
        <v>596949</v>
      </c>
      <c r="Z61" s="237">
        <v>0</v>
      </c>
      <c r="AA61" s="237">
        <v>0</v>
      </c>
      <c r="AB61" s="243">
        <v>313595.99</v>
      </c>
      <c r="AC61" s="237">
        <v>173337.9</v>
      </c>
      <c r="AD61" s="237">
        <v>0</v>
      </c>
      <c r="AE61" s="237">
        <v>519992.66</v>
      </c>
      <c r="AF61" s="237">
        <v>0</v>
      </c>
      <c r="AG61" s="237">
        <v>612501.43999999994</v>
      </c>
      <c r="AH61" s="237">
        <v>143832.15</v>
      </c>
      <c r="AI61" s="237">
        <v>0</v>
      </c>
      <c r="AJ61" s="237">
        <v>4289222.6100000003</v>
      </c>
      <c r="AK61" s="237">
        <v>88538.71</v>
      </c>
      <c r="AL61" s="237">
        <v>65207.01</v>
      </c>
      <c r="AM61" s="237">
        <v>47403.24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0</v>
      </c>
      <c r="AW61" s="242">
        <v>0</v>
      </c>
      <c r="AX61" s="242">
        <v>0</v>
      </c>
      <c r="AY61" s="237">
        <v>387555.1</v>
      </c>
      <c r="AZ61" s="237">
        <v>0</v>
      </c>
      <c r="BA61" s="242">
        <v>138751.60999999999</v>
      </c>
      <c r="BB61" s="242">
        <v>86293.3</v>
      </c>
      <c r="BC61" s="242">
        <v>0</v>
      </c>
      <c r="BD61" s="242">
        <v>138747.41</v>
      </c>
      <c r="BE61" s="237">
        <v>257388.13</v>
      </c>
      <c r="BF61" s="242">
        <v>255567.09</v>
      </c>
      <c r="BG61" s="242">
        <v>0</v>
      </c>
      <c r="BH61" s="242">
        <v>208126.17</v>
      </c>
      <c r="BI61" s="242">
        <v>57144.5</v>
      </c>
      <c r="BJ61" s="242">
        <v>297630.93</v>
      </c>
      <c r="BK61" s="242">
        <v>503118.47</v>
      </c>
      <c r="BL61" s="242">
        <v>553805.98</v>
      </c>
      <c r="BM61" s="242">
        <v>0</v>
      </c>
      <c r="BN61" s="242">
        <v>707209.86</v>
      </c>
      <c r="BO61" s="242">
        <v>0</v>
      </c>
      <c r="BP61" s="242">
        <v>0</v>
      </c>
      <c r="BQ61" s="242">
        <v>0</v>
      </c>
      <c r="BR61" s="242">
        <v>154100.95000000001</v>
      </c>
      <c r="BS61" s="242">
        <v>0</v>
      </c>
      <c r="BT61" s="242">
        <v>0</v>
      </c>
      <c r="BU61" s="242">
        <v>0</v>
      </c>
      <c r="BV61" s="242">
        <v>170186.86</v>
      </c>
      <c r="BW61" s="242">
        <v>0</v>
      </c>
      <c r="BX61" s="242">
        <v>0</v>
      </c>
      <c r="BY61" s="242">
        <v>0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v>15737786.170000002</v>
      </c>
    </row>
    <row r="62" spans="1:83" x14ac:dyDescent="0.35">
      <c r="A62" s="31" t="s">
        <v>11</v>
      </c>
      <c r="B62" s="16"/>
      <c r="C62" s="25">
        <v>0</v>
      </c>
      <c r="D62" s="25">
        <v>0</v>
      </c>
      <c r="E62" s="25">
        <v>448152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299309</v>
      </c>
      <c r="M62" s="25">
        <v>0</v>
      </c>
      <c r="N62" s="25">
        <v>24735</v>
      </c>
      <c r="O62" s="25">
        <v>0</v>
      </c>
      <c r="P62" s="25">
        <v>120947</v>
      </c>
      <c r="Q62" s="25">
        <v>0</v>
      </c>
      <c r="R62" s="25">
        <v>125873</v>
      </c>
      <c r="S62" s="25">
        <v>0</v>
      </c>
      <c r="T62" s="25">
        <v>0</v>
      </c>
      <c r="U62" s="25">
        <v>137544</v>
      </c>
      <c r="V62" s="25">
        <v>0</v>
      </c>
      <c r="W62" s="25">
        <v>0</v>
      </c>
      <c r="X62" s="25">
        <v>0</v>
      </c>
      <c r="Y62" s="25">
        <v>125722</v>
      </c>
      <c r="Z62" s="25">
        <v>0</v>
      </c>
      <c r="AA62" s="25">
        <v>0</v>
      </c>
      <c r="AB62" s="25">
        <v>67856</v>
      </c>
      <c r="AC62" s="25">
        <v>36270</v>
      </c>
      <c r="AD62" s="25">
        <v>0</v>
      </c>
      <c r="AE62" s="25">
        <v>123535</v>
      </c>
      <c r="AF62" s="25">
        <v>0</v>
      </c>
      <c r="AG62" s="25">
        <v>108330</v>
      </c>
      <c r="AH62" s="25">
        <v>27163</v>
      </c>
      <c r="AI62" s="25">
        <v>0</v>
      </c>
      <c r="AJ62" s="25">
        <v>771948</v>
      </c>
      <c r="AK62" s="25">
        <v>19076</v>
      </c>
      <c r="AL62" s="25">
        <v>14279</v>
      </c>
      <c r="AM62" s="25">
        <v>13270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114846</v>
      </c>
      <c r="AZ62" s="25">
        <v>0</v>
      </c>
      <c r="BA62" s="25">
        <v>42720</v>
      </c>
      <c r="BB62" s="25">
        <v>19012</v>
      </c>
      <c r="BC62" s="25">
        <v>0</v>
      </c>
      <c r="BD62" s="25">
        <v>40732</v>
      </c>
      <c r="BE62" s="25">
        <v>71057</v>
      </c>
      <c r="BF62" s="25">
        <v>66834</v>
      </c>
      <c r="BG62" s="25">
        <v>0</v>
      </c>
      <c r="BH62" s="25">
        <v>51272</v>
      </c>
      <c r="BI62" s="25">
        <v>17265</v>
      </c>
      <c r="BJ62" s="25">
        <v>73977</v>
      </c>
      <c r="BK62" s="25">
        <v>146227</v>
      </c>
      <c r="BL62" s="25">
        <v>140295</v>
      </c>
      <c r="BM62" s="25">
        <v>0</v>
      </c>
      <c r="BN62" s="25">
        <v>447394</v>
      </c>
      <c r="BO62" s="25">
        <v>0</v>
      </c>
      <c r="BP62" s="25">
        <v>0</v>
      </c>
      <c r="BQ62" s="25">
        <v>0</v>
      </c>
      <c r="BR62" s="25">
        <v>41120</v>
      </c>
      <c r="BS62" s="25">
        <v>0</v>
      </c>
      <c r="BT62" s="25">
        <v>0</v>
      </c>
      <c r="BU62" s="25">
        <v>0</v>
      </c>
      <c r="BV62" s="25">
        <v>51003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4" t="s">
        <v>248</v>
      </c>
      <c r="CE62" s="25">
        <v>3787763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0</v>
      </c>
      <c r="S63" s="242">
        <v>0</v>
      </c>
      <c r="T63" s="242">
        <v>0</v>
      </c>
      <c r="U63" s="238">
        <v>0</v>
      </c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43">
        <v>0</v>
      </c>
      <c r="AC63" s="237">
        <v>0</v>
      </c>
      <c r="AD63" s="237">
        <v>0</v>
      </c>
      <c r="AE63" s="237">
        <v>0</v>
      </c>
      <c r="AF63" s="237">
        <v>0</v>
      </c>
      <c r="AG63" s="237">
        <v>0</v>
      </c>
      <c r="AH63" s="237">
        <v>0</v>
      </c>
      <c r="AI63" s="237">
        <v>0</v>
      </c>
      <c r="AJ63" s="237">
        <v>0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0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68156.77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64543.75</v>
      </c>
      <c r="M64" s="235">
        <v>0</v>
      </c>
      <c r="N64" s="235">
        <v>8108.8</v>
      </c>
      <c r="O64" s="235">
        <v>0</v>
      </c>
      <c r="P64" s="237">
        <v>280545.12</v>
      </c>
      <c r="Q64" s="237">
        <v>0</v>
      </c>
      <c r="R64" s="237">
        <v>127677.02</v>
      </c>
      <c r="S64" s="242">
        <v>0</v>
      </c>
      <c r="T64" s="242">
        <v>0</v>
      </c>
      <c r="U64" s="238">
        <v>537659.1</v>
      </c>
      <c r="V64" s="237">
        <v>0</v>
      </c>
      <c r="W64" s="237">
        <v>0</v>
      </c>
      <c r="X64" s="237">
        <v>0</v>
      </c>
      <c r="Y64" s="237">
        <v>80945</v>
      </c>
      <c r="Z64" s="237">
        <v>0</v>
      </c>
      <c r="AA64" s="237">
        <v>0</v>
      </c>
      <c r="AB64" s="243">
        <v>988775.61</v>
      </c>
      <c r="AC64" s="237">
        <v>34527.11</v>
      </c>
      <c r="AD64" s="237">
        <v>0</v>
      </c>
      <c r="AE64" s="237">
        <v>9133.86</v>
      </c>
      <c r="AF64" s="237">
        <v>0</v>
      </c>
      <c r="AG64" s="237">
        <v>51721.1</v>
      </c>
      <c r="AH64" s="237">
        <v>12371.22</v>
      </c>
      <c r="AI64" s="237">
        <v>0</v>
      </c>
      <c r="AJ64" s="237">
        <v>198405.91</v>
      </c>
      <c r="AK64" s="237">
        <v>0</v>
      </c>
      <c r="AL64" s="237">
        <v>115.23</v>
      </c>
      <c r="AM64" s="237">
        <v>783.03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0</v>
      </c>
      <c r="AW64" s="242">
        <v>0</v>
      </c>
      <c r="AX64" s="242">
        <v>0</v>
      </c>
      <c r="AY64" s="237">
        <v>235221.16</v>
      </c>
      <c r="AZ64" s="237">
        <v>0</v>
      </c>
      <c r="BA64" s="242">
        <v>4221.9799999999996</v>
      </c>
      <c r="BB64" s="242">
        <v>0</v>
      </c>
      <c r="BC64" s="242">
        <v>0</v>
      </c>
      <c r="BD64" s="242">
        <v>205843.41</v>
      </c>
      <c r="BE64" s="237">
        <v>61276.01</v>
      </c>
      <c r="BF64" s="242">
        <v>25411.24</v>
      </c>
      <c r="BG64" s="242">
        <v>0</v>
      </c>
      <c r="BH64" s="242">
        <v>31041.87</v>
      </c>
      <c r="BI64" s="242">
        <v>0</v>
      </c>
      <c r="BJ64" s="242">
        <v>332.86</v>
      </c>
      <c r="BK64" s="242">
        <v>2876.6</v>
      </c>
      <c r="BL64" s="242">
        <v>7421.07</v>
      </c>
      <c r="BM64" s="242">
        <v>0</v>
      </c>
      <c r="BN64" s="242">
        <v>13467.94</v>
      </c>
      <c r="BO64" s="242">
        <v>0</v>
      </c>
      <c r="BP64" s="242">
        <v>0</v>
      </c>
      <c r="BQ64" s="242">
        <v>0</v>
      </c>
      <c r="BR64" s="242">
        <v>3283.6</v>
      </c>
      <c r="BS64" s="242">
        <v>0</v>
      </c>
      <c r="BT64" s="242">
        <v>0</v>
      </c>
      <c r="BU64" s="242">
        <v>0</v>
      </c>
      <c r="BV64" s="242">
        <v>1033.32</v>
      </c>
      <c r="BW64" s="242">
        <v>0</v>
      </c>
      <c r="BX64" s="242">
        <v>0</v>
      </c>
      <c r="BY64" s="242">
        <v>0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v>3054899.69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2665.25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563.05999999999995</v>
      </c>
      <c r="M65" s="235">
        <v>0</v>
      </c>
      <c r="N65" s="235">
        <v>3.7</v>
      </c>
      <c r="O65" s="235">
        <v>0</v>
      </c>
      <c r="P65" s="237">
        <v>2778.44</v>
      </c>
      <c r="Q65" s="237">
        <v>0</v>
      </c>
      <c r="R65" s="237">
        <v>1107.82</v>
      </c>
      <c r="S65" s="242">
        <v>0</v>
      </c>
      <c r="T65" s="242">
        <v>0</v>
      </c>
      <c r="U65" s="238">
        <v>1657.32</v>
      </c>
      <c r="V65" s="237">
        <v>0</v>
      </c>
      <c r="W65" s="237">
        <v>0</v>
      </c>
      <c r="X65" s="237">
        <v>0</v>
      </c>
      <c r="Y65" s="237">
        <v>478</v>
      </c>
      <c r="Z65" s="237">
        <v>0</v>
      </c>
      <c r="AA65" s="237">
        <v>0</v>
      </c>
      <c r="AB65" s="243">
        <v>5.76</v>
      </c>
      <c r="AC65" s="237">
        <v>6.34</v>
      </c>
      <c r="AD65" s="237">
        <v>0</v>
      </c>
      <c r="AE65" s="237">
        <v>9532.9599999999991</v>
      </c>
      <c r="AF65" s="237">
        <v>0</v>
      </c>
      <c r="AG65" s="237">
        <v>299.64</v>
      </c>
      <c r="AH65" s="237">
        <v>14341.06</v>
      </c>
      <c r="AI65" s="237">
        <v>0</v>
      </c>
      <c r="AJ65" s="237">
        <v>74515.100000000006</v>
      </c>
      <c r="AK65" s="237">
        <v>1.74</v>
      </c>
      <c r="AL65" s="237">
        <v>537.36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1.64</v>
      </c>
      <c r="AZ65" s="237">
        <v>0</v>
      </c>
      <c r="BA65" s="242">
        <v>4.6100000000000003</v>
      </c>
      <c r="BB65" s="242">
        <v>56.3</v>
      </c>
      <c r="BC65" s="242">
        <v>0</v>
      </c>
      <c r="BD65" s="242">
        <v>742.02</v>
      </c>
      <c r="BE65" s="237">
        <v>295662.5</v>
      </c>
      <c r="BF65" s="242">
        <v>113.77</v>
      </c>
      <c r="BG65" s="242">
        <v>0</v>
      </c>
      <c r="BH65" s="242">
        <v>90158.78</v>
      </c>
      <c r="BI65" s="242">
        <v>6.29</v>
      </c>
      <c r="BJ65" s="242">
        <v>35.36</v>
      </c>
      <c r="BK65" s="242">
        <v>8896.49</v>
      </c>
      <c r="BL65" s="242">
        <v>188.76</v>
      </c>
      <c r="BM65" s="242">
        <v>0</v>
      </c>
      <c r="BN65" s="242">
        <v>323.05</v>
      </c>
      <c r="BO65" s="242">
        <v>0</v>
      </c>
      <c r="BP65" s="242">
        <v>0</v>
      </c>
      <c r="BQ65" s="242">
        <v>0</v>
      </c>
      <c r="BR65" s="242">
        <v>319.70999999999998</v>
      </c>
      <c r="BS65" s="242">
        <v>0</v>
      </c>
      <c r="BT65" s="242">
        <v>0</v>
      </c>
      <c r="BU65" s="242">
        <v>0</v>
      </c>
      <c r="BV65" s="242">
        <v>898.23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505901.06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118267.82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3605.39</v>
      </c>
      <c r="M66" s="235">
        <v>0</v>
      </c>
      <c r="N66" s="235">
        <v>0</v>
      </c>
      <c r="O66" s="235">
        <v>0</v>
      </c>
      <c r="P66" s="237">
        <v>43312.61</v>
      </c>
      <c r="Q66" s="237">
        <v>0</v>
      </c>
      <c r="R66" s="237">
        <v>12803.6</v>
      </c>
      <c r="S66" s="242">
        <v>0</v>
      </c>
      <c r="T66" s="242">
        <v>0</v>
      </c>
      <c r="U66" s="238">
        <v>177821.47</v>
      </c>
      <c r="V66" s="237">
        <v>0</v>
      </c>
      <c r="W66" s="237">
        <v>270160.36</v>
      </c>
      <c r="X66" s="237">
        <v>116371.33</v>
      </c>
      <c r="Y66" s="237">
        <v>207320.1</v>
      </c>
      <c r="Z66" s="237">
        <v>0</v>
      </c>
      <c r="AA66" s="237">
        <v>0</v>
      </c>
      <c r="AB66" s="243">
        <v>62868.480000000003</v>
      </c>
      <c r="AC66" s="237">
        <v>89.1</v>
      </c>
      <c r="AD66" s="237">
        <v>0</v>
      </c>
      <c r="AE66" s="237">
        <v>12916.24</v>
      </c>
      <c r="AF66" s="237">
        <v>0</v>
      </c>
      <c r="AG66" s="237">
        <v>3061.05</v>
      </c>
      <c r="AH66" s="237">
        <v>2912.63</v>
      </c>
      <c r="AI66" s="237">
        <v>0</v>
      </c>
      <c r="AJ66" s="237">
        <v>139097.82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1922.98</v>
      </c>
      <c r="AZ66" s="237">
        <v>0</v>
      </c>
      <c r="BA66" s="242">
        <v>754.92</v>
      </c>
      <c r="BB66" s="242">
        <v>0</v>
      </c>
      <c r="BC66" s="242">
        <v>0</v>
      </c>
      <c r="BD66" s="242">
        <v>38.409999999999997</v>
      </c>
      <c r="BE66" s="237">
        <v>32816.21</v>
      </c>
      <c r="BF66" s="242">
        <v>808.24</v>
      </c>
      <c r="BG66" s="242">
        <v>0</v>
      </c>
      <c r="BH66" s="242">
        <v>542854.85</v>
      </c>
      <c r="BI66" s="242">
        <v>0</v>
      </c>
      <c r="BJ66" s="242">
        <v>23189.67</v>
      </c>
      <c r="BK66" s="242">
        <v>300962.23</v>
      </c>
      <c r="BL66" s="242">
        <v>135</v>
      </c>
      <c r="BM66" s="242">
        <v>0</v>
      </c>
      <c r="BN66" s="242">
        <v>35492.61</v>
      </c>
      <c r="BO66" s="242">
        <v>0</v>
      </c>
      <c r="BP66" s="242">
        <v>0</v>
      </c>
      <c r="BQ66" s="242">
        <v>0</v>
      </c>
      <c r="BR66" s="242">
        <v>63342.42</v>
      </c>
      <c r="BS66" s="242">
        <v>0</v>
      </c>
      <c r="BT66" s="242">
        <v>0</v>
      </c>
      <c r="BU66" s="242">
        <v>0</v>
      </c>
      <c r="BV66" s="242">
        <v>90965.14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v>2263890.6799999997</v>
      </c>
    </row>
    <row r="67" spans="1:83" x14ac:dyDescent="0.35">
      <c r="A67" s="31" t="s">
        <v>16</v>
      </c>
      <c r="B67" s="16"/>
      <c r="C67" s="25">
        <v>0</v>
      </c>
      <c r="D67" s="25">
        <v>0</v>
      </c>
      <c r="E67" s="25">
        <v>145178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96015</v>
      </c>
      <c r="M67" s="25">
        <v>0</v>
      </c>
      <c r="N67" s="25">
        <v>0</v>
      </c>
      <c r="O67" s="25">
        <v>0</v>
      </c>
      <c r="P67" s="25">
        <v>76752</v>
      </c>
      <c r="Q67" s="25">
        <v>0</v>
      </c>
      <c r="R67" s="25">
        <v>5178</v>
      </c>
      <c r="S67" s="25">
        <v>0</v>
      </c>
      <c r="T67" s="25">
        <v>0</v>
      </c>
      <c r="U67" s="25">
        <v>36095</v>
      </c>
      <c r="V67" s="25">
        <v>0</v>
      </c>
      <c r="W67" s="25">
        <v>0</v>
      </c>
      <c r="X67" s="25">
        <v>710</v>
      </c>
      <c r="Y67" s="25">
        <v>172618</v>
      </c>
      <c r="Z67" s="25">
        <v>0</v>
      </c>
      <c r="AA67" s="25">
        <v>0</v>
      </c>
      <c r="AB67" s="25">
        <v>4852</v>
      </c>
      <c r="AC67" s="25">
        <v>511</v>
      </c>
      <c r="AD67" s="25">
        <v>0</v>
      </c>
      <c r="AE67" s="25">
        <v>19874</v>
      </c>
      <c r="AF67" s="25">
        <v>0</v>
      </c>
      <c r="AG67" s="25">
        <v>10674</v>
      </c>
      <c r="AH67" s="25">
        <v>14038</v>
      </c>
      <c r="AI67" s="25">
        <v>0</v>
      </c>
      <c r="AJ67" s="25">
        <v>99663</v>
      </c>
      <c r="AK67" s="25">
        <v>5452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47838</v>
      </c>
      <c r="AZ67" s="25">
        <v>0</v>
      </c>
      <c r="BA67" s="25">
        <v>11774</v>
      </c>
      <c r="BB67" s="25">
        <v>1634</v>
      </c>
      <c r="BC67" s="25">
        <v>0</v>
      </c>
      <c r="BD67" s="25">
        <v>8555</v>
      </c>
      <c r="BE67" s="25">
        <v>55002</v>
      </c>
      <c r="BF67" s="25">
        <v>15033</v>
      </c>
      <c r="BG67" s="25">
        <v>0</v>
      </c>
      <c r="BH67" s="25">
        <v>25307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172213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4673</v>
      </c>
      <c r="BW67" s="25">
        <v>0</v>
      </c>
      <c r="BX67" s="25">
        <v>0</v>
      </c>
      <c r="BY67" s="25">
        <v>919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1030558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23084.67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12798.99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12454.56</v>
      </c>
      <c r="S68" s="242">
        <v>0</v>
      </c>
      <c r="T68" s="242">
        <v>0</v>
      </c>
      <c r="U68" s="238">
        <v>3200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3175.2</v>
      </c>
      <c r="AC68" s="237">
        <v>8444.16</v>
      </c>
      <c r="AD68" s="237">
        <v>0</v>
      </c>
      <c r="AE68" s="237">
        <v>25200</v>
      </c>
      <c r="AF68" s="237">
        <v>0</v>
      </c>
      <c r="AG68" s="237">
        <v>6531.84</v>
      </c>
      <c r="AH68" s="237">
        <v>0</v>
      </c>
      <c r="AI68" s="237">
        <v>0</v>
      </c>
      <c r="AJ68" s="237">
        <v>6175.77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1162.49</v>
      </c>
      <c r="BF68" s="242">
        <v>0</v>
      </c>
      <c r="BG68" s="242">
        <v>0</v>
      </c>
      <c r="BH68" s="242">
        <v>4325.8900000000003</v>
      </c>
      <c r="BI68" s="242">
        <v>0</v>
      </c>
      <c r="BJ68" s="242">
        <v>0</v>
      </c>
      <c r="BK68" s="242">
        <v>14569.89</v>
      </c>
      <c r="BL68" s="242">
        <v>0</v>
      </c>
      <c r="BM68" s="242">
        <v>0</v>
      </c>
      <c r="BN68" s="242">
        <v>-84194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2038.5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38967.959999999992</v>
      </c>
    </row>
    <row r="69" spans="1:83" x14ac:dyDescent="0.35">
      <c r="A69" s="31" t="s">
        <v>269</v>
      </c>
      <c r="B69" s="16"/>
      <c r="C69" s="25">
        <v>0</v>
      </c>
      <c r="D69" s="25">
        <v>0</v>
      </c>
      <c r="E69" s="25">
        <v>1093568.7100000002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232387.3</v>
      </c>
      <c r="M69" s="25">
        <v>0</v>
      </c>
      <c r="N69" s="25">
        <v>0</v>
      </c>
      <c r="O69" s="25">
        <v>0</v>
      </c>
      <c r="P69" s="25">
        <v>1076.3900000000003</v>
      </c>
      <c r="Q69" s="25">
        <v>0</v>
      </c>
      <c r="R69" s="25">
        <v>80888.350000000006</v>
      </c>
      <c r="S69" s="25">
        <v>0</v>
      </c>
      <c r="T69" s="25">
        <v>0</v>
      </c>
      <c r="U69" s="25">
        <v>161560.45000000001</v>
      </c>
      <c r="V69" s="25">
        <v>0</v>
      </c>
      <c r="W69" s="25">
        <v>0</v>
      </c>
      <c r="X69" s="25">
        <v>36064.43</v>
      </c>
      <c r="Y69" s="25">
        <v>78866</v>
      </c>
      <c r="Z69" s="25">
        <v>0</v>
      </c>
      <c r="AA69" s="25">
        <v>0</v>
      </c>
      <c r="AB69" s="25">
        <v>3464.12</v>
      </c>
      <c r="AC69" s="25">
        <v>1787.91</v>
      </c>
      <c r="AD69" s="25">
        <v>0</v>
      </c>
      <c r="AE69" s="25">
        <v>10357.040000000001</v>
      </c>
      <c r="AF69" s="25">
        <v>0</v>
      </c>
      <c r="AG69" s="25">
        <v>903134.03</v>
      </c>
      <c r="AH69" s="25">
        <v>21534.590000000004</v>
      </c>
      <c r="AI69" s="25">
        <v>0</v>
      </c>
      <c r="AJ69" s="25">
        <v>80821.84</v>
      </c>
      <c r="AK69" s="25">
        <v>237.74</v>
      </c>
      <c r="AL69" s="25">
        <v>0</v>
      </c>
      <c r="AM69" s="25">
        <v>10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1426.8</v>
      </c>
      <c r="AZ69" s="25">
        <v>0</v>
      </c>
      <c r="BA69" s="25">
        <v>754.92</v>
      </c>
      <c r="BB69" s="25">
        <v>0</v>
      </c>
      <c r="BC69" s="25">
        <v>0</v>
      </c>
      <c r="BD69" s="25">
        <v>4258.8599999999997</v>
      </c>
      <c r="BE69" s="25">
        <v>62783.740000000005</v>
      </c>
      <c r="BF69" s="25">
        <v>35.1</v>
      </c>
      <c r="BG69" s="25">
        <v>0</v>
      </c>
      <c r="BH69" s="25">
        <v>4044.76</v>
      </c>
      <c r="BI69" s="25">
        <v>6985.28</v>
      </c>
      <c r="BJ69" s="25">
        <v>100618.76</v>
      </c>
      <c r="BK69" s="25">
        <v>9034.34</v>
      </c>
      <c r="BL69" s="25">
        <v>97.37</v>
      </c>
      <c r="BM69" s="25">
        <v>0</v>
      </c>
      <c r="BN69" s="25">
        <v>689906.23</v>
      </c>
      <c r="BO69" s="25">
        <v>0</v>
      </c>
      <c r="BP69" s="25">
        <v>0</v>
      </c>
      <c r="BQ69" s="25">
        <v>0</v>
      </c>
      <c r="BR69" s="25">
        <v>71997.48</v>
      </c>
      <c r="BS69" s="25">
        <v>0</v>
      </c>
      <c r="BT69" s="25">
        <v>0</v>
      </c>
      <c r="BU69" s="25">
        <v>0</v>
      </c>
      <c r="BV69" s="25">
        <v>72965.66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3730668.2000000007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1033919.38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231391.85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77463.360000000001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901290.03</v>
      </c>
      <c r="AH71" s="244">
        <v>0</v>
      </c>
      <c r="AI71" s="244">
        <v>0</v>
      </c>
      <c r="AJ71" s="244">
        <v>546.38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v>2244611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8844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230486.52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v>239330.52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0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91724.479999999996</v>
      </c>
      <c r="BK75" s="244">
        <v>0</v>
      </c>
      <c r="BL75" s="244">
        <v>0</v>
      </c>
      <c r="BM75" s="244">
        <v>0</v>
      </c>
      <c r="BN75" s="244">
        <v>22897.08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114621.56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0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953.98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7313.65</v>
      </c>
      <c r="Y77" s="244">
        <v>4029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1033.25</v>
      </c>
      <c r="AF77" s="244">
        <v>0</v>
      </c>
      <c r="AG77" s="244">
        <v>0</v>
      </c>
      <c r="AH77" s="244">
        <v>11894.58</v>
      </c>
      <c r="AI77" s="244">
        <v>0</v>
      </c>
      <c r="AJ77" s="244">
        <v>279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1009.8</v>
      </c>
      <c r="AZ77" s="244">
        <v>0</v>
      </c>
      <c r="BA77" s="244">
        <v>754.92</v>
      </c>
      <c r="BB77" s="244">
        <v>0</v>
      </c>
      <c r="BC77" s="244">
        <v>0</v>
      </c>
      <c r="BD77" s="244">
        <v>0</v>
      </c>
      <c r="BE77" s="244">
        <v>59236.4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86504.58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0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49903.74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385.62</v>
      </c>
      <c r="M80" s="244">
        <v>0</v>
      </c>
      <c r="N80" s="244">
        <v>0</v>
      </c>
      <c r="O80" s="244">
        <v>0</v>
      </c>
      <c r="P80" s="244">
        <v>5335</v>
      </c>
      <c r="Q80" s="244">
        <v>0</v>
      </c>
      <c r="R80" s="244">
        <v>449.99</v>
      </c>
      <c r="S80" s="244">
        <v>0</v>
      </c>
      <c r="T80" s="244">
        <v>0</v>
      </c>
      <c r="U80" s="244">
        <v>292.38</v>
      </c>
      <c r="V80" s="244">
        <v>0</v>
      </c>
      <c r="W80" s="244">
        <v>0</v>
      </c>
      <c r="X80" s="244">
        <v>0</v>
      </c>
      <c r="Y80" s="244">
        <v>5826</v>
      </c>
      <c r="Z80" s="244">
        <v>0</v>
      </c>
      <c r="AA80" s="244">
        <v>0</v>
      </c>
      <c r="AB80" s="244">
        <v>719.12</v>
      </c>
      <c r="AC80" s="244">
        <v>310.72000000000003</v>
      </c>
      <c r="AD80" s="244">
        <v>0</v>
      </c>
      <c r="AE80" s="244">
        <v>2828.51</v>
      </c>
      <c r="AF80" s="244">
        <v>0</v>
      </c>
      <c r="AG80" s="244">
        <v>1172.5999999999999</v>
      </c>
      <c r="AH80" s="244">
        <v>790.61</v>
      </c>
      <c r="AI80" s="244">
        <v>0</v>
      </c>
      <c r="AJ80" s="244">
        <v>39608.36</v>
      </c>
      <c r="AK80" s="244">
        <v>237.74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2474.62</v>
      </c>
      <c r="BF80" s="244">
        <v>35.1</v>
      </c>
      <c r="BG80" s="244">
        <v>0</v>
      </c>
      <c r="BH80" s="244">
        <v>866.32</v>
      </c>
      <c r="BI80" s="244">
        <v>684</v>
      </c>
      <c r="BJ80" s="244">
        <v>8877.07</v>
      </c>
      <c r="BK80" s="244">
        <v>8545.43</v>
      </c>
      <c r="BL80" s="244">
        <v>0</v>
      </c>
      <c r="BM80" s="244">
        <v>0</v>
      </c>
      <c r="BN80" s="244">
        <v>123442.63</v>
      </c>
      <c r="BO80" s="244">
        <v>0</v>
      </c>
      <c r="BP80" s="244">
        <v>0</v>
      </c>
      <c r="BQ80" s="244">
        <v>0</v>
      </c>
      <c r="BR80" s="244">
        <v>2993.79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v>255779.35000000003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136014.91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v>136014.91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8791.61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609.83000000000004</v>
      </c>
      <c r="M83" s="235">
        <v>0</v>
      </c>
      <c r="N83" s="235">
        <v>0</v>
      </c>
      <c r="O83" s="235">
        <v>0</v>
      </c>
      <c r="P83" s="237">
        <v>-4258.6099999999997</v>
      </c>
      <c r="Q83" s="237">
        <v>0</v>
      </c>
      <c r="R83" s="238">
        <v>2975</v>
      </c>
      <c r="S83" s="237">
        <v>0</v>
      </c>
      <c r="T83" s="235">
        <v>0</v>
      </c>
      <c r="U83" s="237">
        <v>161268.07</v>
      </c>
      <c r="V83" s="237">
        <v>0</v>
      </c>
      <c r="W83" s="235">
        <v>0</v>
      </c>
      <c r="X83" s="237">
        <v>28750.78</v>
      </c>
      <c r="Y83" s="237">
        <v>69011</v>
      </c>
      <c r="Z83" s="237">
        <v>0</v>
      </c>
      <c r="AA83" s="237">
        <v>0</v>
      </c>
      <c r="AB83" s="237">
        <v>2745</v>
      </c>
      <c r="AC83" s="237">
        <v>1477.19</v>
      </c>
      <c r="AD83" s="237">
        <v>0</v>
      </c>
      <c r="AE83" s="237">
        <v>6495.28</v>
      </c>
      <c r="AF83" s="237">
        <v>0</v>
      </c>
      <c r="AG83" s="237">
        <v>671.4</v>
      </c>
      <c r="AH83" s="237">
        <v>5.4</v>
      </c>
      <c r="AI83" s="237">
        <v>0</v>
      </c>
      <c r="AJ83" s="237">
        <v>40388.1</v>
      </c>
      <c r="AK83" s="237">
        <v>0</v>
      </c>
      <c r="AL83" s="237">
        <v>0</v>
      </c>
      <c r="AM83" s="237">
        <v>10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417</v>
      </c>
      <c r="AZ83" s="237">
        <v>0</v>
      </c>
      <c r="BA83" s="237">
        <v>0</v>
      </c>
      <c r="BB83" s="237">
        <v>0</v>
      </c>
      <c r="BC83" s="237">
        <v>0</v>
      </c>
      <c r="BD83" s="237">
        <v>4258.8599999999997</v>
      </c>
      <c r="BE83" s="237">
        <v>1072.72</v>
      </c>
      <c r="BF83" s="237">
        <v>0</v>
      </c>
      <c r="BG83" s="237">
        <v>0</v>
      </c>
      <c r="BH83" s="238">
        <v>3178.44</v>
      </c>
      <c r="BI83" s="237">
        <v>6301.28</v>
      </c>
      <c r="BJ83" s="237">
        <v>17.21</v>
      </c>
      <c r="BK83" s="237">
        <v>488.91</v>
      </c>
      <c r="BL83" s="237">
        <v>97.37</v>
      </c>
      <c r="BM83" s="237">
        <v>0</v>
      </c>
      <c r="BN83" s="237">
        <v>177065.09000000003</v>
      </c>
      <c r="BO83" s="237">
        <v>0</v>
      </c>
      <c r="BP83" s="237">
        <v>0</v>
      </c>
      <c r="BQ83" s="237">
        <v>0</v>
      </c>
      <c r="BR83" s="237">
        <v>69003.69</v>
      </c>
      <c r="BS83" s="237">
        <v>0</v>
      </c>
      <c r="BT83" s="237">
        <v>0</v>
      </c>
      <c r="BU83" s="237">
        <v>0</v>
      </c>
      <c r="BV83" s="237">
        <v>72965.66</v>
      </c>
      <c r="BW83" s="237">
        <v>0</v>
      </c>
      <c r="BX83" s="237">
        <v>0</v>
      </c>
      <c r="BY83" s="237">
        <v>0</v>
      </c>
      <c r="BZ83" s="237">
        <v>0</v>
      </c>
      <c r="CA83" s="237">
        <v>0</v>
      </c>
      <c r="CB83" s="237">
        <v>0</v>
      </c>
      <c r="CC83" s="237">
        <v>0</v>
      </c>
      <c r="CD83" s="244">
        <v>0</v>
      </c>
      <c r="CE83" s="25">
        <v>653806.28000000014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v>0</v>
      </c>
    </row>
    <row r="85" spans="1:84" x14ac:dyDescent="0.35">
      <c r="A85" s="31" t="s">
        <v>285</v>
      </c>
      <c r="B85" s="25"/>
      <c r="C85" s="25">
        <v>0</v>
      </c>
      <c r="D85" s="25">
        <v>0</v>
      </c>
      <c r="E85" s="25">
        <v>3657405.49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1895375.06</v>
      </c>
      <c r="M85" s="25">
        <v>0</v>
      </c>
      <c r="N85" s="25">
        <v>149064.38</v>
      </c>
      <c r="O85" s="25">
        <v>0</v>
      </c>
      <c r="P85" s="25">
        <v>987103.94</v>
      </c>
      <c r="Q85" s="25">
        <v>0</v>
      </c>
      <c r="R85" s="25">
        <v>1185655.5400000003</v>
      </c>
      <c r="S85" s="25">
        <v>0</v>
      </c>
      <c r="T85" s="25">
        <v>0</v>
      </c>
      <c r="U85" s="25">
        <v>1685049.1500000001</v>
      </c>
      <c r="V85" s="25">
        <v>0</v>
      </c>
      <c r="W85" s="25">
        <v>270160.36</v>
      </c>
      <c r="X85" s="25">
        <v>153145.76</v>
      </c>
      <c r="Y85" s="25">
        <v>1262898.1000000001</v>
      </c>
      <c r="Z85" s="25">
        <v>0</v>
      </c>
      <c r="AA85" s="25">
        <v>0</v>
      </c>
      <c r="AB85" s="25">
        <v>1444593.1600000001</v>
      </c>
      <c r="AC85" s="25">
        <v>254973.52000000002</v>
      </c>
      <c r="AD85" s="25">
        <v>0</v>
      </c>
      <c r="AE85" s="25">
        <v>730541.75999999989</v>
      </c>
      <c r="AF85" s="25">
        <v>0</v>
      </c>
      <c r="AG85" s="25">
        <v>1696253.1</v>
      </c>
      <c r="AH85" s="25">
        <v>236192.65</v>
      </c>
      <c r="AI85" s="25">
        <v>0</v>
      </c>
      <c r="AJ85" s="25">
        <v>5659850.0499999998</v>
      </c>
      <c r="AK85" s="25">
        <v>113306.19000000002</v>
      </c>
      <c r="AL85" s="25">
        <v>80138.600000000006</v>
      </c>
      <c r="AM85" s="25">
        <v>61466.27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788811.68</v>
      </c>
      <c r="AZ85" s="25">
        <v>0</v>
      </c>
      <c r="BA85" s="25">
        <v>198982.04</v>
      </c>
      <c r="BB85" s="25">
        <v>106995.6</v>
      </c>
      <c r="BC85" s="25">
        <v>0</v>
      </c>
      <c r="BD85" s="25">
        <v>398917.11</v>
      </c>
      <c r="BE85" s="25">
        <v>837148.08</v>
      </c>
      <c r="BF85" s="25">
        <v>363802.43999999994</v>
      </c>
      <c r="BG85" s="25">
        <v>0</v>
      </c>
      <c r="BH85" s="25">
        <v>957131.32000000007</v>
      </c>
      <c r="BI85" s="25">
        <v>81401.069999999992</v>
      </c>
      <c r="BJ85" s="25">
        <v>495784.57999999996</v>
      </c>
      <c r="BK85" s="25">
        <v>985685.0199999999</v>
      </c>
      <c r="BL85" s="25">
        <v>701943.17999999993</v>
      </c>
      <c r="BM85" s="25">
        <v>0</v>
      </c>
      <c r="BN85" s="25">
        <v>1981812.69</v>
      </c>
      <c r="BO85" s="25">
        <v>0</v>
      </c>
      <c r="BP85" s="25">
        <v>0</v>
      </c>
      <c r="BQ85" s="25">
        <v>0</v>
      </c>
      <c r="BR85" s="25">
        <v>334164.15999999997</v>
      </c>
      <c r="BS85" s="25">
        <v>0</v>
      </c>
      <c r="BT85" s="25">
        <v>0</v>
      </c>
      <c r="BU85" s="25">
        <v>0</v>
      </c>
      <c r="BV85" s="25">
        <v>393763.70999999996</v>
      </c>
      <c r="BW85" s="25">
        <v>0</v>
      </c>
      <c r="BX85" s="25">
        <v>0</v>
      </c>
      <c r="BY85" s="25">
        <v>919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30150434.760000002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1830812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1381598</v>
      </c>
      <c r="M87" s="235">
        <v>0</v>
      </c>
      <c r="N87" s="235">
        <v>5580.9</v>
      </c>
      <c r="O87" s="235">
        <v>0</v>
      </c>
      <c r="P87" s="235">
        <v>44747.9</v>
      </c>
      <c r="Q87" s="235">
        <v>0</v>
      </c>
      <c r="R87" s="235">
        <v>51211.1</v>
      </c>
      <c r="S87" s="235">
        <v>57837.83</v>
      </c>
      <c r="T87" s="235">
        <v>64967.91</v>
      </c>
      <c r="U87" s="235">
        <v>608421.25</v>
      </c>
      <c r="V87" s="235">
        <v>7840.8</v>
      </c>
      <c r="W87" s="235">
        <v>37052.5</v>
      </c>
      <c r="X87" s="235">
        <v>180925.35</v>
      </c>
      <c r="Y87" s="235">
        <v>85007</v>
      </c>
      <c r="Z87" s="235">
        <v>0</v>
      </c>
      <c r="AA87" s="235">
        <v>0</v>
      </c>
      <c r="AB87" s="235">
        <v>489639.84</v>
      </c>
      <c r="AC87" s="235">
        <v>373144.9</v>
      </c>
      <c r="AD87" s="235">
        <v>0</v>
      </c>
      <c r="AE87" s="235">
        <v>279705.65000000002</v>
      </c>
      <c r="AF87" s="235">
        <v>0</v>
      </c>
      <c r="AG87" s="235">
        <v>50659.5</v>
      </c>
      <c r="AH87" s="235">
        <v>21029.599999999999</v>
      </c>
      <c r="AI87" s="235">
        <v>0</v>
      </c>
      <c r="AJ87" s="235">
        <v>262988.84999999998</v>
      </c>
      <c r="AK87" s="235">
        <v>234795.3</v>
      </c>
      <c r="AL87" s="235">
        <v>48870.6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6116836.7799999993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7840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458937.95</v>
      </c>
      <c r="O88" s="235">
        <v>0</v>
      </c>
      <c r="P88" s="235">
        <v>1610704.95</v>
      </c>
      <c r="Q88" s="235">
        <v>0</v>
      </c>
      <c r="R88" s="235">
        <v>2527051.21</v>
      </c>
      <c r="S88" s="235">
        <v>542015.16</v>
      </c>
      <c r="T88" s="235">
        <v>68507.86</v>
      </c>
      <c r="U88" s="235">
        <v>4977504.25</v>
      </c>
      <c r="V88" s="235">
        <v>91749</v>
      </c>
      <c r="W88" s="235">
        <v>1217784.8999999999</v>
      </c>
      <c r="X88" s="235">
        <v>3333168.05</v>
      </c>
      <c r="Y88" s="235">
        <v>2123006</v>
      </c>
      <c r="Z88" s="235">
        <v>0</v>
      </c>
      <c r="AA88" s="235">
        <v>0</v>
      </c>
      <c r="AB88" s="235">
        <v>1680946.32</v>
      </c>
      <c r="AC88" s="235">
        <v>215291.3</v>
      </c>
      <c r="AD88" s="235">
        <v>0</v>
      </c>
      <c r="AE88" s="235">
        <v>1434823.74</v>
      </c>
      <c r="AF88" s="235">
        <v>0</v>
      </c>
      <c r="AG88" s="235">
        <v>2133106.4500000002</v>
      </c>
      <c r="AH88" s="235">
        <v>486145.15</v>
      </c>
      <c r="AI88" s="235">
        <v>0</v>
      </c>
      <c r="AJ88" s="235">
        <v>5512694.1299999999</v>
      </c>
      <c r="AK88" s="235">
        <v>59101.1</v>
      </c>
      <c r="AL88" s="235">
        <v>19127.7</v>
      </c>
      <c r="AM88" s="235">
        <v>0</v>
      </c>
      <c r="AN88" s="235">
        <v>0</v>
      </c>
      <c r="AO88" s="235">
        <v>421348.75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28920853.969999995</v>
      </c>
    </row>
    <row r="89" spans="1:84" x14ac:dyDescent="0.35">
      <c r="A89" s="21" t="s">
        <v>289</v>
      </c>
      <c r="B89" s="16"/>
      <c r="C89" s="25">
        <v>0</v>
      </c>
      <c r="D89" s="25">
        <v>0</v>
      </c>
      <c r="E89" s="25">
        <v>1838652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1381598</v>
      </c>
      <c r="M89" s="25">
        <v>0</v>
      </c>
      <c r="N89" s="25">
        <v>464518.85000000003</v>
      </c>
      <c r="O89" s="25">
        <v>0</v>
      </c>
      <c r="P89" s="25">
        <v>1655452.8499999999</v>
      </c>
      <c r="Q89" s="25">
        <v>0</v>
      </c>
      <c r="R89" s="25">
        <v>2578262.31</v>
      </c>
      <c r="S89" s="25">
        <v>599852.99</v>
      </c>
      <c r="T89" s="25">
        <v>133475.77000000002</v>
      </c>
      <c r="U89" s="25">
        <v>5585925.5</v>
      </c>
      <c r="V89" s="25">
        <v>99589.8</v>
      </c>
      <c r="W89" s="25">
        <v>1254837.3999999999</v>
      </c>
      <c r="X89" s="25">
        <v>3514093.4</v>
      </c>
      <c r="Y89" s="25">
        <v>2208013</v>
      </c>
      <c r="Z89" s="25">
        <v>0</v>
      </c>
      <c r="AA89" s="25">
        <v>0</v>
      </c>
      <c r="AB89" s="25">
        <v>2170586.16</v>
      </c>
      <c r="AC89" s="25">
        <v>588436.19999999995</v>
      </c>
      <c r="AD89" s="25">
        <v>0</v>
      </c>
      <c r="AE89" s="25">
        <v>1714529.3900000001</v>
      </c>
      <c r="AF89" s="25">
        <v>0</v>
      </c>
      <c r="AG89" s="25">
        <v>2183765.9500000002</v>
      </c>
      <c r="AH89" s="25">
        <v>507174.75</v>
      </c>
      <c r="AI89" s="25">
        <v>0</v>
      </c>
      <c r="AJ89" s="25">
        <v>5775682.9799999995</v>
      </c>
      <c r="AK89" s="25">
        <v>293896.39999999997</v>
      </c>
      <c r="AL89" s="25">
        <v>67998.3</v>
      </c>
      <c r="AM89" s="25">
        <v>0</v>
      </c>
      <c r="AN89" s="25">
        <v>0</v>
      </c>
      <c r="AO89" s="25">
        <v>421348.75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35037690.749999993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4802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6141</v>
      </c>
      <c r="M90" s="235">
        <v>0</v>
      </c>
      <c r="N90" s="235">
        <v>0</v>
      </c>
      <c r="O90" s="235">
        <v>0</v>
      </c>
      <c r="P90" s="235">
        <v>1403</v>
      </c>
      <c r="Q90" s="235">
        <v>0</v>
      </c>
      <c r="R90" s="235">
        <v>225</v>
      </c>
      <c r="S90" s="235">
        <v>0</v>
      </c>
      <c r="T90" s="235">
        <v>0</v>
      </c>
      <c r="U90" s="235">
        <v>527</v>
      </c>
      <c r="V90" s="235">
        <v>0</v>
      </c>
      <c r="W90" s="235">
        <v>0</v>
      </c>
      <c r="X90" s="235">
        <v>0</v>
      </c>
      <c r="Y90" s="235">
        <v>1569</v>
      </c>
      <c r="Z90" s="235">
        <v>0</v>
      </c>
      <c r="AA90" s="235">
        <v>0</v>
      </c>
      <c r="AB90" s="235">
        <v>380</v>
      </c>
      <c r="AC90" s="235">
        <v>40</v>
      </c>
      <c r="AD90" s="235">
        <v>0</v>
      </c>
      <c r="AE90" s="235">
        <v>1465</v>
      </c>
      <c r="AF90" s="235">
        <v>0</v>
      </c>
      <c r="AG90" s="235">
        <v>581</v>
      </c>
      <c r="AH90" s="235">
        <v>0</v>
      </c>
      <c r="AI90" s="235">
        <v>0</v>
      </c>
      <c r="AJ90" s="235">
        <v>6493</v>
      </c>
      <c r="AK90" s="235">
        <v>427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3690</v>
      </c>
      <c r="AZ90" s="235">
        <v>0</v>
      </c>
      <c r="BA90" s="235">
        <v>858</v>
      </c>
      <c r="BB90" s="235">
        <v>128</v>
      </c>
      <c r="BC90" s="235">
        <v>0</v>
      </c>
      <c r="BD90" s="235">
        <v>670</v>
      </c>
      <c r="BE90" s="235">
        <v>2961</v>
      </c>
      <c r="BF90" s="235">
        <v>1051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7194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366</v>
      </c>
      <c r="BW90" s="235">
        <v>0</v>
      </c>
      <c r="BX90" s="235">
        <v>0</v>
      </c>
      <c r="BY90" s="235">
        <v>72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v>41043</v>
      </c>
      <c r="CF90" s="25"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3499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12175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15674</v>
      </c>
      <c r="CF91" s="25"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614.77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505.68</v>
      </c>
      <c r="M92" s="235">
        <v>0</v>
      </c>
      <c r="N92" s="235">
        <v>12.28</v>
      </c>
      <c r="O92" s="235">
        <v>0</v>
      </c>
      <c r="P92" s="235">
        <v>141.61000000000001</v>
      </c>
      <c r="Q92" s="235">
        <v>0</v>
      </c>
      <c r="R92" s="235">
        <v>13.17</v>
      </c>
      <c r="S92" s="235">
        <v>0</v>
      </c>
      <c r="T92" s="235">
        <v>0</v>
      </c>
      <c r="U92" s="235">
        <v>53.15</v>
      </c>
      <c r="V92" s="235">
        <v>0</v>
      </c>
      <c r="W92" s="235">
        <v>0</v>
      </c>
      <c r="X92" s="235">
        <v>0</v>
      </c>
      <c r="Y92" s="235">
        <v>47.38</v>
      </c>
      <c r="Z92" s="235">
        <v>0</v>
      </c>
      <c r="AA92" s="235">
        <v>0</v>
      </c>
      <c r="AB92" s="235">
        <v>4.33</v>
      </c>
      <c r="AC92" s="235">
        <v>5.89</v>
      </c>
      <c r="AD92" s="235">
        <v>0</v>
      </c>
      <c r="AE92" s="235">
        <v>102.55</v>
      </c>
      <c r="AF92" s="235">
        <v>0</v>
      </c>
      <c r="AG92" s="235">
        <v>77.5</v>
      </c>
      <c r="AH92" s="235">
        <v>0</v>
      </c>
      <c r="AI92" s="235">
        <v>0</v>
      </c>
      <c r="AJ92" s="235">
        <v>373.52000000000004</v>
      </c>
      <c r="AK92" s="235">
        <v>6.52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918.73</v>
      </c>
      <c r="BB92" s="235">
        <v>4.08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33.71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13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v>2927.8700000000003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2983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3816</v>
      </c>
      <c r="M93" s="235">
        <v>0</v>
      </c>
      <c r="N93" s="235">
        <v>83</v>
      </c>
      <c r="O93" s="235">
        <v>0</v>
      </c>
      <c r="P93" s="235">
        <v>1182</v>
      </c>
      <c r="Q93" s="235">
        <v>0</v>
      </c>
      <c r="R93" s="235">
        <v>299</v>
      </c>
      <c r="S93" s="235">
        <v>0</v>
      </c>
      <c r="T93" s="235">
        <v>0</v>
      </c>
      <c r="U93" s="235">
        <v>21</v>
      </c>
      <c r="V93" s="235">
        <v>0</v>
      </c>
      <c r="W93" s="235">
        <v>0</v>
      </c>
      <c r="X93" s="235">
        <v>0</v>
      </c>
      <c r="Y93" s="235">
        <v>1096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1663</v>
      </c>
      <c r="AF93" s="235">
        <v>0</v>
      </c>
      <c r="AG93" s="235">
        <v>1698</v>
      </c>
      <c r="AH93" s="235">
        <v>423</v>
      </c>
      <c r="AI93" s="235">
        <v>0</v>
      </c>
      <c r="AJ93" s="235">
        <v>52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13316</v>
      </c>
      <c r="CF93" s="25"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9.5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5.9</v>
      </c>
      <c r="M94" s="239">
        <v>0</v>
      </c>
      <c r="N94" s="239">
        <v>1.2</v>
      </c>
      <c r="O94" s="239">
        <v>0</v>
      </c>
      <c r="P94" s="236">
        <v>3.2</v>
      </c>
      <c r="Q94" s="236">
        <v>0</v>
      </c>
      <c r="R94" s="236">
        <v>1.62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4</v>
      </c>
      <c r="AH94" s="236">
        <v>0</v>
      </c>
      <c r="AI94" s="236">
        <v>0</v>
      </c>
      <c r="AJ94" s="236">
        <v>2.2000000000000002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27.62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 t="s">
        <v>310</v>
      </c>
      <c r="D102" s="246" t="s">
        <v>5</v>
      </c>
      <c r="E102" s="247" t="s">
        <v>5</v>
      </c>
      <c r="F102" s="12"/>
    </row>
    <row r="103" spans="1:6" x14ac:dyDescent="0.35">
      <c r="A103" s="25" t="s">
        <v>311</v>
      </c>
      <c r="B103" s="32" t="s">
        <v>299</v>
      </c>
      <c r="C103" s="249" t="s">
        <v>312</v>
      </c>
      <c r="D103" s="246" t="s">
        <v>5</v>
      </c>
      <c r="E103" s="247" t="s">
        <v>5</v>
      </c>
      <c r="F103" s="12"/>
    </row>
    <row r="104" spans="1:6" x14ac:dyDescent="0.35">
      <c r="A104" s="25" t="s">
        <v>313</v>
      </c>
      <c r="B104" s="32" t="s">
        <v>299</v>
      </c>
      <c r="C104" s="252" t="s">
        <v>314</v>
      </c>
      <c r="D104" s="246" t="s">
        <v>5</v>
      </c>
      <c r="E104" s="247" t="s">
        <v>5</v>
      </c>
      <c r="F104" s="12"/>
    </row>
    <row r="105" spans="1:6" x14ac:dyDescent="0.35">
      <c r="A105" s="25" t="s">
        <v>315</v>
      </c>
      <c r="B105" s="32" t="s">
        <v>299</v>
      </c>
      <c r="C105" s="252" t="s">
        <v>316</v>
      </c>
      <c r="D105" s="246" t="s">
        <v>5</v>
      </c>
      <c r="E105" s="247" t="s">
        <v>5</v>
      </c>
      <c r="F105" s="12"/>
    </row>
    <row r="106" spans="1:6" x14ac:dyDescent="0.35">
      <c r="A106" s="25" t="s">
        <v>317</v>
      </c>
      <c r="B106" s="32" t="s">
        <v>299</v>
      </c>
      <c r="C106" s="249" t="s">
        <v>318</v>
      </c>
      <c r="D106" s="246" t="s">
        <v>5</v>
      </c>
      <c r="E106" s="247" t="s">
        <v>5</v>
      </c>
      <c r="F106" s="12"/>
    </row>
    <row r="107" spans="1:6" x14ac:dyDescent="0.35">
      <c r="A107" s="25" t="s">
        <v>319</v>
      </c>
      <c r="B107" s="32" t="s">
        <v>299</v>
      </c>
      <c r="C107" s="253" t="s">
        <v>320</v>
      </c>
      <c r="D107" s="246" t="s">
        <v>5</v>
      </c>
      <c r="E107" s="247" t="s">
        <v>5</v>
      </c>
      <c r="F107" s="12"/>
    </row>
    <row r="108" spans="1:6" x14ac:dyDescent="0.35">
      <c r="A108" s="25" t="s">
        <v>321</v>
      </c>
      <c r="B108" s="32" t="s">
        <v>299</v>
      </c>
      <c r="C108" s="253" t="s">
        <v>322</v>
      </c>
      <c r="D108" s="246" t="s">
        <v>5</v>
      </c>
      <c r="E108" s="247" t="s">
        <v>5</v>
      </c>
      <c r="F108" s="12"/>
    </row>
    <row r="109" spans="1:6" x14ac:dyDescent="0.35">
      <c r="A109" s="33" t="s">
        <v>323</v>
      </c>
      <c r="B109" s="32" t="s">
        <v>299</v>
      </c>
      <c r="C109" s="249" t="s">
        <v>316</v>
      </c>
      <c r="D109" s="246" t="s">
        <v>5</v>
      </c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311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243</v>
      </c>
      <c r="D127" s="257">
        <v>925</v>
      </c>
      <c r="E127" s="16"/>
    </row>
    <row r="128" spans="1:5" x14ac:dyDescent="0.35">
      <c r="A128" s="16" t="s">
        <v>339</v>
      </c>
      <c r="B128" s="35" t="s">
        <v>299</v>
      </c>
      <c r="C128" s="256">
        <v>93</v>
      </c>
      <c r="D128" s="257">
        <v>4388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0</v>
      </c>
      <c r="D130" s="257">
        <v>0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25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v>25</v>
      </c>
    </row>
    <row r="144" spans="1:5" x14ac:dyDescent="0.35">
      <c r="A144" s="16" t="s">
        <v>353</v>
      </c>
      <c r="B144" s="35" t="s">
        <v>299</v>
      </c>
      <c r="C144" s="256">
        <v>0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188</v>
      </c>
      <c r="C154" s="257">
        <v>22</v>
      </c>
      <c r="D154" s="257">
        <v>33</v>
      </c>
      <c r="E154" s="25">
        <v>243</v>
      </c>
    </row>
    <row r="155" spans="1:6" x14ac:dyDescent="0.35">
      <c r="A155" s="16" t="s">
        <v>242</v>
      </c>
      <c r="B155" s="257">
        <v>698</v>
      </c>
      <c r="C155" s="257">
        <v>107</v>
      </c>
      <c r="D155" s="257">
        <v>120</v>
      </c>
      <c r="E155" s="25">
        <v>925</v>
      </c>
    </row>
    <row r="156" spans="1:6" x14ac:dyDescent="0.35">
      <c r="A156" s="16" t="s">
        <v>360</v>
      </c>
      <c r="B156" s="257">
        <v>0</v>
      </c>
      <c r="C156" s="257">
        <v>0</v>
      </c>
      <c r="D156" s="257">
        <v>0</v>
      </c>
      <c r="E156" s="25">
        <v>0</v>
      </c>
    </row>
    <row r="157" spans="1:6" x14ac:dyDescent="0.35">
      <c r="A157" s="16" t="s">
        <v>287</v>
      </c>
      <c r="B157" s="257">
        <v>3048452</v>
      </c>
      <c r="C157" s="257">
        <v>1097443</v>
      </c>
      <c r="D157" s="257">
        <v>1970942</v>
      </c>
      <c r="E157" s="25">
        <v>6116837</v>
      </c>
      <c r="F157" s="14"/>
    </row>
    <row r="158" spans="1:6" x14ac:dyDescent="0.35">
      <c r="A158" s="16" t="s">
        <v>288</v>
      </c>
      <c r="B158" s="257">
        <v>14531905</v>
      </c>
      <c r="C158" s="257">
        <v>5231486</v>
      </c>
      <c r="D158" s="257">
        <v>9157463</v>
      </c>
      <c r="E158" s="25">
        <v>28920854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75</v>
      </c>
      <c r="C160" s="234">
        <v>10</v>
      </c>
      <c r="D160" s="234">
        <v>8</v>
      </c>
      <c r="E160" s="25">
        <v>93</v>
      </c>
    </row>
    <row r="161" spans="1:5" x14ac:dyDescent="0.35">
      <c r="A161" s="16" t="s">
        <v>242</v>
      </c>
      <c r="B161" s="234">
        <v>1074</v>
      </c>
      <c r="C161" s="234">
        <v>1521</v>
      </c>
      <c r="D161" s="234">
        <v>1793</v>
      </c>
      <c r="E161" s="25">
        <v>4388</v>
      </c>
    </row>
    <row r="162" spans="1:5" x14ac:dyDescent="0.35">
      <c r="A162" s="16" t="s">
        <v>360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v>0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2012583</v>
      </c>
      <c r="C173" s="234">
        <v>1817425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1035970.45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21348.63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130536.8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1924611.1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0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387080.84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21505.86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266710.01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v>3787763.6899999995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25200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13767.96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v>38967.96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239330.52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0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v>239330.52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48083.27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134890.44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v>182973.71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196584.31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0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v>196584.31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792630</v>
      </c>
      <c r="C211" s="254">
        <v>0</v>
      </c>
      <c r="D211" s="257">
        <v>0</v>
      </c>
      <c r="E211" s="25">
        <v>792630</v>
      </c>
    </row>
    <row r="212" spans="1:5" x14ac:dyDescent="0.35">
      <c r="A212" s="16" t="s">
        <v>395</v>
      </c>
      <c r="B212" s="254">
        <v>324429</v>
      </c>
      <c r="C212" s="254">
        <v>0</v>
      </c>
      <c r="D212" s="257">
        <v>0</v>
      </c>
      <c r="E212" s="25">
        <v>324429</v>
      </c>
    </row>
    <row r="213" spans="1:5" x14ac:dyDescent="0.35">
      <c r="A213" s="16" t="s">
        <v>396</v>
      </c>
      <c r="B213" s="254">
        <v>12833751</v>
      </c>
      <c r="C213" s="254">
        <v>24056</v>
      </c>
      <c r="D213" s="257">
        <v>0</v>
      </c>
      <c r="E213" s="25">
        <v>12857807</v>
      </c>
    </row>
    <row r="214" spans="1:5" x14ac:dyDescent="0.35">
      <c r="A214" s="16" t="s">
        <v>397</v>
      </c>
      <c r="B214" s="254">
        <v>0</v>
      </c>
      <c r="C214" s="254">
        <v>0</v>
      </c>
      <c r="D214" s="257">
        <v>0</v>
      </c>
      <c r="E214" s="25">
        <v>0</v>
      </c>
    </row>
    <row r="215" spans="1:5" x14ac:dyDescent="0.35">
      <c r="A215" s="16" t="s">
        <v>398</v>
      </c>
      <c r="B215" s="254">
        <v>5223676</v>
      </c>
      <c r="C215" s="254">
        <v>86827</v>
      </c>
      <c r="D215" s="257">
        <v>0</v>
      </c>
      <c r="E215" s="25">
        <v>5310503</v>
      </c>
    </row>
    <row r="216" spans="1:5" x14ac:dyDescent="0.35">
      <c r="A216" s="16" t="s">
        <v>399</v>
      </c>
      <c r="B216" s="254">
        <v>7595822</v>
      </c>
      <c r="C216" s="254">
        <v>615822</v>
      </c>
      <c r="D216" s="257">
        <v>0</v>
      </c>
      <c r="E216" s="25">
        <v>8211644</v>
      </c>
    </row>
    <row r="217" spans="1:5" x14ac:dyDescent="0.35">
      <c r="A217" s="16" t="s">
        <v>400</v>
      </c>
      <c r="B217" s="254">
        <v>0</v>
      </c>
      <c r="C217" s="254">
        <v>0</v>
      </c>
      <c r="D217" s="257">
        <v>0</v>
      </c>
      <c r="E217" s="25">
        <v>0</v>
      </c>
    </row>
    <row r="218" spans="1:5" x14ac:dyDescent="0.35">
      <c r="A218" s="16" t="s">
        <v>401</v>
      </c>
      <c r="B218" s="254">
        <v>0</v>
      </c>
      <c r="C218" s="254">
        <v>0</v>
      </c>
      <c r="D218" s="257">
        <v>0</v>
      </c>
      <c r="E218" s="25">
        <v>0</v>
      </c>
    </row>
    <row r="219" spans="1:5" x14ac:dyDescent="0.35">
      <c r="A219" s="16" t="s">
        <v>402</v>
      </c>
      <c r="B219" s="254">
        <v>145078</v>
      </c>
      <c r="C219" s="254">
        <v>-7031</v>
      </c>
      <c r="D219" s="257">
        <v>0</v>
      </c>
      <c r="E219" s="25">
        <v>138047</v>
      </c>
    </row>
    <row r="220" spans="1:5" x14ac:dyDescent="0.35">
      <c r="A220" s="16" t="s">
        <v>230</v>
      </c>
      <c r="B220" s="25">
        <v>26915386</v>
      </c>
      <c r="C220" s="225">
        <v>719674</v>
      </c>
      <c r="D220" s="25">
        <v>0</v>
      </c>
      <c r="E220" s="25">
        <v>27635060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307380</v>
      </c>
      <c r="C225" s="254">
        <v>2881</v>
      </c>
      <c r="D225" s="257">
        <v>0</v>
      </c>
      <c r="E225" s="25">
        <v>310261</v>
      </c>
    </row>
    <row r="226" spans="1:6" x14ac:dyDescent="0.35">
      <c r="A226" s="16" t="s">
        <v>396</v>
      </c>
      <c r="B226" s="254">
        <v>4341421</v>
      </c>
      <c r="C226" s="254">
        <v>532486</v>
      </c>
      <c r="D226" s="257">
        <v>0</v>
      </c>
      <c r="E226" s="25">
        <v>4873907</v>
      </c>
    </row>
    <row r="227" spans="1:6" x14ac:dyDescent="0.35">
      <c r="A227" s="16" t="s">
        <v>397</v>
      </c>
      <c r="B227" s="254">
        <v>0</v>
      </c>
      <c r="C227" s="254">
        <v>0</v>
      </c>
      <c r="D227" s="257">
        <v>0</v>
      </c>
      <c r="E227" s="25">
        <v>0</v>
      </c>
    </row>
    <row r="228" spans="1:6" x14ac:dyDescent="0.35">
      <c r="A228" s="16" t="s">
        <v>398</v>
      </c>
      <c r="B228" s="254">
        <v>4864509</v>
      </c>
      <c r="C228" s="254">
        <v>89554</v>
      </c>
      <c r="D228" s="257">
        <v>0</v>
      </c>
      <c r="E228" s="25">
        <v>4954063</v>
      </c>
    </row>
    <row r="229" spans="1:6" x14ac:dyDescent="0.35">
      <c r="A229" s="16" t="s">
        <v>399</v>
      </c>
      <c r="B229" s="254">
        <v>6166089</v>
      </c>
      <c r="C229" s="254">
        <v>405636</v>
      </c>
      <c r="D229" s="257">
        <v>0</v>
      </c>
      <c r="E229" s="25">
        <v>6571725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v>0</v>
      </c>
    </row>
    <row r="233" spans="1:6" x14ac:dyDescent="0.35">
      <c r="A233" s="16" t="s">
        <v>230</v>
      </c>
      <c r="B233" s="25">
        <v>15679399</v>
      </c>
      <c r="C233" s="225">
        <v>1030557</v>
      </c>
      <c r="D233" s="25">
        <v>0</v>
      </c>
      <c r="E233" s="25">
        <v>16709956</v>
      </c>
    </row>
    <row r="234" spans="1:6" x14ac:dyDescent="0.35">
      <c r="A234" s="16"/>
      <c r="B234" s="16"/>
      <c r="C234" s="22"/>
      <c r="D234" s="16"/>
      <c r="E234" s="16"/>
      <c r="F234" s="11">
        <v>10925104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7" t="s">
        <v>405</v>
      </c>
      <c r="C236" s="317"/>
      <c r="D236" s="30"/>
      <c r="E236" s="30"/>
    </row>
    <row r="237" spans="1:6" x14ac:dyDescent="0.35">
      <c r="A237" s="43" t="s">
        <v>405</v>
      </c>
      <c r="B237" s="30"/>
      <c r="C237" s="254">
        <v>334048.81</v>
      </c>
      <c r="D237" s="32">
        <v>334048.81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1475008.68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1628150.6199999999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0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0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2247193.63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>
        <v>349951.29000000004</v>
      </c>
      <c r="D244" s="16"/>
      <c r="E244" s="16"/>
    </row>
    <row r="245" spans="1:5" x14ac:dyDescent="0.35">
      <c r="A245" s="16" t="s">
        <v>413</v>
      </c>
      <c r="B245" s="16"/>
      <c r="C245" s="22"/>
      <c r="D245" s="25">
        <v>5700304.2199999997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0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0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256752.44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v>256752.44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0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102871.11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v>102871.11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v>6393976.5800000001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3748998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3903797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0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1456316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146192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0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725785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138080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v>10119168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12530605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v>12530605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792630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324429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12857807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0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5310503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v>8211644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138047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v>27635060</v>
      </c>
      <c r="E291" s="16"/>
    </row>
    <row r="292" spans="1:5" x14ac:dyDescent="0.35">
      <c r="A292" s="16" t="s">
        <v>444</v>
      </c>
      <c r="B292" s="35" t="s">
        <v>299</v>
      </c>
      <c r="C292" s="254">
        <v>16709956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v>10925104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904555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v>904555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v>34479432</v>
      </c>
      <c r="E308" s="16"/>
    </row>
    <row r="309" spans="1:6" x14ac:dyDescent="0.35">
      <c r="A309" s="16"/>
      <c r="B309" s="16"/>
      <c r="C309" s="22"/>
      <c r="D309" s="16"/>
      <c r="E309" s="16"/>
      <c r="F309" s="11">
        <v>34479432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352035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761707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1887252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21313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0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0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v>3022307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0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0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v>0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6315678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226830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4873315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v>11415823</v>
      </c>
      <c r="E339" s="16"/>
    </row>
    <row r="340" spans="1:5" x14ac:dyDescent="0.35">
      <c r="A340" s="16" t="s">
        <v>485</v>
      </c>
      <c r="B340" s="16"/>
      <c r="C340" s="22"/>
      <c r="D340" s="25">
        <v>0</v>
      </c>
      <c r="E340" s="16"/>
    </row>
    <row r="341" spans="1:5" x14ac:dyDescent="0.35">
      <c r="A341" s="16" t="s">
        <v>486</v>
      </c>
      <c r="B341" s="16"/>
      <c r="C341" s="22"/>
      <c r="D341" s="25">
        <v>11415823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20041302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v>34479432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v>34479432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6116837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28920854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v>35037691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334048.81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5700304.2199999997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256752.44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102871.11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v>6393976.5800000001</v>
      </c>
      <c r="E366" s="16"/>
    </row>
    <row r="367" spans="1:5" x14ac:dyDescent="0.35">
      <c r="A367" s="16" t="s">
        <v>504</v>
      </c>
      <c r="B367" s="16"/>
      <c r="C367" s="22"/>
      <c r="D367" s="25">
        <v>28643714.420000002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242220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529940</v>
      </c>
      <c r="D380" s="25">
        <v>0</v>
      </c>
      <c r="E380" s="204" t="s">
        <v>1059</v>
      </c>
      <c r="F380" s="47"/>
    </row>
    <row r="381" spans="1:6" x14ac:dyDescent="0.35">
      <c r="A381" s="48" t="s">
        <v>518</v>
      </c>
      <c r="B381" s="35"/>
      <c r="C381" s="35"/>
      <c r="D381" s="25">
        <v>772160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v>772160</v>
      </c>
      <c r="E383" s="16"/>
    </row>
    <row r="384" spans="1:6" x14ac:dyDescent="0.35">
      <c r="A384" s="16" t="s">
        <v>521</v>
      </c>
      <c r="B384" s="16"/>
      <c r="C384" s="22"/>
      <c r="D384" s="25">
        <v>29415874.420000002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15737786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3787764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857578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2894209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503463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4036288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1030558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41707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239331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182973.71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301602.29000000004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0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0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0</v>
      </c>
      <c r="D414" s="25">
        <v>0</v>
      </c>
      <c r="E414" s="204"/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v>0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v>29613260</v>
      </c>
      <c r="E416" s="25"/>
    </row>
    <row r="417" spans="1:13" x14ac:dyDescent="0.35">
      <c r="A417" s="25" t="s">
        <v>535</v>
      </c>
      <c r="B417" s="16"/>
      <c r="C417" s="22"/>
      <c r="D417" s="25">
        <v>-197385.57999999821</v>
      </c>
      <c r="E417" s="25"/>
    </row>
    <row r="418" spans="1:13" x14ac:dyDescent="0.35">
      <c r="A418" s="25" t="s">
        <v>536</v>
      </c>
      <c r="B418" s="16"/>
      <c r="C418" s="256">
        <v>3363266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v>3363266</v>
      </c>
      <c r="E420" s="25"/>
      <c r="F420" s="11">
        <v>3061663.71</v>
      </c>
    </row>
    <row r="421" spans="1:13" x14ac:dyDescent="0.35">
      <c r="A421" s="25" t="s">
        <v>539</v>
      </c>
      <c r="B421" s="16"/>
      <c r="C421" s="22"/>
      <c r="D421" s="25">
        <v>3165880.4200000018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v>3165880.4200000018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543</v>
      </c>
      <c r="D612" s="217">
        <f>CE90-(BE90+CD90)</f>
        <v>38082</v>
      </c>
      <c r="E612" s="219">
        <f>SUM(C624:D647)+SUM(C668:D713)</f>
        <v>27514693.398630846</v>
      </c>
      <c r="F612" s="219">
        <f>CE64-(AX64+BD64+BE64+BG64+BJ64+BN64+BP64+BQ64+CB64+CC64+CD64)</f>
        <v>2773979.4699999997</v>
      </c>
      <c r="G612" s="217">
        <f>CE91-(AX91+AY91+BD91+BE91+BG91+BJ91+BN91+BP91+BQ91+CB91+CC91+CD91)</f>
        <v>15674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2927.8700000000003</v>
      </c>
      <c r="J612" s="217">
        <f>CE93-(AX93+AY93+AZ93+BA93+BD93+BE93+BF93+BG93+BJ93+BN93+BO93+BP93+BQ93+BR93+CB93+CC93+CD93)</f>
        <v>13316</v>
      </c>
      <c r="K612" s="217">
        <f>CE89-(AW89+AX89+AY89+AZ89+BA89+BB89+BC89+BD89+BE89+BF89+BG89+BH89+BI89+BJ89+BK89+BL89+BM89+BN89+BO89+BP89+BQ89+BR89+BS89+BT89+BU89+BV89+BW89+BX89+CB89+CC89+CD89)</f>
        <v>35037690.749999993</v>
      </c>
      <c r="L612" s="223">
        <f>CE94-(AW94+AX94+AY94+AZ94+BA94+BB94+BC94+BD94+BE94+BF94+BG94+BH94+BI94+BJ94+BK94+BL94+BM94+BN94+BO94+BP94+BQ94+BR94+BS94+BT94+BU94+BV94+BW94+BX94+BY94+BZ94+CA94+CB94+CC94+CD94)</f>
        <v>27.62</v>
      </c>
    </row>
    <row r="613" spans="1:14" s="202" customFormat="1" ht="12.65" customHeight="1" x14ac:dyDescent="0.3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837148.08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3">
      <c r="A615" s="212"/>
      <c r="B615" s="211" t="s">
        <v>555</v>
      </c>
      <c r="C615" s="217">
        <f>CD69-CD84</f>
        <v>0</v>
      </c>
      <c r="D615" s="217">
        <f>SUM(C614:C615)</f>
        <v>837148.08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3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495784.57999999996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3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3">
      <c r="A619" s="212">
        <v>8610</v>
      </c>
      <c r="B619" s="216" t="s">
        <v>562</v>
      </c>
      <c r="C619" s="217">
        <f>BN85</f>
        <v>1981812.69</v>
      </c>
      <c r="D619" s="217">
        <f>(D615/D612)*BN90</f>
        <v>158144.09136915076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3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3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3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3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2635741.3613691507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398917.11</v>
      </c>
      <c r="D624" s="217">
        <f>(D615/D612)*BD90</f>
        <v>14728.459996848904</v>
      </c>
      <c r="E624" s="219">
        <f>(E623/E612)*SUM(C624:D624)</f>
        <v>39624.746021777049</v>
      </c>
      <c r="F624" s="219">
        <f>SUM(C624:E624)</f>
        <v>453270.31601862592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788811.68</v>
      </c>
      <c r="D625" s="217">
        <f>(D615/D612)*AY90</f>
        <v>81116.443863242472</v>
      </c>
      <c r="E625" s="219">
        <f>(E623/E612)*SUM(C625:D625)</f>
        <v>83333.857450823387</v>
      </c>
      <c r="F625" s="219">
        <f>(F624/F612)*AY64</f>
        <v>38435.313123448526</v>
      </c>
      <c r="G625" s="217">
        <f>SUM(C625:F625)</f>
        <v>991697.2944375145</v>
      </c>
      <c r="H625" s="219"/>
      <c r="I625" s="217"/>
      <c r="J625" s="217"/>
      <c r="N625" s="213" t="s">
        <v>573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334164.15999999997</v>
      </c>
      <c r="D626" s="217">
        <f>(D615/D612)*BR90</f>
        <v>0</v>
      </c>
      <c r="E626" s="219">
        <f>(E623/E612)*SUM(C626:D626)</f>
        <v>32010.907235586586</v>
      </c>
      <c r="F626" s="219">
        <f>(F624/F612)*BR64</f>
        <v>536.54269102386695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3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366711.60992661043</v>
      </c>
      <c r="I628" s="217"/>
      <c r="J628" s="217"/>
      <c r="N628" s="213" t="s">
        <v>577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363802.43999999994</v>
      </c>
      <c r="D629" s="217">
        <f>(D615/D612)*BF90</f>
        <v>23103.897696549549</v>
      </c>
      <c r="E629" s="219">
        <f>(E623/E612)*SUM(C629:D629)</f>
        <v>37063.289147659598</v>
      </c>
      <c r="F629" s="219">
        <f>(F624/F612)*BF64</f>
        <v>4152.2155840703281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578</v>
      </c>
    </row>
    <row r="630" spans="1:14" s="202" customFormat="1" ht="12.65" customHeight="1" x14ac:dyDescent="0.3">
      <c r="A630" s="212">
        <v>8350</v>
      </c>
      <c r="B630" s="216" t="s">
        <v>579</v>
      </c>
      <c r="C630" s="217">
        <f>BA85</f>
        <v>198982.04</v>
      </c>
      <c r="D630" s="217">
        <f>(D615/D612)*BA90</f>
        <v>18861.221906412477</v>
      </c>
      <c r="E630" s="219">
        <f>(E623/E612)*SUM(C630:D630)</f>
        <v>20868.068103963524</v>
      </c>
      <c r="F630" s="219">
        <f>(F624/F612)*BA64</f>
        <v>689.87468347208721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580</v>
      </c>
    </row>
    <row r="631" spans="1:14" s="202" customFormat="1" ht="12.65" customHeight="1" x14ac:dyDescent="0.3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582</v>
      </c>
    </row>
    <row r="632" spans="1:14" s="202" customFormat="1" ht="12.65" customHeight="1" x14ac:dyDescent="0.3">
      <c r="A632" s="212">
        <v>8360</v>
      </c>
      <c r="B632" s="216" t="s">
        <v>583</v>
      </c>
      <c r="C632" s="217">
        <f>BB85</f>
        <v>106995.6</v>
      </c>
      <c r="D632" s="217">
        <f>(D615/D612)*BB90</f>
        <v>2813.7953426815816</v>
      </c>
      <c r="E632" s="219">
        <f>(E623/E612)*SUM(C632:D632)</f>
        <v>10519.076515896961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584</v>
      </c>
    </row>
    <row r="633" spans="1:14" s="202" customFormat="1" ht="12.65" customHeight="1" x14ac:dyDescent="0.3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586</v>
      </c>
    </row>
    <row r="634" spans="1:14" s="202" customFormat="1" ht="12.65" customHeight="1" x14ac:dyDescent="0.3">
      <c r="A634" s="212">
        <v>8490</v>
      </c>
      <c r="B634" s="216" t="s">
        <v>587</v>
      </c>
      <c r="C634" s="217">
        <f>BI85</f>
        <v>81401.069999999992</v>
      </c>
      <c r="D634" s="217">
        <f>(D615/D612)*BI90</f>
        <v>0</v>
      </c>
      <c r="E634" s="219">
        <f>(E623/E612)*SUM(C634:D634)</f>
        <v>7797.7306143408387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588</v>
      </c>
    </row>
    <row r="635" spans="1:14" s="202" customFormat="1" ht="12.65" customHeight="1" x14ac:dyDescent="0.3">
      <c r="A635" s="212">
        <v>8530</v>
      </c>
      <c r="B635" s="216" t="s">
        <v>589</v>
      </c>
      <c r="C635" s="217">
        <f>BK85</f>
        <v>985685.0199999999</v>
      </c>
      <c r="D635" s="217">
        <f>(D615/D612)*BK90</f>
        <v>0</v>
      </c>
      <c r="E635" s="219">
        <f>(E623/E612)*SUM(C635:D635)</f>
        <v>94422.668603141967</v>
      </c>
      <c r="F635" s="219">
        <f>(F624/F612)*BK64</f>
        <v>470.03858722111573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590</v>
      </c>
    </row>
    <row r="636" spans="1:14" s="202" customFormat="1" ht="12.65" customHeight="1" x14ac:dyDescent="0.3">
      <c r="A636" s="212">
        <v>8480</v>
      </c>
      <c r="B636" s="216" t="s">
        <v>591</v>
      </c>
      <c r="C636" s="217">
        <f>BH85</f>
        <v>957131.32000000007</v>
      </c>
      <c r="D636" s="217">
        <f>(D615/D612)*BH90</f>
        <v>0</v>
      </c>
      <c r="E636" s="219">
        <f>(E623/E612)*SUM(C636:D636)</f>
        <v>91687.396687887012</v>
      </c>
      <c r="F636" s="219">
        <f>(F624/F612)*BH64</f>
        <v>5072.2647290209052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592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701943.17999999993</v>
      </c>
      <c r="D637" s="217">
        <f>(D615/D612)*BL90</f>
        <v>0</v>
      </c>
      <c r="E637" s="219">
        <f>(E623/E612)*SUM(C637:D637)</f>
        <v>67241.914930771323</v>
      </c>
      <c r="F637" s="219">
        <f>(F624/F612)*BL64</f>
        <v>1212.6083774139629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593</v>
      </c>
    </row>
    <row r="638" spans="1:14" s="202" customFormat="1" ht="12.65" customHeight="1" x14ac:dyDescent="0.3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595</v>
      </c>
    </row>
    <row r="639" spans="1:14" s="202" customFormat="1" ht="12.65" customHeight="1" x14ac:dyDescent="0.3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597</v>
      </c>
    </row>
    <row r="640" spans="1:14" s="202" customFormat="1" ht="12.65" customHeight="1" x14ac:dyDescent="0.3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599</v>
      </c>
    </row>
    <row r="641" spans="1:14" s="202" customFormat="1" ht="12.65" customHeight="1" x14ac:dyDescent="0.3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601</v>
      </c>
    </row>
    <row r="642" spans="1:14" s="202" customFormat="1" ht="12.65" customHeight="1" x14ac:dyDescent="0.3">
      <c r="A642" s="212">
        <v>8690</v>
      </c>
      <c r="B642" s="216" t="s">
        <v>602</v>
      </c>
      <c r="C642" s="217">
        <f>BV85</f>
        <v>393763.70999999996</v>
      </c>
      <c r="D642" s="217">
        <f>(D615/D612)*BV90</f>
        <v>8045.6960579801471</v>
      </c>
      <c r="E642" s="219">
        <f>(E623/E612)*SUM(C642:D642)</f>
        <v>38490.913040190018</v>
      </c>
      <c r="F642" s="219">
        <f>(F624/F612)*BV64</f>
        <v>168.84525931562376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603</v>
      </c>
    </row>
    <row r="643" spans="1:14" s="202" customFormat="1" ht="12.65" customHeight="1" x14ac:dyDescent="0.3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605</v>
      </c>
    </row>
    <row r="644" spans="1:14" s="202" customFormat="1" ht="12.65" customHeight="1" x14ac:dyDescent="0.3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607</v>
      </c>
    </row>
    <row r="645" spans="1:14" s="202" customFormat="1" ht="12.65" customHeight="1" x14ac:dyDescent="0.3">
      <c r="A645" s="212">
        <v>8720</v>
      </c>
      <c r="B645" s="216" t="s">
        <v>608</v>
      </c>
      <c r="C645" s="217">
        <f>BY85</f>
        <v>919</v>
      </c>
      <c r="D645" s="217">
        <f>(D615/D612)*BY90</f>
        <v>1582.7598802583896</v>
      </c>
      <c r="E645" s="219">
        <f>(E623/E612)*SUM(C645:D645)</f>
        <v>239.65347885501404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609</v>
      </c>
    </row>
    <row r="646" spans="1:14" s="202" customFormat="1" ht="12.65" customHeight="1" x14ac:dyDescent="0.3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611</v>
      </c>
    </row>
    <row r="647" spans="1:14" s="202" customFormat="1" ht="12.65" customHeight="1" x14ac:dyDescent="0.3">
      <c r="A647" s="212">
        <v>8740</v>
      </c>
      <c r="B647" s="216" t="s">
        <v>612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613</v>
      </c>
    </row>
    <row r="648" spans="1:14" s="202" customFormat="1" ht="12.65" customHeight="1" x14ac:dyDescent="0.3">
      <c r="A648" s="212"/>
      <c r="B648" s="212"/>
      <c r="C648" s="202">
        <f>SUM(C614:C647)</f>
        <v>8627261.6799999997</v>
      </c>
      <c r="L648" s="215"/>
    </row>
    <row r="666" spans="1:14" s="202" customFormat="1" ht="12.65" customHeight="1" x14ac:dyDescent="0.3">
      <c r="C666" s="210" t="s">
        <v>614</v>
      </c>
      <c r="M666" s="210" t="s">
        <v>615</v>
      </c>
    </row>
    <row r="667" spans="1:14" s="202" customFormat="1" ht="12.65" customHeight="1" x14ac:dyDescent="0.3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3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617</v>
      </c>
    </row>
    <row r="669" spans="1:14" s="202" customFormat="1" ht="12.65" customHeight="1" x14ac:dyDescent="0.3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618</v>
      </c>
    </row>
    <row r="670" spans="1:14" s="202" customFormat="1" ht="12.65" customHeight="1" x14ac:dyDescent="0.3">
      <c r="A670" s="212">
        <v>6070</v>
      </c>
      <c r="B670" s="211" t="s">
        <v>619</v>
      </c>
      <c r="C670" s="217">
        <f>E85</f>
        <v>3657405.49</v>
      </c>
      <c r="D670" s="217">
        <f>(D615/D612)*E90</f>
        <v>105561.29090278871</v>
      </c>
      <c r="E670" s="219">
        <f>(E623/E612)*SUM(C670:D670)</f>
        <v>360469.47869595909</v>
      </c>
      <c r="F670" s="219">
        <f>(F624/F612)*E64</f>
        <v>11136.867093219262</v>
      </c>
      <c r="G670" s="217">
        <f>(G625/G612)*E91</f>
        <v>221382.469901548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620</v>
      </c>
    </row>
    <row r="671" spans="1:14" s="202" customFormat="1" ht="12.65" customHeight="1" x14ac:dyDescent="0.3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622</v>
      </c>
    </row>
    <row r="672" spans="1:14" s="202" customFormat="1" ht="12.65" customHeight="1" x14ac:dyDescent="0.3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624</v>
      </c>
    </row>
    <row r="673" spans="1:14" s="202" customFormat="1" ht="12.65" customHeight="1" x14ac:dyDescent="0.3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626</v>
      </c>
    </row>
    <row r="674" spans="1:14" s="202" customFormat="1" ht="12.65" customHeight="1" x14ac:dyDescent="0.3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628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629</v>
      </c>
    </row>
    <row r="676" spans="1:14" s="202" customFormat="1" ht="12.65" customHeight="1" x14ac:dyDescent="0.3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630</v>
      </c>
    </row>
    <row r="677" spans="1:14" s="202" customFormat="1" ht="12.65" customHeight="1" x14ac:dyDescent="0.3">
      <c r="A677" s="212">
        <v>6210</v>
      </c>
      <c r="B677" s="211" t="s">
        <v>350</v>
      </c>
      <c r="C677" s="217">
        <f>L85</f>
        <v>1895375.06</v>
      </c>
      <c r="D677" s="217">
        <f>(D615/D612)*L90</f>
        <v>134996.22812037182</v>
      </c>
      <c r="E677" s="219">
        <f>(E623/E612)*SUM(C677:D677)</f>
        <v>194497.30024255047</v>
      </c>
      <c r="F677" s="219">
        <f>(F624/F612)*L64</f>
        <v>10546.496928301776</v>
      </c>
      <c r="G677" s="217">
        <f>(G625/G612)*L91</f>
        <v>770314.8245359665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631</v>
      </c>
    </row>
    <row r="678" spans="1:14" s="202" customFormat="1" ht="12.65" customHeight="1" x14ac:dyDescent="0.3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633</v>
      </c>
    </row>
    <row r="679" spans="1:14" s="202" customFormat="1" ht="12.65" customHeight="1" x14ac:dyDescent="0.3">
      <c r="A679" s="212">
        <v>6400</v>
      </c>
      <c r="B679" s="211" t="s">
        <v>634</v>
      </c>
      <c r="C679" s="217">
        <f>N85</f>
        <v>149064.38</v>
      </c>
      <c r="D679" s="217">
        <f>(D615/D612)*N90</f>
        <v>0</v>
      </c>
      <c r="E679" s="219">
        <f>(E623/E612)*SUM(C679:D679)</f>
        <v>14279.466835432708</v>
      </c>
      <c r="F679" s="219">
        <f>(F624/F612)*N64</f>
        <v>1324.983972765968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635</v>
      </c>
    </row>
    <row r="680" spans="1:14" s="202" customFormat="1" ht="12.65" customHeight="1" x14ac:dyDescent="0.3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637</v>
      </c>
    </row>
    <row r="681" spans="1:14" s="202" customFormat="1" ht="12.65" customHeight="1" x14ac:dyDescent="0.3">
      <c r="A681" s="212">
        <v>7020</v>
      </c>
      <c r="B681" s="211" t="s">
        <v>638</v>
      </c>
      <c r="C681" s="217">
        <f>P85</f>
        <v>987103.94</v>
      </c>
      <c r="D681" s="217">
        <f>(D615/D612)*P90</f>
        <v>30841.834888923899</v>
      </c>
      <c r="E681" s="219">
        <f>(E623/E612)*SUM(C681:D681)</f>
        <v>97513.053975706585</v>
      </c>
      <c r="F681" s="219">
        <f>(F624/F612)*P64</f>
        <v>45841.282019251332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639</v>
      </c>
    </row>
    <row r="682" spans="1:14" s="202" customFormat="1" ht="12.65" customHeight="1" x14ac:dyDescent="0.3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641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1185655.5400000003</v>
      </c>
      <c r="D683" s="217">
        <f>(D615/D612)*R90</f>
        <v>4946.124625807468</v>
      </c>
      <c r="E683" s="219">
        <f>(E623/E612)*SUM(C683:D683)</f>
        <v>114052.44488478868</v>
      </c>
      <c r="F683" s="219">
        <f>(F624/F612)*R64</f>
        <v>20862.52037175907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642</v>
      </c>
    </row>
    <row r="684" spans="1:14" s="202" customFormat="1" ht="12.65" customHeight="1" x14ac:dyDescent="0.3">
      <c r="A684" s="212">
        <v>7050</v>
      </c>
      <c r="B684" s="211" t="s">
        <v>643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644</v>
      </c>
    </row>
    <row r="685" spans="1:14" s="202" customFormat="1" ht="12.65" customHeight="1" x14ac:dyDescent="0.3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646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1685049.1500000001</v>
      </c>
      <c r="D686" s="217">
        <f>(D615/D612)*U90</f>
        <v>11584.923012446825</v>
      </c>
      <c r="E686" s="219">
        <f>(E623/E612)*SUM(C686:D686)</f>
        <v>162527.29174767542</v>
      </c>
      <c r="F686" s="219">
        <f>(F624/F612)*U64</f>
        <v>87853.898272466307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647</v>
      </c>
    </row>
    <row r="687" spans="1:14" s="202" customFormat="1" ht="12.65" customHeight="1" x14ac:dyDescent="0.3">
      <c r="A687" s="212">
        <v>7110</v>
      </c>
      <c r="B687" s="211" t="s">
        <v>648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649</v>
      </c>
    </row>
    <row r="688" spans="1:14" s="202" customFormat="1" ht="12.65" customHeight="1" x14ac:dyDescent="0.3">
      <c r="A688" s="212">
        <v>7120</v>
      </c>
      <c r="B688" s="211" t="s">
        <v>650</v>
      </c>
      <c r="C688" s="217">
        <f>W85</f>
        <v>270160.36</v>
      </c>
      <c r="D688" s="217">
        <f>(D615/D612)*W90</f>
        <v>0</v>
      </c>
      <c r="E688" s="219">
        <f>(E623/E612)*SUM(C688:D688)</f>
        <v>25879.729958750446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651</v>
      </c>
    </row>
    <row r="689" spans="1:14" s="202" customFormat="1" ht="12.65" customHeight="1" x14ac:dyDescent="0.3">
      <c r="A689" s="212">
        <v>7130</v>
      </c>
      <c r="B689" s="211" t="s">
        <v>652</v>
      </c>
      <c r="C689" s="217">
        <f>X85</f>
        <v>153145.76</v>
      </c>
      <c r="D689" s="217">
        <f>(D615/D612)*X90</f>
        <v>0</v>
      </c>
      <c r="E689" s="219">
        <f>(E623/E612)*SUM(C689:D689)</f>
        <v>14670.438376405798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653</v>
      </c>
    </row>
    <row r="690" spans="1:14" s="202" customFormat="1" ht="12.65" customHeight="1" x14ac:dyDescent="0.3">
      <c r="A690" s="212">
        <v>7140</v>
      </c>
      <c r="B690" s="211" t="s">
        <v>654</v>
      </c>
      <c r="C690" s="217">
        <f>Y85</f>
        <v>1262898.1000000001</v>
      </c>
      <c r="D690" s="217">
        <f>(D615/D612)*Y90</f>
        <v>34490.975723964075</v>
      </c>
      <c r="E690" s="219">
        <f>(E623/E612)*SUM(C690:D690)</f>
        <v>124282.03357135381</v>
      </c>
      <c r="F690" s="219">
        <f>(F624/F612)*Y64</f>
        <v>13226.473420918173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655</v>
      </c>
    </row>
    <row r="691" spans="1:14" s="202" customFormat="1" ht="12.65" customHeight="1" x14ac:dyDescent="0.3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657</v>
      </c>
    </row>
    <row r="692" spans="1:14" s="202" customFormat="1" ht="12.65" customHeight="1" x14ac:dyDescent="0.3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659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1444593.1600000001</v>
      </c>
      <c r="D693" s="217">
        <f>(D615/D612)*AB90</f>
        <v>8353.4549235859449</v>
      </c>
      <c r="E693" s="219">
        <f>(E623/E612)*SUM(C693:D693)</f>
        <v>139183.5058211463</v>
      </c>
      <c r="F693" s="219">
        <f>(F624/F612)*AB64</f>
        <v>161566.6727397264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660</v>
      </c>
    </row>
    <row r="694" spans="1:14" s="202" customFormat="1" ht="12.65" customHeight="1" x14ac:dyDescent="0.3">
      <c r="A694" s="212">
        <v>7180</v>
      </c>
      <c r="B694" s="211" t="s">
        <v>661</v>
      </c>
      <c r="C694" s="217">
        <f>AC85</f>
        <v>254973.52000000002</v>
      </c>
      <c r="D694" s="217">
        <f>(D615/D612)*AC90</f>
        <v>879.31104458799427</v>
      </c>
      <c r="E694" s="219">
        <f>(E623/E612)*SUM(C694:D694)</f>
        <v>24509.155142581763</v>
      </c>
      <c r="F694" s="219">
        <f>(F624/F612)*AC64</f>
        <v>5641.7555465577625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662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663</v>
      </c>
    </row>
    <row r="696" spans="1:14" s="202" customFormat="1" ht="12.65" customHeight="1" x14ac:dyDescent="0.3">
      <c r="A696" s="212">
        <v>7200</v>
      </c>
      <c r="B696" s="211" t="s">
        <v>664</v>
      </c>
      <c r="C696" s="217">
        <f>AE85</f>
        <v>730541.75999999989</v>
      </c>
      <c r="D696" s="217">
        <f>(D615/D612)*AE90</f>
        <v>32204.767008035291</v>
      </c>
      <c r="E696" s="219">
        <f>(E623/E612)*SUM(C696:D696)</f>
        <v>73066.50815072465</v>
      </c>
      <c r="F696" s="219">
        <f>(F624/F612)*AE64</f>
        <v>1492.4795419159636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665</v>
      </c>
    </row>
    <row r="697" spans="1:14" s="202" customFormat="1" ht="12.65" customHeight="1" x14ac:dyDescent="0.3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667</v>
      </c>
    </row>
    <row r="698" spans="1:14" s="202" customFormat="1" ht="12.65" customHeight="1" x14ac:dyDescent="0.3">
      <c r="A698" s="212">
        <v>7230</v>
      </c>
      <c r="B698" s="211" t="s">
        <v>668</v>
      </c>
      <c r="C698" s="217">
        <f>AG85</f>
        <v>1696253.1</v>
      </c>
      <c r="D698" s="217">
        <f>(D615/D612)*AG90</f>
        <v>12771.992922640617</v>
      </c>
      <c r="E698" s="219">
        <f>(E623/E612)*SUM(C698:D698)</f>
        <v>163714.27657842301</v>
      </c>
      <c r="F698" s="219">
        <f>(F624/F612)*AG64</f>
        <v>8451.266346910259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669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236192.65</v>
      </c>
      <c r="D699" s="217">
        <f>(D615/D612)*AH90</f>
        <v>0</v>
      </c>
      <c r="E699" s="219">
        <f>(E623/E612)*SUM(C699:D699)</f>
        <v>22625.828601359794</v>
      </c>
      <c r="F699" s="219">
        <f>(F624/F612)*AH64</f>
        <v>2021.4665824242547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670</v>
      </c>
    </row>
    <row r="700" spans="1:14" s="202" customFormat="1" ht="12.65" customHeight="1" x14ac:dyDescent="0.3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672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5659850.0499999998</v>
      </c>
      <c r="D701" s="217">
        <f>(D615/D612)*AJ90</f>
        <v>142734.16531274616</v>
      </c>
      <c r="E701" s="219">
        <f>(E623/E612)*SUM(C701:D701)</f>
        <v>555852.50388029439</v>
      </c>
      <c r="F701" s="219">
        <f>(F624/F612)*AJ64</f>
        <v>32419.673792922145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673</v>
      </c>
    </row>
    <row r="702" spans="1:14" s="202" customFormat="1" ht="12.65" customHeight="1" x14ac:dyDescent="0.3">
      <c r="A702" s="212">
        <v>7310</v>
      </c>
      <c r="B702" s="211" t="s">
        <v>674</v>
      </c>
      <c r="C702" s="217">
        <f>AK85</f>
        <v>113306.19000000002</v>
      </c>
      <c r="D702" s="217">
        <f>(D615/D612)*AK90</f>
        <v>9386.6454009768386</v>
      </c>
      <c r="E702" s="219">
        <f>(E623/E612)*SUM(C702:D702)</f>
        <v>11753.232221228525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675</v>
      </c>
    </row>
    <row r="703" spans="1:14" s="202" customFormat="1" ht="12.65" customHeight="1" x14ac:dyDescent="0.3">
      <c r="A703" s="212">
        <v>7320</v>
      </c>
      <c r="B703" s="211" t="s">
        <v>676</v>
      </c>
      <c r="C703" s="217">
        <f>AL85</f>
        <v>80138.600000000006</v>
      </c>
      <c r="D703" s="217">
        <f>(D615/D612)*AL90</f>
        <v>0</v>
      </c>
      <c r="E703" s="219">
        <f>(E623/E612)*SUM(C703:D703)</f>
        <v>7676.7936172143045</v>
      </c>
      <c r="F703" s="219">
        <f>(F624/F612)*AL64</f>
        <v>18.828668012754353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677</v>
      </c>
    </row>
    <row r="704" spans="1:14" s="202" customFormat="1" ht="12.65" customHeight="1" x14ac:dyDescent="0.3">
      <c r="A704" s="212">
        <v>7330</v>
      </c>
      <c r="B704" s="211" t="s">
        <v>678</v>
      </c>
      <c r="C704" s="217">
        <f>AM85</f>
        <v>61466.27</v>
      </c>
      <c r="D704" s="217">
        <f>(D615/D612)*AM90</f>
        <v>0</v>
      </c>
      <c r="E704" s="219">
        <f>(E623/E612)*SUM(C704:D704)</f>
        <v>5888.0972366621208</v>
      </c>
      <c r="F704" s="219">
        <f>(F624/F612)*AM64</f>
        <v>127.94768648812844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679</v>
      </c>
    </row>
    <row r="705" spans="1:14" s="202" customFormat="1" ht="12.65" customHeight="1" x14ac:dyDescent="0.3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681</v>
      </c>
    </row>
    <row r="706" spans="1:14" s="202" customFormat="1" ht="12.65" customHeight="1" x14ac:dyDescent="0.3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683</v>
      </c>
    </row>
    <row r="707" spans="1:14" s="202" customFormat="1" ht="12.65" customHeight="1" x14ac:dyDescent="0.3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685</v>
      </c>
    </row>
    <row r="708" spans="1:14" s="202" customFormat="1" ht="12.65" customHeight="1" x14ac:dyDescent="0.3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687</v>
      </c>
    </row>
    <row r="709" spans="1:14" s="202" customFormat="1" ht="12.65" customHeight="1" x14ac:dyDescent="0.3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689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690</v>
      </c>
    </row>
    <row r="711" spans="1:14" s="202" customFormat="1" ht="12.65" customHeight="1" x14ac:dyDescent="0.3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692</v>
      </c>
    </row>
    <row r="712" spans="1:14" s="202" customFormat="1" ht="12.65" customHeight="1" x14ac:dyDescent="0.3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694</v>
      </c>
    </row>
    <row r="713" spans="1:14" s="202" customFormat="1" ht="12.65" customHeight="1" x14ac:dyDescent="0.3">
      <c r="A713" s="212">
        <v>7490</v>
      </c>
      <c r="B713" s="211" t="s">
        <v>695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696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30150434.760000002</v>
      </c>
      <c r="D715" s="202">
        <f>SUM(D616:D647)+SUM(D668:D713)</f>
        <v>837148.07999999984</v>
      </c>
      <c r="E715" s="202">
        <f>SUM(E624:E647)+SUM(E668:E713)</f>
        <v>2635741.3613691512</v>
      </c>
      <c r="F715" s="202">
        <f>SUM(F625:F648)+SUM(F668:F713)</f>
        <v>453270.31601862598</v>
      </c>
      <c r="G715" s="202">
        <f>SUM(G626:G647)+SUM(G668:G713)</f>
        <v>991697.2944375145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697</v>
      </c>
    </row>
    <row r="716" spans="1:14" s="202" customFormat="1" ht="12.65" customHeight="1" x14ac:dyDescent="0.3">
      <c r="C716" s="214">
        <f>CE85</f>
        <v>30150434.760000002</v>
      </c>
      <c r="D716" s="202">
        <f>D615</f>
        <v>837148.08</v>
      </c>
      <c r="E716" s="202">
        <f>E623</f>
        <v>2635741.3613691507</v>
      </c>
      <c r="F716" s="202">
        <f>F624</f>
        <v>453270.31601862592</v>
      </c>
      <c r="G716" s="202">
        <f>G625</f>
        <v>991697.2944375145</v>
      </c>
      <c r="H716" s="202">
        <f>H628</f>
        <v>366711.60992661043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8627261.6799999997</v>
      </c>
      <c r="N716" s="211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customFormat="1" ht="15.75" customHeight="1" x14ac:dyDescent="0.35">
      <c r="A2" s="11" t="str">
        <f>MONTH(data!C96) &amp; "-" &amp; DAY(data!C96)</f>
        <v>12-31</v>
      </c>
      <c r="B2" s="201" t="str">
        <f>RIGHT(data!C97, 3)</f>
        <v>137</v>
      </c>
      <c r="C2" s="11" t="str">
        <f>SUBSTITUTE(LEFT(data!C98,49),",","")</f>
        <v>LINCOLN COUNTY HOSPITAL DISTRICT # 3</v>
      </c>
      <c r="D2" s="11" t="str">
        <f>LEFT(data!C99, 49)</f>
        <v>10 NICHOLLS STREET</v>
      </c>
      <c r="E2" s="11" t="str">
        <f>LEFT(data!C100, 100)</f>
        <v>DAVENPORT</v>
      </c>
      <c r="F2" s="11" t="str">
        <f>LEFT(data!C101, 2)</f>
        <v>WA</v>
      </c>
      <c r="G2" s="11" t="str">
        <f>LEFT(data!C102, 100)</f>
        <v>99122</v>
      </c>
      <c r="H2" s="11" t="str">
        <f>LEFT(data!C103, 100)</f>
        <v xml:space="preserve">Lincoln County  </v>
      </c>
      <c r="I2" s="11" t="str">
        <f>LEFT(data!C104, 49)</f>
        <v>Tyson Lacy</v>
      </c>
      <c r="J2" s="11" t="str">
        <f>LEFT(data!C105, 49)</f>
        <v>Tim O'Connell</v>
      </c>
      <c r="K2" s="11" t="str">
        <f>LEFT(data!C107, 49)</f>
        <v>509-725-7101</v>
      </c>
      <c r="L2" s="11" t="str">
        <f>LEFT(data!C108, 49)</f>
        <v>509-725-2112</v>
      </c>
      <c r="M2" s="11" t="str">
        <f>LEFT(data!C109, 49)</f>
        <v>Tim O'Connell</v>
      </c>
      <c r="N2" s="11" t="str">
        <f>LEFT(data!C110, 49)</f>
        <v>oconnetr@lhd3.org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14" sqref="A1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1074</v>
      </c>
      <c r="B1" s="12" t="s">
        <v>1075</v>
      </c>
      <c r="C1" s="12" t="s">
        <v>1076</v>
      </c>
      <c r="D1" s="12" t="s">
        <v>1077</v>
      </c>
      <c r="E1" s="12" t="s">
        <v>1078</v>
      </c>
      <c r="F1" s="12" t="s">
        <v>1079</v>
      </c>
      <c r="G1" s="12" t="s">
        <v>1080</v>
      </c>
      <c r="H1" s="12" t="s">
        <v>1081</v>
      </c>
      <c r="I1" s="12" t="s">
        <v>1082</v>
      </c>
      <c r="J1" s="12" t="s">
        <v>1083</v>
      </c>
      <c r="K1" s="12" t="s">
        <v>1084</v>
      </c>
      <c r="L1" s="12" t="s">
        <v>1085</v>
      </c>
      <c r="M1" s="12" t="s">
        <v>1086</v>
      </c>
      <c r="N1" s="12" t="s">
        <v>1087</v>
      </c>
      <c r="O1" s="12" t="s">
        <v>1088</v>
      </c>
      <c r="P1" s="12" t="s">
        <v>1089</v>
      </c>
      <c r="Q1" s="12" t="s">
        <v>1090</v>
      </c>
      <c r="R1" s="12" t="s">
        <v>1091</v>
      </c>
      <c r="S1" s="12" t="s">
        <v>1092</v>
      </c>
      <c r="T1" s="12" t="s">
        <v>1093</v>
      </c>
      <c r="U1" s="12" t="s">
        <v>1094</v>
      </c>
      <c r="V1" s="12" t="s">
        <v>1095</v>
      </c>
      <c r="W1" s="12" t="s">
        <v>1096</v>
      </c>
      <c r="X1" s="12" t="s">
        <v>1097</v>
      </c>
      <c r="Y1" s="12" t="s">
        <v>1098</v>
      </c>
      <c r="Z1" s="12" t="s">
        <v>1099</v>
      </c>
      <c r="AA1" s="12" t="s">
        <v>1100</v>
      </c>
      <c r="AB1" s="12" t="s">
        <v>1101</v>
      </c>
      <c r="AC1" s="12" t="s">
        <v>1102</v>
      </c>
      <c r="AD1" s="12" t="s">
        <v>1103</v>
      </c>
      <c r="AE1" s="12" t="s">
        <v>1104</v>
      </c>
      <c r="AF1" s="12" t="s">
        <v>1105</v>
      </c>
      <c r="AG1" s="12" t="s">
        <v>1106</v>
      </c>
      <c r="AH1" s="12" t="s">
        <v>1107</v>
      </c>
      <c r="AI1" s="12" t="s">
        <v>1108</v>
      </c>
      <c r="AJ1" s="12" t="s">
        <v>1109</v>
      </c>
      <c r="AK1" s="12" t="s">
        <v>1110</v>
      </c>
      <c r="AL1" s="12" t="s">
        <v>1111</v>
      </c>
      <c r="AM1" s="12" t="s">
        <v>1112</v>
      </c>
      <c r="AN1" s="12" t="s">
        <v>1113</v>
      </c>
      <c r="AO1" s="12" t="s">
        <v>1114</v>
      </c>
      <c r="AP1" s="12" t="s">
        <v>1115</v>
      </c>
      <c r="AQ1" s="12" t="s">
        <v>1116</v>
      </c>
      <c r="AR1" s="12" t="s">
        <v>1117</v>
      </c>
      <c r="AS1" s="12" t="s">
        <v>1118</v>
      </c>
      <c r="AT1" s="12" t="s">
        <v>1119</v>
      </c>
      <c r="AU1" s="12" t="s">
        <v>1120</v>
      </c>
      <c r="AV1" s="12" t="s">
        <v>1121</v>
      </c>
      <c r="AW1" s="12" t="s">
        <v>1122</v>
      </c>
      <c r="AX1" s="12" t="s">
        <v>1123</v>
      </c>
      <c r="AY1" s="12" t="s">
        <v>1124</v>
      </c>
      <c r="AZ1" s="12" t="s">
        <v>1125</v>
      </c>
      <c r="BA1" s="12" t="s">
        <v>1126</v>
      </c>
      <c r="BB1" s="12" t="s">
        <v>1127</v>
      </c>
      <c r="BC1" s="12" t="s">
        <v>1128</v>
      </c>
      <c r="BD1" s="12" t="s">
        <v>1129</v>
      </c>
      <c r="BE1" s="12" t="s">
        <v>1130</v>
      </c>
      <c r="BF1" s="12" t="s">
        <v>1131</v>
      </c>
      <c r="BG1" s="12" t="s">
        <v>1132</v>
      </c>
      <c r="BH1" s="12" t="s">
        <v>1133</v>
      </c>
      <c r="BI1" s="12" t="s">
        <v>1134</v>
      </c>
      <c r="BJ1" s="12" t="s">
        <v>1135</v>
      </c>
      <c r="BK1" s="12" t="s">
        <v>1136</v>
      </c>
      <c r="BL1" s="12" t="s">
        <v>1137</v>
      </c>
      <c r="BM1" s="12" t="s">
        <v>1138</v>
      </c>
      <c r="BN1" s="12" t="s">
        <v>1139</v>
      </c>
      <c r="BO1" s="12" t="s">
        <v>1140</v>
      </c>
      <c r="BP1" s="12" t="s">
        <v>1141</v>
      </c>
      <c r="BQ1" s="12" t="s">
        <v>1142</v>
      </c>
      <c r="BR1" s="12" t="s">
        <v>1143</v>
      </c>
      <c r="BS1" s="12" t="s">
        <v>1144</v>
      </c>
      <c r="BT1" s="12" t="s">
        <v>1145</v>
      </c>
      <c r="BU1" s="12" t="s">
        <v>1146</v>
      </c>
      <c r="BV1" s="12" t="s">
        <v>1147</v>
      </c>
      <c r="BW1" s="12" t="s">
        <v>1148</v>
      </c>
      <c r="BX1" s="12" t="s">
        <v>1149</v>
      </c>
      <c r="BY1" s="12" t="s">
        <v>1150</v>
      </c>
      <c r="BZ1" s="12" t="s">
        <v>1151</v>
      </c>
      <c r="CA1" s="12" t="s">
        <v>1152</v>
      </c>
      <c r="CB1" s="12" t="s">
        <v>1153</v>
      </c>
      <c r="CC1" s="12" t="s">
        <v>1154</v>
      </c>
      <c r="CD1" s="12" t="s">
        <v>1155</v>
      </c>
      <c r="CE1" s="12" t="s">
        <v>1156</v>
      </c>
      <c r="CF1" s="12" t="s">
        <v>1157</v>
      </c>
    </row>
    <row r="2" spans="1:84" s="169" customFormat="1" ht="12.65" customHeight="1" x14ac:dyDescent="0.35">
      <c r="A2" s="12" t="str">
        <f>RIGHT(data!C97,3)</f>
        <v>137</v>
      </c>
      <c r="B2" s="200" t="str">
        <f>RIGHT(data!C96,4)</f>
        <v>2023</v>
      </c>
      <c r="C2" s="12" t="s">
        <v>1158</v>
      </c>
      <c r="D2" s="199">
        <f>ROUND(N(data!C181),0)</f>
        <v>1113218</v>
      </c>
      <c r="E2" s="199">
        <f>ROUND(N(data!C182),0)</f>
        <v>8344</v>
      </c>
      <c r="F2" s="199">
        <f>ROUND(N(data!C183),0)</f>
        <v>167426</v>
      </c>
      <c r="G2" s="199">
        <f>ROUND(N(data!C184),0)</f>
        <v>1905921</v>
      </c>
      <c r="H2" s="199">
        <f>ROUND(N(data!C185),0)</f>
        <v>0</v>
      </c>
      <c r="I2" s="199">
        <f>ROUND(N(data!C186),0)</f>
        <v>404874</v>
      </c>
      <c r="J2" s="199">
        <f>ROUND(N(data!C187)+N(data!C188),0)</f>
        <v>121004</v>
      </c>
      <c r="K2" s="199">
        <f>ROUND(N(data!C191),0)</f>
        <v>0</v>
      </c>
      <c r="L2" s="199">
        <f>ROUND(N(data!C192),0)</f>
        <v>84582</v>
      </c>
      <c r="M2" s="199">
        <f>ROUND(N(data!C195),0)</f>
        <v>328040</v>
      </c>
      <c r="N2" s="199">
        <f>ROUND(N(data!C196),0)</f>
        <v>0</v>
      </c>
      <c r="O2" s="199">
        <f>ROUND(N(data!C199),0)</f>
        <v>99024</v>
      </c>
      <c r="P2" s="199">
        <f>ROUND(N(data!C200),0)</f>
        <v>81917</v>
      </c>
      <c r="Q2" s="199">
        <f>ROUND(N(data!C201),0)</f>
        <v>162897</v>
      </c>
      <c r="R2" s="199">
        <f>ROUND(N(data!C204),0)</f>
        <v>195771</v>
      </c>
      <c r="S2" s="199">
        <f>ROUND(N(data!C205),0)</f>
        <v>0</v>
      </c>
      <c r="T2" s="199">
        <f>ROUND(N(data!B211),0)</f>
        <v>792630</v>
      </c>
      <c r="U2" s="199">
        <f>ROUND(N(data!C211),0)</f>
        <v>0</v>
      </c>
      <c r="V2" s="199">
        <f>ROUND(N(data!D211),0)</f>
        <v>0</v>
      </c>
      <c r="W2" s="199">
        <f>ROUND(N(data!B212),0)</f>
        <v>324429</v>
      </c>
      <c r="X2" s="199">
        <f>ROUND(N(data!C212),0)</f>
        <v>0</v>
      </c>
      <c r="Y2" s="199">
        <f>ROUND(N(data!D212),0)</f>
        <v>0</v>
      </c>
      <c r="Z2" s="199">
        <f>ROUND(N(data!B213),0)</f>
        <v>12857806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5310503</v>
      </c>
      <c r="AG2" s="199">
        <f>ROUND(N(data!C215),0)</f>
        <v>0</v>
      </c>
      <c r="AH2" s="199">
        <f>ROUND(N(data!D215),0)</f>
        <v>0</v>
      </c>
      <c r="AI2" s="199">
        <f>ROUND(N(data!B216),0)</f>
        <v>8211644</v>
      </c>
      <c r="AJ2" s="199">
        <f>ROUND(N(data!C216),0)</f>
        <v>3142172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138048</v>
      </c>
      <c r="AS2" s="199">
        <f>ROUND(N(data!C219),0)</f>
        <v>-138048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310261</v>
      </c>
      <c r="AY2" s="199">
        <f>ROUND(N(data!C225),0)</f>
        <v>2881</v>
      </c>
      <c r="AZ2" s="199">
        <f>ROUND(N(data!D225),0)</f>
        <v>0</v>
      </c>
      <c r="BA2" s="199">
        <f>ROUND(N(data!B226),0)</f>
        <v>4873907</v>
      </c>
      <c r="BB2" s="199">
        <f>ROUND(N(data!C226),0)</f>
        <v>527715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4954063</v>
      </c>
      <c r="BH2" s="199">
        <f>ROUND(N(data!C228),0)</f>
        <v>92613</v>
      </c>
      <c r="BI2" s="199">
        <f>ROUND(N(data!D228),0)</f>
        <v>0</v>
      </c>
      <c r="BJ2" s="199">
        <f>ROUND(N(data!B229),0)</f>
        <v>6571725</v>
      </c>
      <c r="BK2" s="199">
        <f>ROUND(N(data!C229),0)</f>
        <v>959971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1178886</v>
      </c>
      <c r="BW2" s="199">
        <f>ROUND(N(data!C240),0)</f>
        <v>1301134</v>
      </c>
      <c r="BX2" s="199">
        <f>ROUND(N(data!C241),0)</f>
        <v>0</v>
      </c>
      <c r="BY2" s="199">
        <f>ROUND(N(data!C242),0)</f>
        <v>0</v>
      </c>
      <c r="BZ2" s="199">
        <f>ROUND(N(data!C243),0)</f>
        <v>3369213</v>
      </c>
      <c r="CA2" s="199">
        <f>ROUND(N(data!C244),0)</f>
        <v>0</v>
      </c>
      <c r="CB2" s="199">
        <f>ROUND(N(data!C247),0)</f>
        <v>83</v>
      </c>
      <c r="CC2" s="199">
        <f>ROUND(N(data!C249),0)</f>
        <v>0</v>
      </c>
      <c r="CD2" s="199">
        <f>ROUND(N(data!C250),0)</f>
        <v>165007</v>
      </c>
      <c r="CE2" s="199">
        <f>ROUND(N(data!C254)+N(data!C255),0)</f>
        <v>77058</v>
      </c>
      <c r="CF2" s="199">
        <f>ROUND(N(data!D237),0)</f>
        <v>961215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69" customFormat="1" ht="12.65" customHeight="1" x14ac:dyDescent="0.35">
      <c r="A2" s="12" t="str">
        <f>RIGHT(data!C97,3)</f>
        <v>137</v>
      </c>
      <c r="B2" s="12" t="str">
        <f>RIGHT(data!C96,4)</f>
        <v>2023</v>
      </c>
      <c r="C2" s="12" t="s">
        <v>1158</v>
      </c>
      <c r="D2" s="198">
        <f>ROUND(N(data!C127),0)</f>
        <v>217</v>
      </c>
      <c r="E2" s="198">
        <f>ROUND(N(data!C128),0)</f>
        <v>104</v>
      </c>
      <c r="F2" s="198">
        <f>ROUND(N(data!C129),0)</f>
        <v>0</v>
      </c>
      <c r="G2" s="198">
        <f>ROUND(N(data!C130),0)</f>
        <v>0</v>
      </c>
      <c r="H2" s="198">
        <f>ROUND(N(data!D127),0)</f>
        <v>801</v>
      </c>
      <c r="I2" s="198">
        <f>ROUND(N(data!D128),0)</f>
        <v>3846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25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25</v>
      </c>
      <c r="U2" s="198">
        <f>ROUND(N(data!C141),0)</f>
        <v>0</v>
      </c>
      <c r="V2" s="198">
        <f>ROUND(N(data!C142),0)</f>
        <v>0</v>
      </c>
      <c r="W2" s="198">
        <f>ROUND(N(data!C144),0)</f>
        <v>0</v>
      </c>
      <c r="X2" s="198">
        <f>ROUND(N(data!C145),0)</f>
        <v>0</v>
      </c>
      <c r="Y2" s="198">
        <f>ROUND(N(data!B154),0)</f>
        <v>173</v>
      </c>
      <c r="Z2" s="198">
        <f>ROUND(N(data!B155),0)</f>
        <v>642</v>
      </c>
      <c r="AA2" s="198">
        <f>ROUND(N(data!B156),0)</f>
        <v>16328</v>
      </c>
      <c r="AB2" s="198">
        <f>ROUND(N(data!B157),0)</f>
        <v>2353500</v>
      </c>
      <c r="AC2" s="198">
        <f>ROUND(N(data!B158),0)</f>
        <v>12614440</v>
      </c>
      <c r="AD2" s="198">
        <f>ROUND(N(data!C154),0)</f>
        <v>19</v>
      </c>
      <c r="AE2" s="198">
        <f>ROUND(N(data!C155),0)</f>
        <v>62</v>
      </c>
      <c r="AF2" s="198">
        <f>ROUND(N(data!C156),0)</f>
        <v>6723</v>
      </c>
      <c r="AG2" s="198">
        <f>ROUND(N(data!C157),0)</f>
        <v>850665</v>
      </c>
      <c r="AH2" s="198">
        <f>ROUND(N(data!C158),0)</f>
        <v>4204813</v>
      </c>
      <c r="AI2" s="198">
        <f>ROUND(N(data!D154),0)</f>
        <v>25</v>
      </c>
      <c r="AJ2" s="198">
        <f>ROUND(N(data!D155),0)</f>
        <v>97</v>
      </c>
      <c r="AK2" s="198">
        <f>ROUND(N(data!D156),0)</f>
        <v>0</v>
      </c>
      <c r="AL2" s="198">
        <f>ROUND(N(data!D157),0)</f>
        <v>1482708</v>
      </c>
      <c r="AM2" s="198">
        <f>ROUND(N(data!D158),0)</f>
        <v>13485517</v>
      </c>
      <c r="AN2" s="198">
        <f>ROUND(N(data!B160),0)</f>
        <v>79</v>
      </c>
      <c r="AO2" s="198">
        <f>ROUND(N(data!B161),0)</f>
        <v>929</v>
      </c>
      <c r="AP2" s="198">
        <f>ROUND(N(data!B162),0)</f>
        <v>0</v>
      </c>
      <c r="AQ2" s="198">
        <f>ROUND(N(data!B163),0)</f>
        <v>607063</v>
      </c>
      <c r="AR2" s="198">
        <f>ROUND(N(data!B164),0)</f>
        <v>0</v>
      </c>
      <c r="AS2" s="198">
        <f>ROUND(N(data!C160),0)</f>
        <v>16</v>
      </c>
      <c r="AT2" s="198">
        <f>ROUND(N(data!C161),0)</f>
        <v>1055</v>
      </c>
      <c r="AU2" s="198">
        <f>ROUND(N(data!C162),0)</f>
        <v>0</v>
      </c>
      <c r="AV2" s="198">
        <f>ROUND(N(data!C163),0)</f>
        <v>136189</v>
      </c>
      <c r="AW2" s="198">
        <f>ROUND(N(data!C164),0)</f>
        <v>0</v>
      </c>
      <c r="AX2" s="198">
        <f>ROUND(N(data!D160),0)</f>
        <v>9</v>
      </c>
      <c r="AY2" s="198">
        <f>ROUND(N(data!D161),0)</f>
        <v>1862</v>
      </c>
      <c r="AZ2" s="198">
        <f>ROUND(N(data!D162),0)</f>
        <v>0</v>
      </c>
      <c r="BA2" s="198">
        <f>ROUND(N(data!D163),0)</f>
        <v>376383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197" t="s">
        <v>1324</v>
      </c>
      <c r="CR1" s="197" t="s">
        <v>1325</v>
      </c>
      <c r="CS1" s="197" t="s">
        <v>1326</v>
      </c>
      <c r="CT1" s="197" t="s">
        <v>1327</v>
      </c>
      <c r="CU1" s="197" t="s">
        <v>1328</v>
      </c>
      <c r="CV1" s="197" t="s">
        <v>1329</v>
      </c>
      <c r="CW1" s="197" t="s">
        <v>1330</v>
      </c>
      <c r="CX1" s="197" t="s">
        <v>1331</v>
      </c>
      <c r="CY1" s="197" t="s">
        <v>1332</v>
      </c>
      <c r="CZ1" s="197" t="s">
        <v>1333</v>
      </c>
      <c r="DA1" s="197" t="s">
        <v>1334</v>
      </c>
      <c r="DB1" s="197" t="s">
        <v>1335</v>
      </c>
      <c r="DC1" s="197" t="s">
        <v>1336</v>
      </c>
      <c r="DD1" s="197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69" customFormat="1" ht="12.65" customHeight="1" x14ac:dyDescent="0.35">
      <c r="A2" s="199" t="str">
        <f>RIGHT(data!C97,3)</f>
        <v>137</v>
      </c>
      <c r="B2" s="200" t="str">
        <f>RIGHT(data!C96,4)</f>
        <v>2023</v>
      </c>
      <c r="C2" s="12" t="s">
        <v>1158</v>
      </c>
      <c r="D2" s="198">
        <f>ROUND(N(data!C181),0)</f>
        <v>1113218</v>
      </c>
      <c r="E2" s="198">
        <f>ROUND(N(data!C267),0)</f>
        <v>0</v>
      </c>
      <c r="F2" s="198">
        <f>ROUND(N(data!C268),0)</f>
        <v>3474608</v>
      </c>
      <c r="G2" s="198">
        <f>ROUND(N(data!C269),0)</f>
        <v>0</v>
      </c>
      <c r="H2" s="198">
        <f>ROUND(N(data!C270),0)</f>
        <v>2061445</v>
      </c>
      <c r="I2" s="198">
        <f>ROUND(N(data!C271),0)</f>
        <v>142134</v>
      </c>
      <c r="J2" s="198">
        <f>ROUND(N(data!C272),0)</f>
        <v>0</v>
      </c>
      <c r="K2" s="198">
        <f>ROUND(N(data!C273),0)</f>
        <v>682438</v>
      </c>
      <c r="L2" s="198">
        <f>ROUND(N(data!C274),0)</f>
        <v>74420</v>
      </c>
      <c r="M2" s="198">
        <f>ROUND(N(data!C275),0)</f>
        <v>0</v>
      </c>
      <c r="N2" s="198">
        <f>ROUND(N(data!C278),0)</f>
        <v>10003942</v>
      </c>
      <c r="O2" s="198">
        <f>ROUND(N(data!C279),0)</f>
        <v>0</v>
      </c>
      <c r="P2" s="198">
        <f>ROUND(N(data!C280),0)</f>
        <v>0</v>
      </c>
      <c r="Q2" s="198">
        <f>ROUND(N(data!C283),0)</f>
        <v>792630</v>
      </c>
      <c r="R2" s="198">
        <f>ROUND(N(data!C284),0)</f>
        <v>324429</v>
      </c>
      <c r="S2" s="198">
        <f>ROUND(N(data!C285),0)</f>
        <v>12857806</v>
      </c>
      <c r="T2" s="198">
        <f>ROUND(N(data!C286),0)</f>
        <v>0</v>
      </c>
      <c r="U2" s="198">
        <f>ROUND(N(data!C287),0)</f>
        <v>5310503</v>
      </c>
      <c r="V2" s="198">
        <f>ROUND(N(data!C288),0)</f>
        <v>11353816</v>
      </c>
      <c r="W2" s="198">
        <f>ROUND(N(data!C289),0)</f>
        <v>0</v>
      </c>
      <c r="X2" s="198">
        <f>ROUND(N(data!C290),0)</f>
        <v>0</v>
      </c>
      <c r="Y2" s="198">
        <f>ROUND(N(data!C291),0)</f>
        <v>0</v>
      </c>
      <c r="Z2" s="198">
        <f>ROUND(N(data!C292),0)</f>
        <v>18293136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774849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684543</v>
      </c>
      <c r="AJ2" s="198">
        <f>ROUND(N(data!C315),0)</f>
        <v>396737</v>
      </c>
      <c r="AK2" s="198">
        <f>ROUND(N(data!C316),0)</f>
        <v>2094664</v>
      </c>
      <c r="AL2" s="198">
        <f>ROUND(N(data!C317),0)</f>
        <v>20563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395098</v>
      </c>
      <c r="AY2" s="198">
        <f>ROUND(N(data!C334),0)</f>
        <v>107716</v>
      </c>
      <c r="AZ2" s="198">
        <f>ROUND(N(data!C335),0)</f>
        <v>6046405</v>
      </c>
      <c r="BA2" s="198">
        <f>ROUND(N(data!C336),0)</f>
        <v>0</v>
      </c>
      <c r="BB2" s="198">
        <f>ROUND(N(data!C337),0)</f>
        <v>0</v>
      </c>
      <c r="BC2" s="198">
        <f>ROUND(N(data!C338),0)</f>
        <v>2036075</v>
      </c>
      <c r="BD2" s="198">
        <f>ROUND(N(data!C339),0)</f>
        <v>0</v>
      </c>
      <c r="BE2" s="198">
        <f>ROUND(N(data!C343),0)</f>
        <v>19838364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178.64</v>
      </c>
      <c r="BL2" s="198">
        <f>ROUND(N(data!C358),0)</f>
        <v>0</v>
      </c>
      <c r="BM2" s="198">
        <f>ROUND(N(data!C359),0)</f>
        <v>0</v>
      </c>
      <c r="BN2" s="198">
        <f>ROUND(N(data!C363),0)</f>
        <v>0</v>
      </c>
      <c r="BO2" s="198">
        <f>ROUND(N(data!C364),0)</f>
        <v>0</v>
      </c>
      <c r="BP2" s="198">
        <f>ROUND(N(data!C365),0)</f>
        <v>0</v>
      </c>
      <c r="BQ2" s="198">
        <f>ROUND(N(data!D381),0)</f>
        <v>983773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0</v>
      </c>
      <c r="CC2" s="198">
        <f>ROUND(N(data!C382),0)</f>
        <v>0</v>
      </c>
      <c r="CD2" s="198">
        <f>ROUND(N(data!C389),0)</f>
        <v>16671935</v>
      </c>
      <c r="CE2" s="198">
        <f>ROUND(N(data!C390),0)</f>
        <v>3720787</v>
      </c>
      <c r="CF2" s="198">
        <f>ROUND(N(data!C391),0)</f>
        <v>846694</v>
      </c>
      <c r="CG2" s="198">
        <f>ROUND(N(data!C392),0)</f>
        <v>2210224</v>
      </c>
      <c r="CH2" s="198">
        <f>ROUND(N(data!C393),0)</f>
        <v>507622</v>
      </c>
      <c r="CI2" s="198">
        <f>ROUND(N(data!C394),0)</f>
        <v>1790021</v>
      </c>
      <c r="CJ2" s="198">
        <f>ROUND(N(data!C395),0)</f>
        <v>1583180</v>
      </c>
      <c r="CK2" s="198">
        <f>ROUND(N(data!C396),0)</f>
        <v>84582</v>
      </c>
      <c r="CL2" s="198">
        <f>ROUND(N(data!C397),0)</f>
        <v>328040</v>
      </c>
      <c r="CM2" s="198">
        <f>ROUND(N(data!C398),0)</f>
        <v>0</v>
      </c>
      <c r="CN2" s="198">
        <f>ROUND(N(data!C399),0)</f>
        <v>0</v>
      </c>
      <c r="CO2" s="198">
        <f>ROUND(N(data!C362),0)</f>
        <v>0</v>
      </c>
      <c r="CP2" s="198">
        <f>ROUND(N(data!D415),0)</f>
        <v>3522691</v>
      </c>
      <c r="CQ2" s="52">
        <f>ROUND(N(data!C401),0)</f>
        <v>0</v>
      </c>
      <c r="CR2" s="52">
        <f>ROUND(N(data!C402),0)</f>
        <v>2539398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77784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305326</v>
      </c>
      <c r="DB2" s="52">
        <f>ROUND(N(data!C412),0)</f>
        <v>343838</v>
      </c>
      <c r="DC2" s="52">
        <f>ROUND(N(data!C413),0)</f>
        <v>0</v>
      </c>
      <c r="DD2" s="52">
        <f>ROUND(N(data!C414),0)</f>
        <v>-38922</v>
      </c>
      <c r="DE2" s="52">
        <f>ROUND(N(data!C419),0)</f>
        <v>0</v>
      </c>
      <c r="DF2" s="198">
        <f>ROUND(N(data!D420),0)</f>
        <v>431470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137</v>
      </c>
      <c r="B2" s="200" t="str">
        <f>RIGHT(data!$C$96,4)</f>
        <v>2023</v>
      </c>
      <c r="C2" s="12" t="str">
        <f>data!C$55</f>
        <v>6010</v>
      </c>
      <c r="D2" s="12" t="s">
        <v>1158</v>
      </c>
      <c r="E2" s="198">
        <f>ROUND(N(data!C59), 0)</f>
        <v>0</v>
      </c>
      <c r="F2" s="314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137</v>
      </c>
      <c r="B3" s="200" t="str">
        <f>RIGHT(data!$C$96,4)</f>
        <v>2023</v>
      </c>
      <c r="C3" s="12" t="str">
        <f>data!D$55</f>
        <v>6030</v>
      </c>
      <c r="D3" s="12" t="s">
        <v>1158</v>
      </c>
      <c r="E3" s="198">
        <f>ROUND(N(data!D59), 0)</f>
        <v>0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137</v>
      </c>
      <c r="B4" s="200" t="str">
        <f>RIGHT(data!$C$96,4)</f>
        <v>2023</v>
      </c>
      <c r="C4" s="12" t="str">
        <f>data!E$55</f>
        <v>6070</v>
      </c>
      <c r="D4" s="12" t="s">
        <v>1158</v>
      </c>
      <c r="E4" s="198">
        <f>ROUND(N(data!E59), 0)</f>
        <v>801</v>
      </c>
      <c r="F4" s="314">
        <f>ROUND(N(data!E60), 2)</f>
        <v>18.940000000000001</v>
      </c>
      <c r="G4" s="198">
        <f>ROUND(N(data!E61), 0)</f>
        <v>1983822</v>
      </c>
      <c r="H4" s="198">
        <f>ROUND(N(data!E62), 0)</f>
        <v>450028</v>
      </c>
      <c r="I4" s="198">
        <f>ROUND(N(data!E63), 0)</f>
        <v>2232</v>
      </c>
      <c r="J4" s="198">
        <f>ROUND(N(data!E64), 0)</f>
        <v>70790</v>
      </c>
      <c r="K4" s="198">
        <f>ROUND(N(data!E65), 0)</f>
        <v>3195</v>
      </c>
      <c r="L4" s="198">
        <f>ROUND(N(data!E66), 0)</f>
        <v>96576</v>
      </c>
      <c r="M4" s="198">
        <f>ROUND(N(data!E67), 0)</f>
        <v>103194</v>
      </c>
      <c r="N4" s="198">
        <f>ROUND(N(data!E68), 0)</f>
        <v>25542</v>
      </c>
      <c r="O4" s="198">
        <f>ROUND(N(data!E69), 0)</f>
        <v>1151475</v>
      </c>
      <c r="P4" s="198">
        <f>ROUND(N(data!E70), 0)</f>
        <v>0</v>
      </c>
      <c r="Q4" s="198">
        <f>ROUND(N(data!E71), 0)</f>
        <v>1120427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17107</v>
      </c>
      <c r="AA4" s="198">
        <f>ROUND(N(data!E81), 0)</f>
        <v>12282</v>
      </c>
      <c r="AB4" s="198">
        <f>ROUND(N(data!E82), 0)</f>
        <v>0</v>
      </c>
      <c r="AC4" s="198">
        <f>ROUND(N(data!E83), 0)</f>
        <v>1659</v>
      </c>
      <c r="AD4" s="198">
        <f>ROUND(N(data!E84), 0)</f>
        <v>0</v>
      </c>
      <c r="AE4" s="198">
        <f>ROUND(N(data!E89), 0)</f>
        <v>1733937</v>
      </c>
      <c r="AF4" s="198">
        <f>ROUND(N(data!E87), 0)</f>
        <v>1730015</v>
      </c>
      <c r="AG4" s="198">
        <f>ROUND(N(data!E90), 0)</f>
        <v>4802</v>
      </c>
      <c r="AH4" s="198">
        <f>ROUND(N(data!E91), 0)</f>
        <v>0</v>
      </c>
      <c r="AI4" s="198">
        <f>ROUND(N(data!E92), 0)</f>
        <v>446</v>
      </c>
      <c r="AJ4" s="198">
        <f>ROUND(N(data!E93), 0)</f>
        <v>3055</v>
      </c>
      <c r="AK4" s="314">
        <f>ROUND(N(data!E94), 2)</f>
        <v>15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137</v>
      </c>
      <c r="B5" s="200" t="str">
        <f>RIGHT(data!$C$96,4)</f>
        <v>2023</v>
      </c>
      <c r="C5" s="12" t="str">
        <f>data!F$55</f>
        <v>6100</v>
      </c>
      <c r="D5" s="12" t="s">
        <v>1158</v>
      </c>
      <c r="E5" s="198">
        <f>ROUND(N(data!F59), 0)</f>
        <v>0</v>
      </c>
      <c r="F5" s="314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137</v>
      </c>
      <c r="B6" s="200" t="str">
        <f>RIGHT(data!$C$96,4)</f>
        <v>2023</v>
      </c>
      <c r="C6" s="12" t="str">
        <f>data!G$55</f>
        <v>6120</v>
      </c>
      <c r="D6" s="12" t="s">
        <v>1158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137</v>
      </c>
      <c r="B7" s="200" t="str">
        <f>RIGHT(data!$C$96,4)</f>
        <v>2023</v>
      </c>
      <c r="C7" s="12" t="str">
        <f>data!H$55</f>
        <v>6140</v>
      </c>
      <c r="D7" s="12" t="s">
        <v>1158</v>
      </c>
      <c r="E7" s="198">
        <f>ROUND(N(data!H59), 0)</f>
        <v>0</v>
      </c>
      <c r="F7" s="314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137</v>
      </c>
      <c r="B8" s="200" t="str">
        <f>RIGHT(data!$C$96,4)</f>
        <v>2023</v>
      </c>
      <c r="C8" s="12" t="str">
        <f>data!I$55</f>
        <v>6150</v>
      </c>
      <c r="D8" s="12" t="s">
        <v>1158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137</v>
      </c>
      <c r="B9" s="200" t="str">
        <f>RIGHT(data!$C$96,4)</f>
        <v>2023</v>
      </c>
      <c r="C9" s="12" t="str">
        <f>data!J$55</f>
        <v>6170</v>
      </c>
      <c r="D9" s="12" t="s">
        <v>1158</v>
      </c>
      <c r="E9" s="198">
        <f>ROUND(N(data!J59), 0)</f>
        <v>0</v>
      </c>
      <c r="F9" s="314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137</v>
      </c>
      <c r="B10" s="200" t="str">
        <f>RIGHT(data!$C$96,4)</f>
        <v>2023</v>
      </c>
      <c r="C10" s="12" t="str">
        <f>data!K$55</f>
        <v>6200</v>
      </c>
      <c r="D10" s="12" t="s">
        <v>1158</v>
      </c>
      <c r="E10" s="198">
        <f>ROUND(N(data!K59), 0)</f>
        <v>0</v>
      </c>
      <c r="F10" s="314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16584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137</v>
      </c>
      <c r="B11" s="200" t="str">
        <f>RIGHT(data!$C$96,4)</f>
        <v>2023</v>
      </c>
      <c r="C11" s="12" t="str">
        <f>data!L$55</f>
        <v>6210</v>
      </c>
      <c r="D11" s="12" t="s">
        <v>1158</v>
      </c>
      <c r="E11" s="198">
        <f>ROUND(N(data!L59), 0)</f>
        <v>3846</v>
      </c>
      <c r="F11" s="314">
        <f>ROUND(N(data!L60), 2)</f>
        <v>16.55</v>
      </c>
      <c r="G11" s="198">
        <f>ROUND(N(data!L61), 0)</f>
        <v>1284394</v>
      </c>
      <c r="H11" s="198">
        <f>ROUND(N(data!L62), 0)</f>
        <v>332708</v>
      </c>
      <c r="I11" s="198">
        <f>ROUND(N(data!L63), 0)</f>
        <v>0</v>
      </c>
      <c r="J11" s="198">
        <f>ROUND(N(data!L64), 0)</f>
        <v>28128</v>
      </c>
      <c r="K11" s="198">
        <f>ROUND(N(data!L65), 0)</f>
        <v>1635</v>
      </c>
      <c r="L11" s="198">
        <f>ROUND(N(data!L66), 0)</f>
        <v>4594</v>
      </c>
      <c r="M11" s="198">
        <f>ROUND(N(data!L67), 0)</f>
        <v>16584</v>
      </c>
      <c r="N11" s="198">
        <f>ROUND(N(data!L68), 0)</f>
        <v>11807</v>
      </c>
      <c r="O11" s="198">
        <f>ROUND(N(data!L69), 0)</f>
        <v>168374</v>
      </c>
      <c r="P11" s="198">
        <f>ROUND(N(data!L70), 0)</f>
        <v>0</v>
      </c>
      <c r="Q11" s="198">
        <f>ROUND(N(data!L71), 0)</f>
        <v>160108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8134</v>
      </c>
      <c r="AA11" s="198">
        <f>ROUND(N(data!L81), 0)</f>
        <v>131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1120362</v>
      </c>
      <c r="AF11" s="198">
        <f>ROUND(N(data!L87), 0)</f>
        <v>1117756</v>
      </c>
      <c r="AG11" s="198">
        <f>ROUND(N(data!L90), 0)</f>
        <v>6141</v>
      </c>
      <c r="AH11" s="198">
        <f>ROUND(N(data!L91), 0)</f>
        <v>0</v>
      </c>
      <c r="AI11" s="198">
        <f>ROUND(N(data!L92), 0)</f>
        <v>446</v>
      </c>
      <c r="AJ11" s="198">
        <f>ROUND(N(data!L93), 0)</f>
        <v>3544</v>
      </c>
      <c r="AK11" s="314">
        <f>ROUND(N(data!L94), 2)</f>
        <v>9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137</v>
      </c>
      <c r="B12" s="200" t="str">
        <f>RIGHT(data!$C$96,4)</f>
        <v>2023</v>
      </c>
      <c r="C12" s="12" t="str">
        <f>data!M$55</f>
        <v>6330</v>
      </c>
      <c r="D12" s="12" t="s">
        <v>1158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137</v>
      </c>
      <c r="B13" s="200" t="str">
        <f>RIGHT(data!$C$96,4)</f>
        <v>2023</v>
      </c>
      <c r="C13" s="12" t="str">
        <f>data!N$55</f>
        <v>6400</v>
      </c>
      <c r="D13" s="12" t="s">
        <v>1158</v>
      </c>
      <c r="E13" s="198">
        <f>ROUND(N(data!N59), 0)</f>
        <v>569</v>
      </c>
      <c r="F13" s="314">
        <f>ROUND(N(data!N60), 2)</f>
        <v>0.94</v>
      </c>
      <c r="G13" s="198">
        <f>ROUND(N(data!N61), 0)</f>
        <v>84341</v>
      </c>
      <c r="H13" s="198">
        <f>ROUND(N(data!N62), 0)</f>
        <v>26226</v>
      </c>
      <c r="I13" s="198">
        <f>ROUND(N(data!N63), 0)</f>
        <v>0</v>
      </c>
      <c r="J13" s="198">
        <f>ROUND(N(data!N64), 0)</f>
        <v>12710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211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106</v>
      </c>
      <c r="AA13" s="198">
        <f>ROUND(N(data!N81), 0)</f>
        <v>29</v>
      </c>
      <c r="AB13" s="198">
        <f>ROUND(N(data!N82), 0)</f>
        <v>0</v>
      </c>
      <c r="AC13" s="198">
        <f>ROUND(N(data!N83), 0)</f>
        <v>76</v>
      </c>
      <c r="AD13" s="198">
        <f>ROUND(N(data!N84), 0)</f>
        <v>0</v>
      </c>
      <c r="AE13" s="198">
        <f>ROUND(N(data!N89), 0)</f>
        <v>243759</v>
      </c>
      <c r="AF13" s="198">
        <f>ROUND(N(data!N87), 0)</f>
        <v>5116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88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137</v>
      </c>
      <c r="B14" s="200" t="str">
        <f>RIGHT(data!$C$96,4)</f>
        <v>2023</v>
      </c>
      <c r="C14" s="12" t="str">
        <f>data!O$55</f>
        <v>7010</v>
      </c>
      <c r="D14" s="12" t="s">
        <v>1158</v>
      </c>
      <c r="E14" s="198">
        <f>ROUND(N(data!O59), 0)</f>
        <v>0</v>
      </c>
      <c r="F14" s="314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137</v>
      </c>
      <c r="B15" s="200" t="str">
        <f>RIGHT(data!$C$96,4)</f>
        <v>2023</v>
      </c>
      <c r="C15" s="12" t="str">
        <f>data!P$55</f>
        <v>7020</v>
      </c>
      <c r="D15" s="12" t="s">
        <v>1158</v>
      </c>
      <c r="E15" s="198">
        <f>ROUND(N(data!P59), 0)</f>
        <v>22687</v>
      </c>
      <c r="F15" s="314">
        <f>ROUND(N(data!P60), 2)</f>
        <v>4.13</v>
      </c>
      <c r="G15" s="198">
        <f>ROUND(N(data!P61), 0)</f>
        <v>444246</v>
      </c>
      <c r="H15" s="198">
        <f>ROUND(N(data!P62), 0)</f>
        <v>123587</v>
      </c>
      <c r="I15" s="198">
        <f>ROUND(N(data!P63), 0)</f>
        <v>7970</v>
      </c>
      <c r="J15" s="198">
        <f>ROUND(N(data!P64), 0)</f>
        <v>220203</v>
      </c>
      <c r="K15" s="198">
        <f>ROUND(N(data!P65), 0)</f>
        <v>-25</v>
      </c>
      <c r="L15" s="198">
        <f>ROUND(N(data!P66), 0)</f>
        <v>30955</v>
      </c>
      <c r="M15" s="198">
        <f>ROUND(N(data!P67), 0)</f>
        <v>66463</v>
      </c>
      <c r="N15" s="198">
        <f>ROUND(N(data!P68), 0)</f>
        <v>27</v>
      </c>
      <c r="O15" s="198">
        <f>ROUND(N(data!P69), 0)</f>
        <v>2876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1651</v>
      </c>
      <c r="X15" s="198">
        <f>ROUND(N(data!P78), 0)</f>
        <v>0</v>
      </c>
      <c r="Y15" s="198">
        <f>ROUND(N(data!P79), 0)</f>
        <v>0</v>
      </c>
      <c r="Z15" s="198">
        <f>ROUND(N(data!P80), 0)</f>
        <v>610</v>
      </c>
      <c r="AA15" s="198">
        <f>ROUND(N(data!P81), 0)</f>
        <v>474</v>
      </c>
      <c r="AB15" s="198">
        <f>ROUND(N(data!P82), 0)</f>
        <v>0</v>
      </c>
      <c r="AC15" s="198">
        <f>ROUND(N(data!P83), 0)</f>
        <v>141</v>
      </c>
      <c r="AD15" s="198">
        <f>ROUND(N(data!P84), 0)</f>
        <v>0</v>
      </c>
      <c r="AE15" s="198">
        <f>ROUND(N(data!P89), 0)</f>
        <v>2150505</v>
      </c>
      <c r="AF15" s="198">
        <f>ROUND(N(data!P87), 0)</f>
        <v>85561</v>
      </c>
      <c r="AG15" s="198">
        <f>ROUND(N(data!P90), 0)</f>
        <v>1403</v>
      </c>
      <c r="AH15" s="198">
        <f>ROUND(N(data!P91), 0)</f>
        <v>0</v>
      </c>
      <c r="AI15" s="198">
        <f>ROUND(N(data!P92), 0)</f>
        <v>0</v>
      </c>
      <c r="AJ15" s="198">
        <f>ROUND(N(data!P93), 0)</f>
        <v>1098</v>
      </c>
      <c r="AK15" s="314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137</v>
      </c>
      <c r="B16" s="200" t="str">
        <f>RIGHT(data!$C$96,4)</f>
        <v>2023</v>
      </c>
      <c r="C16" s="12" t="str">
        <f>data!Q$55</f>
        <v>7030</v>
      </c>
      <c r="D16" s="12" t="s">
        <v>1158</v>
      </c>
      <c r="E16" s="198">
        <f>ROUND(N(data!Q59), 0)</f>
        <v>0</v>
      </c>
      <c r="F16" s="314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137</v>
      </c>
      <c r="B17" s="200" t="str">
        <f>RIGHT(data!$C$96,4)</f>
        <v>2023</v>
      </c>
      <c r="C17" s="12" t="str">
        <f>data!R$55</f>
        <v>7040</v>
      </c>
      <c r="D17" s="12" t="s">
        <v>1158</v>
      </c>
      <c r="E17" s="198">
        <f>ROUND(N(data!R59), 0)</f>
        <v>27656</v>
      </c>
      <c r="F17" s="314">
        <f>ROUND(N(data!R60), 2)</f>
        <v>1.42</v>
      </c>
      <c r="G17" s="198">
        <f>ROUND(N(data!R61), 0)</f>
        <v>524957</v>
      </c>
      <c r="H17" s="198">
        <f>ROUND(N(data!R62), 0)</f>
        <v>86868</v>
      </c>
      <c r="I17" s="198">
        <f>ROUND(N(data!R63), 0)</f>
        <v>0</v>
      </c>
      <c r="J17" s="198">
        <f>ROUND(N(data!R64), 0)</f>
        <v>15991</v>
      </c>
      <c r="K17" s="198">
        <f>ROUND(N(data!R65), 0)</f>
        <v>1700</v>
      </c>
      <c r="L17" s="198">
        <f>ROUND(N(data!R66), 0)</f>
        <v>2333</v>
      </c>
      <c r="M17" s="198">
        <f>ROUND(N(data!R67), 0)</f>
        <v>0</v>
      </c>
      <c r="N17" s="198">
        <f>ROUND(N(data!R68), 0)</f>
        <v>8399</v>
      </c>
      <c r="O17" s="198">
        <f>ROUND(N(data!R69), 0)</f>
        <v>68893</v>
      </c>
      <c r="P17" s="198">
        <f>ROUND(N(data!R70), 0)</f>
        <v>0</v>
      </c>
      <c r="Q17" s="198">
        <f>ROUND(N(data!R71), 0)</f>
        <v>61574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6942</v>
      </c>
      <c r="AA17" s="198">
        <f>ROUND(N(data!R81), 0)</f>
        <v>275</v>
      </c>
      <c r="AB17" s="198">
        <f>ROUND(N(data!R82), 0)</f>
        <v>0</v>
      </c>
      <c r="AC17" s="198">
        <f>ROUND(N(data!R83), 0)</f>
        <v>103</v>
      </c>
      <c r="AD17" s="198">
        <f>ROUND(N(data!R84), 0)</f>
        <v>0</v>
      </c>
      <c r="AE17" s="198">
        <f>ROUND(N(data!R89), 0)</f>
        <v>1679201</v>
      </c>
      <c r="AF17" s="198">
        <f>ROUND(N(data!R87), 0)</f>
        <v>80061</v>
      </c>
      <c r="AG17" s="198">
        <f>ROUND(N(data!R90), 0)</f>
        <v>225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137</v>
      </c>
      <c r="B18" s="200" t="str">
        <f>RIGHT(data!$C$96,4)</f>
        <v>2023</v>
      </c>
      <c r="C18" s="12" t="str">
        <f>data!S$55</f>
        <v>7050</v>
      </c>
      <c r="D18" s="12" t="s">
        <v>1158</v>
      </c>
      <c r="E18" s="198">
        <f>ROUND(N(data!S59), 0)</f>
        <v>0</v>
      </c>
      <c r="F18" s="314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137</v>
      </c>
      <c r="B19" s="200" t="str">
        <f>RIGHT(data!$C$96,4)</f>
        <v>2023</v>
      </c>
      <c r="C19" s="12" t="str">
        <f>data!T$55</f>
        <v>7060</v>
      </c>
      <c r="D19" s="12" t="s">
        <v>1158</v>
      </c>
      <c r="E19" s="198">
        <f>ROUND(N(data!T59), 0)</f>
        <v>0</v>
      </c>
      <c r="F19" s="314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46880</v>
      </c>
      <c r="AF19" s="198">
        <f>ROUND(N(data!T87), 0)</f>
        <v>18765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137</v>
      </c>
      <c r="B20" s="200" t="str">
        <f>RIGHT(data!$C$96,4)</f>
        <v>2023</v>
      </c>
      <c r="C20" s="12" t="str">
        <f>data!U$55</f>
        <v>7070</v>
      </c>
      <c r="D20" s="12" t="s">
        <v>1158</v>
      </c>
      <c r="E20" s="198">
        <f>ROUND(N(data!U59), 0)</f>
        <v>62249</v>
      </c>
      <c r="F20" s="314">
        <f>ROUND(N(data!U60), 2)</f>
        <v>7.39</v>
      </c>
      <c r="G20" s="198">
        <f>ROUND(N(data!U61), 0)</f>
        <v>704670</v>
      </c>
      <c r="H20" s="198">
        <f>ROUND(N(data!U62), 0)</f>
        <v>147672</v>
      </c>
      <c r="I20" s="198">
        <f>ROUND(N(data!U63), 0)</f>
        <v>152929</v>
      </c>
      <c r="J20" s="198">
        <f>ROUND(N(data!U64), 0)</f>
        <v>442928</v>
      </c>
      <c r="K20" s="198">
        <f>ROUND(N(data!U65), 0)</f>
        <v>1588</v>
      </c>
      <c r="L20" s="198">
        <f>ROUND(N(data!U66), 0)</f>
        <v>21564</v>
      </c>
      <c r="M20" s="198">
        <f>ROUND(N(data!U67), 0)</f>
        <v>33339</v>
      </c>
      <c r="N20" s="198">
        <f>ROUND(N(data!U68), 0)</f>
        <v>1384</v>
      </c>
      <c r="O20" s="198">
        <f>ROUND(N(data!U69), 0)</f>
        <v>13654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379</v>
      </c>
      <c r="AA20" s="198">
        <f>ROUND(N(data!U81), 0)</f>
        <v>10248</v>
      </c>
      <c r="AB20" s="198">
        <f>ROUND(N(data!U82), 0)</f>
        <v>0</v>
      </c>
      <c r="AC20" s="198">
        <f>ROUND(N(data!U83), 0)</f>
        <v>3028</v>
      </c>
      <c r="AD20" s="198">
        <f>ROUND(N(data!U84), 0)</f>
        <v>0</v>
      </c>
      <c r="AE20" s="198">
        <f>ROUND(N(data!U89), 0)</f>
        <v>5603934</v>
      </c>
      <c r="AF20" s="198">
        <f>ROUND(N(data!U87), 0)</f>
        <v>717699</v>
      </c>
      <c r="AG20" s="198">
        <f>ROUND(N(data!U90), 0)</f>
        <v>527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137</v>
      </c>
      <c r="B21" s="200" t="str">
        <f>RIGHT(data!$C$96,4)</f>
        <v>2023</v>
      </c>
      <c r="C21" s="12" t="str">
        <f>data!V$55</f>
        <v>7110</v>
      </c>
      <c r="D21" s="12" t="s">
        <v>1158</v>
      </c>
      <c r="E21" s="198">
        <f>ROUND(N(data!V59), 0)</f>
        <v>156</v>
      </c>
      <c r="F21" s="314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208</v>
      </c>
      <c r="J21" s="198">
        <f>ROUND(N(data!V64), 0)</f>
        <v>0</v>
      </c>
      <c r="K21" s="198">
        <f>ROUND(N(data!V65), 0)</f>
        <v>963</v>
      </c>
      <c r="L21" s="198">
        <f>ROUND(N(data!V66), 0)</f>
        <v>0</v>
      </c>
      <c r="M21" s="198">
        <f>ROUND(N(data!V67), 0)</f>
        <v>0</v>
      </c>
      <c r="N21" s="198">
        <f>ROUND(N(data!V68), 0)</f>
        <v>2585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211953</v>
      </c>
      <c r="AF21" s="198">
        <f>ROUND(N(data!V87), 0)</f>
        <v>11628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137</v>
      </c>
      <c r="B22" s="200" t="str">
        <f>RIGHT(data!$C$96,4)</f>
        <v>2023</v>
      </c>
      <c r="C22" s="12" t="str">
        <f>data!W$55</f>
        <v>7120</v>
      </c>
      <c r="D22" s="12" t="s">
        <v>1158</v>
      </c>
      <c r="E22" s="198">
        <f>ROUND(N(data!W59), 0)</f>
        <v>519</v>
      </c>
      <c r="F22" s="314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268585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1265699</v>
      </c>
      <c r="AF22" s="198">
        <f>ROUND(N(data!W87), 0)</f>
        <v>43114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137</v>
      </c>
      <c r="B23" s="200" t="str">
        <f>RIGHT(data!$C$96,4)</f>
        <v>2023</v>
      </c>
      <c r="C23" s="12" t="str">
        <f>data!X$55</f>
        <v>7130</v>
      </c>
      <c r="D23" s="12" t="s">
        <v>1158</v>
      </c>
      <c r="E23" s="198">
        <f>ROUND(N(data!X59), 0)</f>
        <v>2088</v>
      </c>
      <c r="F23" s="314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35014</v>
      </c>
      <c r="J23" s="198">
        <f>ROUND(N(data!X64), 0)</f>
        <v>0</v>
      </c>
      <c r="K23" s="198">
        <f>ROUND(N(data!X65), 0)</f>
        <v>0</v>
      </c>
      <c r="L23" s="198">
        <f>ROUND(N(data!X66), 0)</f>
        <v>79619</v>
      </c>
      <c r="M23" s="198">
        <f>ROUND(N(data!X67), 0)</f>
        <v>710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3758983</v>
      </c>
      <c r="AF23" s="198">
        <f>ROUND(N(data!X87), 0)</f>
        <v>199679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137</v>
      </c>
      <c r="B24" s="200" t="str">
        <f>RIGHT(data!$C$96,4)</f>
        <v>2023</v>
      </c>
      <c r="C24" s="12" t="str">
        <f>data!Y$55</f>
        <v>7140</v>
      </c>
      <c r="D24" s="12" t="s">
        <v>1158</v>
      </c>
      <c r="E24" s="198">
        <f>ROUND(N(data!Y59), 0)</f>
        <v>8395</v>
      </c>
      <c r="F24" s="314">
        <f>ROUND(N(data!Y60), 2)</f>
        <v>6.64</v>
      </c>
      <c r="G24" s="198">
        <f>ROUND(N(data!Y61), 0)</f>
        <v>695951</v>
      </c>
      <c r="H24" s="198">
        <f>ROUND(N(data!Y62), 0)</f>
        <v>145156</v>
      </c>
      <c r="I24" s="198">
        <f>ROUND(N(data!Y63), 0)</f>
        <v>103475</v>
      </c>
      <c r="J24" s="198">
        <f>ROUND(N(data!Y64), 0)</f>
        <v>50736</v>
      </c>
      <c r="K24" s="198">
        <f>ROUND(N(data!Y65), 0)</f>
        <v>0</v>
      </c>
      <c r="L24" s="198">
        <f>ROUND(N(data!Y66), 0)</f>
        <v>124821</v>
      </c>
      <c r="M24" s="198">
        <f>ROUND(N(data!Y67), 0)</f>
        <v>154799</v>
      </c>
      <c r="N24" s="198">
        <f>ROUND(N(data!Y68), 0)</f>
        <v>0</v>
      </c>
      <c r="O24" s="198">
        <f>ROUND(N(data!Y69), 0)</f>
        <v>22438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18052</v>
      </c>
      <c r="X24" s="198">
        <f>ROUND(N(data!Y78), 0)</f>
        <v>0</v>
      </c>
      <c r="Y24" s="198">
        <f>ROUND(N(data!Y79), 0)</f>
        <v>0</v>
      </c>
      <c r="Z24" s="198">
        <f>ROUND(N(data!Y80), 0)</f>
        <v>2202</v>
      </c>
      <c r="AA24" s="198">
        <f>ROUND(N(data!Y81), 0)</f>
        <v>1480</v>
      </c>
      <c r="AB24" s="198">
        <f>ROUND(N(data!Y82), 0)</f>
        <v>0</v>
      </c>
      <c r="AC24" s="198">
        <f>ROUND(N(data!Y83), 0)</f>
        <v>704</v>
      </c>
      <c r="AD24" s="198">
        <f>ROUND(N(data!Y84), 0)</f>
        <v>0</v>
      </c>
      <c r="AE24" s="198">
        <f>ROUND(N(data!Y89), 0)</f>
        <v>2214611</v>
      </c>
      <c r="AF24" s="198">
        <f>ROUND(N(data!Y87), 0)</f>
        <v>81793</v>
      </c>
      <c r="AG24" s="198">
        <f>ROUND(N(data!Y90), 0)</f>
        <v>1569</v>
      </c>
      <c r="AH24" s="198">
        <f>ROUND(N(data!Y91), 0)</f>
        <v>0</v>
      </c>
      <c r="AI24" s="198">
        <f>ROUND(N(data!Y92), 0)</f>
        <v>0</v>
      </c>
      <c r="AJ24" s="198">
        <f>ROUND(N(data!Y93), 0)</f>
        <v>1168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137</v>
      </c>
      <c r="B25" s="200" t="str">
        <f>RIGHT(data!$C$96,4)</f>
        <v>2023</v>
      </c>
      <c r="C25" s="12" t="str">
        <f>data!Z$55</f>
        <v>7150</v>
      </c>
      <c r="D25" s="12" t="s">
        <v>1158</v>
      </c>
      <c r="E25" s="198">
        <f>ROUND(N(data!Z59), 0)</f>
        <v>0</v>
      </c>
      <c r="F25" s="314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137</v>
      </c>
      <c r="B26" s="200" t="str">
        <f>RIGHT(data!$C$96,4)</f>
        <v>2023</v>
      </c>
      <c r="C26" s="12" t="str">
        <f>data!AA$55</f>
        <v>7160</v>
      </c>
      <c r="D26" s="12" t="s">
        <v>1158</v>
      </c>
      <c r="E26" s="198">
        <f>ROUND(N(data!AA59), 0)</f>
        <v>0</v>
      </c>
      <c r="F26" s="314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137</v>
      </c>
      <c r="B27" s="200" t="str">
        <f>RIGHT(data!$C$96,4)</f>
        <v>2023</v>
      </c>
      <c r="C27" s="12" t="str">
        <f>data!AB$55</f>
        <v>7170</v>
      </c>
      <c r="D27" s="12" t="s">
        <v>1158</v>
      </c>
      <c r="E27" s="198">
        <f>ROUND(N(data!AB59), 0)</f>
        <v>0</v>
      </c>
      <c r="F27" s="314">
        <f>ROUND(N(data!AB60), 2)</f>
        <v>2.59</v>
      </c>
      <c r="G27" s="198">
        <f>ROUND(N(data!AB61), 0)</f>
        <v>323366</v>
      </c>
      <c r="H27" s="198">
        <f>ROUND(N(data!AB62), 0)</f>
        <v>86479</v>
      </c>
      <c r="I27" s="198">
        <f>ROUND(N(data!AB63), 0)</f>
        <v>63445</v>
      </c>
      <c r="J27" s="198">
        <f>ROUND(N(data!AB64), 0)</f>
        <v>753082</v>
      </c>
      <c r="K27" s="198">
        <f>ROUND(N(data!AB65), 0)</f>
        <v>0</v>
      </c>
      <c r="L27" s="198">
        <f>ROUND(N(data!AB66), 0)</f>
        <v>140504</v>
      </c>
      <c r="M27" s="198">
        <f>ROUND(N(data!AB67), 0)</f>
        <v>0</v>
      </c>
      <c r="N27" s="198">
        <f>ROUND(N(data!AB68), 0)</f>
        <v>3222</v>
      </c>
      <c r="O27" s="198">
        <f>ROUND(N(data!AB69), 0)</f>
        <v>20491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5246</v>
      </c>
      <c r="X27" s="198">
        <f>ROUND(N(data!AB78), 0)</f>
        <v>0</v>
      </c>
      <c r="Y27" s="198">
        <f>ROUND(N(data!AB79), 0)</f>
        <v>0</v>
      </c>
      <c r="Z27" s="198">
        <f>ROUND(N(data!AB80), 0)</f>
        <v>13560</v>
      </c>
      <c r="AA27" s="198">
        <f>ROUND(N(data!AB81), 0)</f>
        <v>1685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2289432</v>
      </c>
      <c r="AF27" s="198">
        <f>ROUND(N(data!AB87), 0)</f>
        <v>568553</v>
      </c>
      <c r="AG27" s="198">
        <f>ROUND(N(data!AB90), 0)</f>
        <v>380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137</v>
      </c>
      <c r="B28" s="200" t="str">
        <f>RIGHT(data!$C$96,4)</f>
        <v>2023</v>
      </c>
      <c r="C28" s="12" t="str">
        <f>data!AC$55</f>
        <v>7180</v>
      </c>
      <c r="D28" s="12" t="s">
        <v>1158</v>
      </c>
      <c r="E28" s="198">
        <f>ROUND(N(data!AC59), 0)</f>
        <v>4609</v>
      </c>
      <c r="F28" s="314">
        <f>ROUND(N(data!AC60), 2)</f>
        <v>2.19</v>
      </c>
      <c r="G28" s="198">
        <f>ROUND(N(data!AC61), 0)</f>
        <v>201990</v>
      </c>
      <c r="H28" s="198">
        <f>ROUND(N(data!AC62), 0)</f>
        <v>24014</v>
      </c>
      <c r="I28" s="198">
        <f>ROUND(N(data!AC63), 0)</f>
        <v>885</v>
      </c>
      <c r="J28" s="198">
        <f>ROUND(N(data!AC64), 0)</f>
        <v>19811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8742</v>
      </c>
      <c r="O28" s="198">
        <f>ROUND(N(data!AC69), 0)</f>
        <v>192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180</v>
      </c>
      <c r="AA28" s="198">
        <f>ROUND(N(data!AC81), 0)</f>
        <v>12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441657</v>
      </c>
      <c r="AF28" s="198">
        <f>ROUND(N(data!AC87), 0)</f>
        <v>320269</v>
      </c>
      <c r="AG28" s="198">
        <f>ROUND(N(data!AC90), 0)</f>
        <v>40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137</v>
      </c>
      <c r="B29" s="200" t="str">
        <f>RIGHT(data!$C$96,4)</f>
        <v>2023</v>
      </c>
      <c r="C29" s="12" t="str">
        <f>data!AD$55</f>
        <v>7190</v>
      </c>
      <c r="D29" s="12" t="s">
        <v>1158</v>
      </c>
      <c r="E29" s="198">
        <f>ROUND(N(data!AD59), 0)</f>
        <v>0</v>
      </c>
      <c r="F29" s="314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137</v>
      </c>
      <c r="B30" s="200" t="str">
        <f>RIGHT(data!$C$96,4)</f>
        <v>2023</v>
      </c>
      <c r="C30" s="12" t="str">
        <f>data!AE$55</f>
        <v>7200</v>
      </c>
      <c r="D30" s="12" t="s">
        <v>1158</v>
      </c>
      <c r="E30" s="198">
        <f>ROUND(N(data!AE59), 0)</f>
        <v>5796</v>
      </c>
      <c r="F30" s="314">
        <f>ROUND(N(data!AE60), 2)</f>
        <v>5.33</v>
      </c>
      <c r="G30" s="198">
        <f>ROUND(N(data!AE61), 0)</f>
        <v>621969</v>
      </c>
      <c r="H30" s="198">
        <f>ROUND(N(data!AE62), 0)</f>
        <v>136598</v>
      </c>
      <c r="I30" s="198">
        <f>ROUND(N(data!AE63), 0)</f>
        <v>0</v>
      </c>
      <c r="J30" s="198">
        <f>ROUND(N(data!AE64), 0)</f>
        <v>7729</v>
      </c>
      <c r="K30" s="198">
        <f>ROUND(N(data!AE65), 0)</f>
        <v>7318</v>
      </c>
      <c r="L30" s="198">
        <f>ROUND(N(data!AE66), 0)</f>
        <v>2426</v>
      </c>
      <c r="M30" s="198">
        <f>ROUND(N(data!AE67), 0)</f>
        <v>23074</v>
      </c>
      <c r="N30" s="198">
        <f>ROUND(N(data!AE68), 0)</f>
        <v>25200</v>
      </c>
      <c r="O30" s="198">
        <f>ROUND(N(data!AE69), 0)</f>
        <v>15343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10006</v>
      </c>
      <c r="AA30" s="198">
        <f>ROUND(N(data!AE81), 0)</f>
        <v>95</v>
      </c>
      <c r="AB30" s="198">
        <f>ROUND(N(data!AE82), 0)</f>
        <v>0</v>
      </c>
      <c r="AC30" s="198">
        <f>ROUND(N(data!AE83), 0)</f>
        <v>5242</v>
      </c>
      <c r="AD30" s="198">
        <f>ROUND(N(data!AE84), 0)</f>
        <v>0</v>
      </c>
      <c r="AE30" s="198">
        <f>ROUND(N(data!AE89), 0)</f>
        <v>1669717</v>
      </c>
      <c r="AF30" s="198">
        <f>ROUND(N(data!AE87), 0)</f>
        <v>230942</v>
      </c>
      <c r="AG30" s="198">
        <f>ROUND(N(data!AE90), 0)</f>
        <v>1465</v>
      </c>
      <c r="AH30" s="198">
        <f>ROUND(N(data!AE91), 0)</f>
        <v>0</v>
      </c>
      <c r="AI30" s="198">
        <f>ROUND(N(data!AE92), 0)</f>
        <v>0</v>
      </c>
      <c r="AJ30" s="198">
        <f>ROUND(N(data!AE93), 0)</f>
        <v>1058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137</v>
      </c>
      <c r="B31" s="200" t="str">
        <f>RIGHT(data!$C$96,4)</f>
        <v>2023</v>
      </c>
      <c r="C31" s="12" t="str">
        <f>data!AF$55</f>
        <v>7220</v>
      </c>
      <c r="D31" s="12" t="s">
        <v>1158</v>
      </c>
      <c r="E31" s="198">
        <f>ROUND(N(data!AF59), 0)</f>
        <v>0</v>
      </c>
      <c r="F31" s="314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137</v>
      </c>
      <c r="B32" s="200" t="str">
        <f>RIGHT(data!$C$96,4)</f>
        <v>2023</v>
      </c>
      <c r="C32" s="12" t="str">
        <f>data!AG$55</f>
        <v>7230</v>
      </c>
      <c r="D32" s="12" t="s">
        <v>1158</v>
      </c>
      <c r="E32" s="198">
        <f>ROUND(N(data!AG59), 0)</f>
        <v>3848</v>
      </c>
      <c r="F32" s="314">
        <f>ROUND(N(data!AG60), 2)</f>
        <v>4.08</v>
      </c>
      <c r="G32" s="198">
        <f>ROUND(N(data!AG61), 0)</f>
        <v>640788</v>
      </c>
      <c r="H32" s="198">
        <f>ROUND(N(data!AG62), 0)</f>
        <v>42024</v>
      </c>
      <c r="I32" s="198">
        <f>ROUND(N(data!AG63), 0)</f>
        <v>2198</v>
      </c>
      <c r="J32" s="198">
        <f>ROUND(N(data!AG64), 0)</f>
        <v>81912</v>
      </c>
      <c r="K32" s="198">
        <f>ROUND(N(data!AG65), 0)</f>
        <v>0</v>
      </c>
      <c r="L32" s="198">
        <f>ROUND(N(data!AG66), 0)</f>
        <v>3741</v>
      </c>
      <c r="M32" s="198">
        <f>ROUND(N(data!AG67), 0)</f>
        <v>9578</v>
      </c>
      <c r="N32" s="198">
        <f>ROUND(N(data!AG68), 0)</f>
        <v>6567</v>
      </c>
      <c r="O32" s="198">
        <f>ROUND(N(data!AG69), 0)</f>
        <v>1198450</v>
      </c>
      <c r="P32" s="198">
        <f>ROUND(N(data!AG70), 0)</f>
        <v>0</v>
      </c>
      <c r="Q32" s="198">
        <f>ROUND(N(data!AG71), 0)</f>
        <v>1197289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536</v>
      </c>
      <c r="AA32" s="198">
        <f>ROUND(N(data!AG81), 0)</f>
        <v>615</v>
      </c>
      <c r="AB32" s="198">
        <f>ROUND(N(data!AG82), 0)</f>
        <v>0</v>
      </c>
      <c r="AC32" s="198">
        <f>ROUND(N(data!AG83), 0)</f>
        <v>11</v>
      </c>
      <c r="AD32" s="198">
        <f>ROUND(N(data!AG84), 0)</f>
        <v>0</v>
      </c>
      <c r="AE32" s="198">
        <f>ROUND(N(data!AG89), 0)</f>
        <v>3418545</v>
      </c>
      <c r="AF32" s="198">
        <f>ROUND(N(data!AG87), 0)</f>
        <v>68779</v>
      </c>
      <c r="AG32" s="198">
        <f>ROUND(N(data!AG90), 0)</f>
        <v>581</v>
      </c>
      <c r="AH32" s="198">
        <f>ROUND(N(data!AG91), 0)</f>
        <v>0</v>
      </c>
      <c r="AI32" s="198">
        <f>ROUND(N(data!AG92), 0)</f>
        <v>0</v>
      </c>
      <c r="AJ32" s="198">
        <f>ROUND(N(data!AG93), 0)</f>
        <v>1582</v>
      </c>
      <c r="AK32" s="314">
        <f>ROUND(N(data!AG94), 2)</f>
        <v>4.08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137</v>
      </c>
      <c r="B33" s="200" t="str">
        <f>RIGHT(data!$C$96,4)</f>
        <v>2023</v>
      </c>
      <c r="C33" s="12" t="str">
        <f>data!AH$55</f>
        <v>7240</v>
      </c>
      <c r="D33" s="12" t="s">
        <v>1158</v>
      </c>
      <c r="E33" s="198">
        <f>ROUND(N(data!AH59), 0)</f>
        <v>428</v>
      </c>
      <c r="F33" s="314">
        <f>ROUND(N(data!AH60), 2)</f>
        <v>1.47</v>
      </c>
      <c r="G33" s="198">
        <f>ROUND(N(data!AH61), 0)</f>
        <v>166779</v>
      </c>
      <c r="H33" s="198">
        <f>ROUND(N(data!AH62), 0)</f>
        <v>11793</v>
      </c>
      <c r="I33" s="198">
        <f>ROUND(N(data!AH63), 0)</f>
        <v>3855</v>
      </c>
      <c r="J33" s="198">
        <f>ROUND(N(data!AH64), 0)</f>
        <v>9580</v>
      </c>
      <c r="K33" s="198">
        <f>ROUND(N(data!AH65), 0)</f>
        <v>10995</v>
      </c>
      <c r="L33" s="198">
        <f>ROUND(N(data!AH66), 0)</f>
        <v>8373</v>
      </c>
      <c r="M33" s="198">
        <f>ROUND(N(data!AH67), 0)</f>
        <v>34760</v>
      </c>
      <c r="N33" s="198">
        <f>ROUND(N(data!AH68), 0)</f>
        <v>712</v>
      </c>
      <c r="O33" s="198">
        <f>ROUND(N(data!AH69), 0)</f>
        <v>19149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3712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12843</v>
      </c>
      <c r="X33" s="198">
        <f>ROUND(N(data!AH78), 0)</f>
        <v>0</v>
      </c>
      <c r="Y33" s="198">
        <f>ROUND(N(data!AH79), 0)</f>
        <v>0</v>
      </c>
      <c r="Z33" s="198">
        <f>ROUND(N(data!AH80), 0)</f>
        <v>2561</v>
      </c>
      <c r="AA33" s="198">
        <f>ROUND(N(data!AH81), 0)</f>
        <v>0</v>
      </c>
      <c r="AB33" s="198">
        <f>ROUND(N(data!AH82), 0)</f>
        <v>0</v>
      </c>
      <c r="AC33" s="198">
        <f>ROUND(N(data!AH83), 0)</f>
        <v>32</v>
      </c>
      <c r="AD33" s="198">
        <f>ROUND(N(data!AH84), 0)</f>
        <v>0</v>
      </c>
      <c r="AE33" s="198">
        <f>ROUND(N(data!AH89), 0)</f>
        <v>496206</v>
      </c>
      <c r="AF33" s="198">
        <f>ROUND(N(data!AH87), 0)</f>
        <v>9275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565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137</v>
      </c>
      <c r="B34" s="200" t="str">
        <f>RIGHT(data!$C$96,4)</f>
        <v>2023</v>
      </c>
      <c r="C34" s="12" t="str">
        <f>data!AI$55</f>
        <v>7250</v>
      </c>
      <c r="D34" s="12" t="s">
        <v>1158</v>
      </c>
      <c r="E34" s="198">
        <f>ROUND(N(data!AI59), 0)</f>
        <v>0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137</v>
      </c>
      <c r="B35" s="200" t="str">
        <f>RIGHT(data!$C$96,4)</f>
        <v>2023</v>
      </c>
      <c r="C35" s="12" t="str">
        <f>data!AJ$55</f>
        <v>7260</v>
      </c>
      <c r="D35" s="12" t="s">
        <v>1158</v>
      </c>
      <c r="E35" s="198">
        <f>ROUND(N(data!AJ59), 0)</f>
        <v>21752</v>
      </c>
      <c r="F35" s="314">
        <f>ROUND(N(data!AJ60), 2)</f>
        <v>34.74</v>
      </c>
      <c r="G35" s="198">
        <f>ROUND(N(data!AJ61), 0)</f>
        <v>4480436</v>
      </c>
      <c r="H35" s="198">
        <f>ROUND(N(data!AJ62), 0)</f>
        <v>823581</v>
      </c>
      <c r="I35" s="198">
        <f>ROUND(N(data!AJ63), 0)</f>
        <v>19860</v>
      </c>
      <c r="J35" s="198">
        <f>ROUND(N(data!AJ64), 0)</f>
        <v>196976</v>
      </c>
      <c r="K35" s="198">
        <f>ROUND(N(data!AJ65), 0)</f>
        <v>55844</v>
      </c>
      <c r="L35" s="198">
        <f>ROUND(N(data!AJ66), 0)</f>
        <v>114566</v>
      </c>
      <c r="M35" s="198">
        <f>ROUND(N(data!AJ67), 0)</f>
        <v>32395</v>
      </c>
      <c r="N35" s="198">
        <f>ROUND(N(data!AJ68), 0)</f>
        <v>4074</v>
      </c>
      <c r="O35" s="198">
        <f>ROUND(N(data!AJ69), 0)</f>
        <v>67921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143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1031</v>
      </c>
      <c r="X35" s="198">
        <f>ROUND(N(data!AJ78), 0)</f>
        <v>0</v>
      </c>
      <c r="Y35" s="198">
        <f>ROUND(N(data!AJ79), 0)</f>
        <v>0</v>
      </c>
      <c r="Z35" s="198">
        <f>ROUND(N(data!AJ80), 0)</f>
        <v>57927</v>
      </c>
      <c r="AA35" s="198">
        <f>ROUND(N(data!AJ81), 0)</f>
        <v>2792</v>
      </c>
      <c r="AB35" s="198">
        <f>ROUND(N(data!AJ82), 0)</f>
        <v>0</v>
      </c>
      <c r="AC35" s="198">
        <f>ROUND(N(data!AJ83), 0)</f>
        <v>6029</v>
      </c>
      <c r="AD35" s="198">
        <f>ROUND(N(data!AJ84), 0)</f>
        <v>0</v>
      </c>
      <c r="AE35" s="198">
        <f>ROUND(N(data!AJ89), 0)</f>
        <v>5490678</v>
      </c>
      <c r="AF35" s="198">
        <f>ROUND(N(data!AJ87), 0)</f>
        <v>284776</v>
      </c>
      <c r="AG35" s="198">
        <f>ROUND(N(data!AJ90), 0)</f>
        <v>27746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314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137</v>
      </c>
      <c r="B36" s="200" t="str">
        <f>RIGHT(data!$C$96,4)</f>
        <v>2023</v>
      </c>
      <c r="C36" s="12" t="str">
        <f>data!AK$55</f>
        <v>7310</v>
      </c>
      <c r="D36" s="12" t="s">
        <v>1158</v>
      </c>
      <c r="E36" s="198">
        <f>ROUND(N(data!AK59), 0)</f>
        <v>165</v>
      </c>
      <c r="F36" s="314">
        <f>ROUND(N(data!AK60), 2)</f>
        <v>0.69</v>
      </c>
      <c r="G36" s="198">
        <f>ROUND(N(data!AK61), 0)</f>
        <v>81459</v>
      </c>
      <c r="H36" s="198">
        <f>ROUND(N(data!AK62), 0)</f>
        <v>18132</v>
      </c>
      <c r="I36" s="198">
        <f>ROUND(N(data!AK63), 0)</f>
        <v>0</v>
      </c>
      <c r="J36" s="198">
        <f>ROUND(N(data!AK64), 0)</f>
        <v>40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39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39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230145</v>
      </c>
      <c r="AF36" s="198">
        <f>ROUND(N(data!AK87), 0)</f>
        <v>141578</v>
      </c>
      <c r="AG36" s="198">
        <f>ROUND(N(data!AK90), 0)</f>
        <v>427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137</v>
      </c>
      <c r="B37" s="200" t="str">
        <f>RIGHT(data!$C$96,4)</f>
        <v>2023</v>
      </c>
      <c r="C37" s="12" t="str">
        <f>data!AL$55</f>
        <v>7320</v>
      </c>
      <c r="D37" s="12" t="s">
        <v>1158</v>
      </c>
      <c r="E37" s="198">
        <f>ROUND(N(data!AL59), 0)</f>
        <v>0</v>
      </c>
      <c r="F37" s="314">
        <f>ROUND(N(data!AL60), 2)</f>
        <v>0.64</v>
      </c>
      <c r="G37" s="198">
        <f>ROUND(N(data!AL61), 0)</f>
        <v>41542</v>
      </c>
      <c r="H37" s="198">
        <f>ROUND(N(data!AL62), 0)</f>
        <v>7897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57164</v>
      </c>
      <c r="AF37" s="198">
        <f>ROUND(N(data!AL87), 0)</f>
        <v>29072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137</v>
      </c>
      <c r="B38" s="200" t="str">
        <f>RIGHT(data!$C$96,4)</f>
        <v>2023</v>
      </c>
      <c r="C38" s="12" t="str">
        <f>data!AM$55</f>
        <v>7330</v>
      </c>
      <c r="D38" s="12" t="s">
        <v>1158</v>
      </c>
      <c r="E38" s="198">
        <f>ROUND(N(data!AM59), 0)</f>
        <v>0</v>
      </c>
      <c r="F38" s="314">
        <f>ROUND(N(data!AM60), 2)</f>
        <v>2.19</v>
      </c>
      <c r="G38" s="198">
        <f>ROUND(N(data!AM61), 0)</f>
        <v>50197</v>
      </c>
      <c r="H38" s="198">
        <f>ROUND(N(data!AM62), 0)</f>
        <v>13227</v>
      </c>
      <c r="I38" s="198">
        <f>ROUND(N(data!AM63), 0)</f>
        <v>0</v>
      </c>
      <c r="J38" s="198">
        <f>ROUND(N(data!AM64), 0)</f>
        <v>577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-10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-10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137</v>
      </c>
      <c r="B39" s="200" t="str">
        <f>RIGHT(data!$C$96,4)</f>
        <v>2023</v>
      </c>
      <c r="C39" s="12" t="str">
        <f>data!AN$55</f>
        <v>7340</v>
      </c>
      <c r="D39" s="12" t="s">
        <v>1158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137</v>
      </c>
      <c r="B40" s="200" t="str">
        <f>RIGHT(data!$C$96,4)</f>
        <v>2023</v>
      </c>
      <c r="C40" s="12" t="str">
        <f>data!AO$55</f>
        <v>7350</v>
      </c>
      <c r="D40" s="12" t="s">
        <v>1158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469828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137</v>
      </c>
      <c r="B41" s="200" t="str">
        <f>RIGHT(data!$C$96,4)</f>
        <v>2023</v>
      </c>
      <c r="C41" s="12" t="str">
        <f>data!AP$55</f>
        <v>7380</v>
      </c>
      <c r="D41" s="12" t="s">
        <v>1158</v>
      </c>
      <c r="E41" s="198">
        <f>ROUND(N(data!AP59), 0)</f>
        <v>0</v>
      </c>
      <c r="F41" s="314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137</v>
      </c>
      <c r="B42" s="200" t="str">
        <f>RIGHT(data!$C$96,4)</f>
        <v>2023</v>
      </c>
      <c r="C42" s="12" t="str">
        <f>data!AQ$55</f>
        <v>7390</v>
      </c>
      <c r="D42" s="12" t="s">
        <v>1158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137</v>
      </c>
      <c r="B43" s="200" t="str">
        <f>RIGHT(data!$C$96,4)</f>
        <v>2023</v>
      </c>
      <c r="C43" s="12" t="str">
        <f>data!AR$55</f>
        <v>7400</v>
      </c>
      <c r="D43" s="12" t="s">
        <v>1158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137</v>
      </c>
      <c r="B44" s="200" t="str">
        <f>RIGHT(data!$C$96,4)</f>
        <v>2023</v>
      </c>
      <c r="C44" s="12" t="str">
        <f>data!AS$55</f>
        <v>7410</v>
      </c>
      <c r="D44" s="12" t="s">
        <v>1158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137</v>
      </c>
      <c r="B45" s="200" t="str">
        <f>RIGHT(data!$C$96,4)</f>
        <v>2023</v>
      </c>
      <c r="C45" s="12" t="str">
        <f>data!AT$55</f>
        <v>7420</v>
      </c>
      <c r="D45" s="12" t="s">
        <v>1158</v>
      </c>
      <c r="E45" s="198">
        <f>ROUND(N(data!AT59), 0)</f>
        <v>0</v>
      </c>
      <c r="F45" s="314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137</v>
      </c>
      <c r="B46" s="200" t="str">
        <f>RIGHT(data!$C$96,4)</f>
        <v>2023</v>
      </c>
      <c r="C46" s="12" t="str">
        <f>data!AU$55</f>
        <v>7430</v>
      </c>
      <c r="D46" s="12" t="s">
        <v>1158</v>
      </c>
      <c r="E46" s="198">
        <f>ROUND(N(data!AU59), 0)</f>
        <v>0</v>
      </c>
      <c r="F46" s="314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137</v>
      </c>
      <c r="B47" s="200" t="str">
        <f>RIGHT(data!$C$96,4)</f>
        <v>2023</v>
      </c>
      <c r="C47" s="12" t="str">
        <f>data!AV$55</f>
        <v>7490</v>
      </c>
      <c r="D47" s="12" t="s">
        <v>1158</v>
      </c>
      <c r="E47" s="198">
        <f>ROUND(N(data!AV59), 0)</f>
        <v>0</v>
      </c>
      <c r="F47" s="314">
        <f>ROUND(N(data!AV60), 2)</f>
        <v>3.01</v>
      </c>
      <c r="G47" s="198">
        <f>ROUND(N(data!AV61), 0)</f>
        <v>284872</v>
      </c>
      <c r="H47" s="198">
        <f>ROUND(N(data!AV62), 0)</f>
        <v>28861</v>
      </c>
      <c r="I47" s="198">
        <f>ROUND(N(data!AV63), 0)</f>
        <v>0</v>
      </c>
      <c r="J47" s="198">
        <f>ROUND(N(data!AV64), 0)</f>
        <v>83403</v>
      </c>
      <c r="K47" s="198">
        <f>ROUND(N(data!AV65), 0)</f>
        <v>0</v>
      </c>
      <c r="L47" s="198">
        <f>ROUND(N(data!AV66), 0)</f>
        <v>1737</v>
      </c>
      <c r="M47" s="198">
        <f>ROUND(N(data!AV67), 0)</f>
        <v>0</v>
      </c>
      <c r="N47" s="198">
        <f>ROUND(N(data!AV68), 0)</f>
        <v>4158</v>
      </c>
      <c r="O47" s="198">
        <f>ROUND(N(data!AV69), 0)</f>
        <v>2685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1566</v>
      </c>
      <c r="AA47" s="198">
        <f>ROUND(N(data!AV81), 0)</f>
        <v>372</v>
      </c>
      <c r="AB47" s="198">
        <f>ROUND(N(data!AV82), 0)</f>
        <v>0</v>
      </c>
      <c r="AC47" s="198">
        <f>ROUND(N(data!AV83), 0)</f>
        <v>747</v>
      </c>
      <c r="AD47" s="198">
        <f>ROUND(N(data!AV84), 0)</f>
        <v>0</v>
      </c>
      <c r="AE47" s="198">
        <f>ROUND(N(data!AV89), 0)</f>
        <v>1518081</v>
      </c>
      <c r="AF47" s="198">
        <f>ROUND(N(data!AV87), 0)</f>
        <v>62077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137</v>
      </c>
      <c r="B48" s="200" t="str">
        <f>RIGHT(data!$C$96,4)</f>
        <v>2023</v>
      </c>
      <c r="C48" s="12" t="str">
        <f>data!AW$55</f>
        <v>8200</v>
      </c>
      <c r="D48" s="12" t="s">
        <v>1158</v>
      </c>
      <c r="E48" s="198">
        <f>ROUND(N(data!AW59), 0)</f>
        <v>0</v>
      </c>
      <c r="F48" s="314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137</v>
      </c>
      <c r="B49" s="200" t="str">
        <f>RIGHT(data!$C$96,4)</f>
        <v>2023</v>
      </c>
      <c r="C49" s="12" t="str">
        <f>data!AX$55</f>
        <v>8310</v>
      </c>
      <c r="D49" s="12" t="s">
        <v>1158</v>
      </c>
      <c r="E49" s="198">
        <f>ROUND(N(data!AX59), 0)</f>
        <v>0</v>
      </c>
      <c r="F49" s="314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137</v>
      </c>
      <c r="B50" s="200" t="str">
        <f>RIGHT(data!$C$96,4)</f>
        <v>2023</v>
      </c>
      <c r="C50" s="12" t="str">
        <f>data!AY$55</f>
        <v>8320</v>
      </c>
      <c r="D50" s="12" t="s">
        <v>1158</v>
      </c>
      <c r="E50" s="198">
        <f>ROUND(N(data!AY59), 0)</f>
        <v>13532</v>
      </c>
      <c r="F50" s="314">
        <f>ROUND(N(data!AY60), 2)</f>
        <v>9.01</v>
      </c>
      <c r="G50" s="198">
        <f>ROUND(N(data!AY61), 0)</f>
        <v>479618</v>
      </c>
      <c r="H50" s="198">
        <f>ROUND(N(data!AY62), 0)</f>
        <v>136065</v>
      </c>
      <c r="I50" s="198">
        <f>ROUND(N(data!AY63), 0)</f>
        <v>2654</v>
      </c>
      <c r="J50" s="198">
        <f>ROUND(N(data!AY64), 0)</f>
        <v>252288</v>
      </c>
      <c r="K50" s="198">
        <f>ROUND(N(data!AY65), 0)</f>
        <v>0</v>
      </c>
      <c r="L50" s="198">
        <f>ROUND(N(data!AY66), 0)</f>
        <v>1112</v>
      </c>
      <c r="M50" s="198">
        <f>ROUND(N(data!AY67), 0)</f>
        <v>723</v>
      </c>
      <c r="N50" s="198">
        <f>ROUND(N(data!AY68), 0)</f>
        <v>0</v>
      </c>
      <c r="O50" s="198">
        <f>ROUND(N(data!AY69), 0)</f>
        <v>2468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1280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1188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3690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137</v>
      </c>
      <c r="B51" s="200" t="str">
        <f>RIGHT(data!$C$96,4)</f>
        <v>2023</v>
      </c>
      <c r="C51" s="12" t="str">
        <f>data!AZ$55</f>
        <v>8330</v>
      </c>
      <c r="D51" s="12" t="s">
        <v>1158</v>
      </c>
      <c r="E51" s="198">
        <f>ROUND(N(data!AZ59), 0)</f>
        <v>0</v>
      </c>
      <c r="F51" s="314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137</v>
      </c>
      <c r="B52" s="200" t="str">
        <f>RIGHT(data!$C$96,4)</f>
        <v>2023</v>
      </c>
      <c r="C52" s="12" t="str">
        <f>data!BA$55</f>
        <v>8350</v>
      </c>
      <c r="D52" s="12" t="s">
        <v>1158</v>
      </c>
      <c r="E52" s="198">
        <f>ROUND(N(data!BA59), 0)</f>
        <v>0</v>
      </c>
      <c r="F52" s="314">
        <f>ROUND(N(data!BA60), 2)</f>
        <v>2.84</v>
      </c>
      <c r="G52" s="198">
        <f>ROUND(N(data!BA61), 0)</f>
        <v>97433</v>
      </c>
      <c r="H52" s="198">
        <f>ROUND(N(data!BA62), 0)</f>
        <v>31082</v>
      </c>
      <c r="I52" s="198">
        <f>ROUND(N(data!BA63), 0)</f>
        <v>0</v>
      </c>
      <c r="J52" s="198">
        <f>ROUND(N(data!BA64), 0)</f>
        <v>5522</v>
      </c>
      <c r="K52" s="198">
        <f>ROUND(N(data!BA65), 0)</f>
        <v>0</v>
      </c>
      <c r="L52" s="198">
        <f>ROUND(N(data!BA66), 0)</f>
        <v>0</v>
      </c>
      <c r="M52" s="198">
        <f>ROUND(N(data!BA67), 0)</f>
        <v>819</v>
      </c>
      <c r="N52" s="198">
        <f>ROUND(N(data!BA68), 0)</f>
        <v>0</v>
      </c>
      <c r="O52" s="198">
        <f>ROUND(N(data!BA69), 0)</f>
        <v>56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56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858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137</v>
      </c>
      <c r="B53" s="200" t="str">
        <f>RIGHT(data!$C$96,4)</f>
        <v>2023</v>
      </c>
      <c r="C53" s="12" t="str">
        <f>data!BB$55</f>
        <v>8360</v>
      </c>
      <c r="D53" s="12" t="s">
        <v>1158</v>
      </c>
      <c r="E53" s="198">
        <f>ROUND(N(data!BB59), 0)</f>
        <v>0</v>
      </c>
      <c r="F53" s="314">
        <f>ROUND(N(data!BB60), 2)</f>
        <v>1</v>
      </c>
      <c r="G53" s="198">
        <f>ROUND(N(data!BB61), 0)</f>
        <v>90115</v>
      </c>
      <c r="H53" s="198">
        <f>ROUND(N(data!BB62), 0)</f>
        <v>19745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128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137</v>
      </c>
      <c r="B54" s="200" t="str">
        <f>RIGHT(data!$C$96,4)</f>
        <v>2023</v>
      </c>
      <c r="C54" s="12" t="str">
        <f>data!BC$55</f>
        <v>8370</v>
      </c>
      <c r="D54" s="12" t="s">
        <v>1158</v>
      </c>
      <c r="E54" s="198">
        <f>ROUND(N(data!BC59), 0)</f>
        <v>0</v>
      </c>
      <c r="F54" s="314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137</v>
      </c>
      <c r="B55" s="200" t="str">
        <f>RIGHT(data!$C$96,4)</f>
        <v>2023</v>
      </c>
      <c r="C55" s="12" t="str">
        <f>data!BD$55</f>
        <v>8420</v>
      </c>
      <c r="D55" s="12" t="s">
        <v>1158</v>
      </c>
      <c r="E55" s="198">
        <f>ROUND(N(data!BD59), 0)</f>
        <v>0</v>
      </c>
      <c r="F55" s="314">
        <f>ROUND(N(data!BD60), 2)</f>
        <v>1.89</v>
      </c>
      <c r="G55" s="198">
        <f>ROUND(N(data!BD61), 0)</f>
        <v>142727</v>
      </c>
      <c r="H55" s="198">
        <f>ROUND(N(data!BD62), 0)</f>
        <v>41793</v>
      </c>
      <c r="I55" s="198">
        <f>ROUND(N(data!BD63), 0)</f>
        <v>0</v>
      </c>
      <c r="J55" s="198">
        <f>ROUND(N(data!BD64), 0)</f>
        <v>156786</v>
      </c>
      <c r="K55" s="198">
        <f>ROUND(N(data!BD65), 0)</f>
        <v>26</v>
      </c>
      <c r="L55" s="198">
        <f>ROUND(N(data!BD66), 0)</f>
        <v>325</v>
      </c>
      <c r="M55" s="198">
        <f>ROUND(N(data!BD67), 0)</f>
        <v>0</v>
      </c>
      <c r="N55" s="198">
        <f>ROUND(N(data!BD68), 0)</f>
        <v>0</v>
      </c>
      <c r="O55" s="198">
        <f>ROUND(N(data!BD69), 0)</f>
        <v>-2080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192</v>
      </c>
      <c r="AA55" s="198">
        <f>ROUND(N(data!BD81), 0)</f>
        <v>-2654</v>
      </c>
      <c r="AB55" s="198">
        <f>ROUND(N(data!BD82), 0)</f>
        <v>0</v>
      </c>
      <c r="AC55" s="198">
        <f>ROUND(N(data!BD83), 0)</f>
        <v>383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670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137</v>
      </c>
      <c r="B56" s="200" t="str">
        <f>RIGHT(data!$C$96,4)</f>
        <v>2023</v>
      </c>
      <c r="C56" s="12" t="str">
        <f>data!BE$55</f>
        <v>8430</v>
      </c>
      <c r="D56" s="12" t="s">
        <v>1158</v>
      </c>
      <c r="E56" s="198">
        <f>ROUND(N(data!BE59), 0)</f>
        <v>62296</v>
      </c>
      <c r="F56" s="314">
        <f>ROUND(N(data!BE60), 2)</f>
        <v>3.97</v>
      </c>
      <c r="G56" s="198">
        <f>ROUND(N(data!BE61), 0)</f>
        <v>253399</v>
      </c>
      <c r="H56" s="198">
        <f>ROUND(N(data!BE62), 0)</f>
        <v>72911</v>
      </c>
      <c r="I56" s="198">
        <f>ROUND(N(data!BE63), 0)</f>
        <v>0</v>
      </c>
      <c r="J56" s="198">
        <f>ROUND(N(data!BE64), 0)</f>
        <v>25122</v>
      </c>
      <c r="K56" s="198">
        <f>ROUND(N(data!BE65), 0)</f>
        <v>320168</v>
      </c>
      <c r="L56" s="198">
        <f>ROUND(N(data!BE66), 0)</f>
        <v>57533</v>
      </c>
      <c r="M56" s="198">
        <f>ROUND(N(data!BE67), 0)</f>
        <v>31537</v>
      </c>
      <c r="N56" s="198">
        <f>ROUND(N(data!BE68), 0)</f>
        <v>2696</v>
      </c>
      <c r="O56" s="198">
        <f>ROUND(N(data!BE69), 0)</f>
        <v>55977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53804</v>
      </c>
      <c r="X56" s="198">
        <f>ROUND(N(data!BE78), 0)</f>
        <v>0</v>
      </c>
      <c r="Y56" s="198">
        <f>ROUND(N(data!BE79), 0)</f>
        <v>0</v>
      </c>
      <c r="Z56" s="198">
        <f>ROUND(N(data!BE80), 0)</f>
        <v>1538</v>
      </c>
      <c r="AA56" s="198">
        <f>ROUND(N(data!BE81), 0)</f>
        <v>635</v>
      </c>
      <c r="AB56" s="198">
        <f>ROUND(N(data!BE82), 0)</f>
        <v>0</v>
      </c>
      <c r="AC56" s="198">
        <f>ROUND(N(data!BE83), 0)</f>
        <v>-1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2961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137</v>
      </c>
      <c r="B57" s="200" t="str">
        <f>RIGHT(data!$C$96,4)</f>
        <v>2023</v>
      </c>
      <c r="C57" s="12" t="str">
        <f>data!BF$55</f>
        <v>8460</v>
      </c>
      <c r="D57" s="12" t="s">
        <v>1158</v>
      </c>
      <c r="E57" s="198">
        <f>ROUND(N(data!BF59), 0)</f>
        <v>0</v>
      </c>
      <c r="F57" s="314">
        <f>ROUND(N(data!BF60), 2)</f>
        <v>6.08</v>
      </c>
      <c r="G57" s="198">
        <f>ROUND(N(data!BF61), 0)</f>
        <v>290326</v>
      </c>
      <c r="H57" s="198">
        <f>ROUND(N(data!BF62), 0)</f>
        <v>65371</v>
      </c>
      <c r="I57" s="198">
        <f>ROUND(N(data!BF63), 0)</f>
        <v>0</v>
      </c>
      <c r="J57" s="198">
        <f>ROUND(N(data!BF64), 0)</f>
        <v>14608</v>
      </c>
      <c r="K57" s="198">
        <f>ROUND(N(data!BF65), 0)</f>
        <v>84</v>
      </c>
      <c r="L57" s="198">
        <f>ROUND(N(data!BF66), 0)</f>
        <v>-2</v>
      </c>
      <c r="M57" s="198">
        <f>ROUND(N(data!BF67), 0)</f>
        <v>2152</v>
      </c>
      <c r="N57" s="198">
        <f>ROUND(N(data!BF68), 0)</f>
        <v>0</v>
      </c>
      <c r="O57" s="198">
        <f>ROUND(N(data!BF69), 0)</f>
        <v>1066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826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20</v>
      </c>
      <c r="AB57" s="198">
        <f>ROUND(N(data!BF82), 0)</f>
        <v>0</v>
      </c>
      <c r="AC57" s="198">
        <f>ROUND(N(data!BF83), 0)</f>
        <v>221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1051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137</v>
      </c>
      <c r="B58" s="200" t="str">
        <f>RIGHT(data!$C$96,4)</f>
        <v>2023</v>
      </c>
      <c r="C58" s="12" t="str">
        <f>data!BG$55</f>
        <v>8470</v>
      </c>
      <c r="D58" s="12" t="s">
        <v>1158</v>
      </c>
      <c r="E58" s="198">
        <f>ROUND(N(data!BG59), 0)</f>
        <v>0</v>
      </c>
      <c r="F58" s="314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137</v>
      </c>
      <c r="B59" s="200" t="str">
        <f>RIGHT(data!$C$96,4)</f>
        <v>2023</v>
      </c>
      <c r="C59" s="12" t="str">
        <f>data!BH$55</f>
        <v>8480</v>
      </c>
      <c r="D59" s="12" t="s">
        <v>1158</v>
      </c>
      <c r="E59" s="198">
        <f>ROUND(N(data!BH59), 0)</f>
        <v>0</v>
      </c>
      <c r="F59" s="314">
        <f>ROUND(N(data!BH60), 2)</f>
        <v>2.95</v>
      </c>
      <c r="G59" s="198">
        <f>ROUND(N(data!BH61), 0)</f>
        <v>227765</v>
      </c>
      <c r="H59" s="198">
        <f>ROUND(N(data!BH62), 0)</f>
        <v>56691</v>
      </c>
      <c r="I59" s="198">
        <f>ROUND(N(data!BH63), 0)</f>
        <v>0</v>
      </c>
      <c r="J59" s="198">
        <f>ROUND(N(data!BH64), 0)</f>
        <v>90862</v>
      </c>
      <c r="K59" s="198">
        <f>ROUND(N(data!BH65), 0)</f>
        <v>83133</v>
      </c>
      <c r="L59" s="198">
        <f>ROUND(N(data!BH66), 0)</f>
        <v>600743</v>
      </c>
      <c r="M59" s="198">
        <f>ROUND(N(data!BH67), 0)</f>
        <v>582727</v>
      </c>
      <c r="N59" s="198">
        <f>ROUND(N(data!BH68), 0)</f>
        <v>6263</v>
      </c>
      <c r="O59" s="198">
        <f>ROUND(N(data!BH69), 0)</f>
        <v>84902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46</v>
      </c>
      <c r="X59" s="198">
        <f>ROUND(N(data!BH78), 0)</f>
        <v>0</v>
      </c>
      <c r="Y59" s="198">
        <f>ROUND(N(data!BH79), 0)</f>
        <v>0</v>
      </c>
      <c r="Z59" s="198">
        <f>ROUND(N(data!BH80), 0)</f>
        <v>5038</v>
      </c>
      <c r="AA59" s="198">
        <f>ROUND(N(data!BH81), 0)</f>
        <v>65579</v>
      </c>
      <c r="AB59" s="198">
        <f>ROUND(N(data!BH82), 0)</f>
        <v>0</v>
      </c>
      <c r="AC59" s="198">
        <f>ROUND(N(data!BH83), 0)</f>
        <v>14239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137</v>
      </c>
      <c r="B60" s="200" t="str">
        <f>RIGHT(data!$C$96,4)</f>
        <v>2023</v>
      </c>
      <c r="C60" s="12" t="str">
        <f>data!BI$55</f>
        <v>8490</v>
      </c>
      <c r="D60" s="12" t="s">
        <v>1158</v>
      </c>
      <c r="E60" s="198">
        <f>ROUND(N(data!BI59), 0)</f>
        <v>0</v>
      </c>
      <c r="F60" s="314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137</v>
      </c>
      <c r="B61" s="200" t="str">
        <f>RIGHT(data!$C$96,4)</f>
        <v>2023</v>
      </c>
      <c r="C61" s="12" t="str">
        <f>data!BJ$55</f>
        <v>8510</v>
      </c>
      <c r="D61" s="12" t="s">
        <v>1158</v>
      </c>
      <c r="E61" s="198">
        <f>ROUND(N(data!BJ59), 0)</f>
        <v>0</v>
      </c>
      <c r="F61" s="314">
        <f>ROUND(N(data!BJ60), 2)</f>
        <v>2.94</v>
      </c>
      <c r="G61" s="198">
        <f>ROUND(N(data!BJ61), 0)</f>
        <v>327477</v>
      </c>
      <c r="H61" s="198">
        <f>ROUND(N(data!BJ62), 0)</f>
        <v>71530</v>
      </c>
      <c r="I61" s="198">
        <f>ROUND(N(data!BJ63), 0)</f>
        <v>0</v>
      </c>
      <c r="J61" s="198">
        <f>ROUND(N(data!BJ64), 0)</f>
        <v>969</v>
      </c>
      <c r="K61" s="198">
        <f>ROUND(N(data!BJ65), 0)</f>
        <v>57</v>
      </c>
      <c r="L61" s="198">
        <f>ROUND(N(data!BJ66), 0)</f>
        <v>118895</v>
      </c>
      <c r="M61" s="198">
        <f>ROUND(N(data!BJ67), 0)</f>
        <v>22433</v>
      </c>
      <c r="N61" s="198">
        <f>ROUND(N(data!BJ68), 0)</f>
        <v>8275</v>
      </c>
      <c r="O61" s="198">
        <f>ROUND(N(data!BJ69), 0)</f>
        <v>54736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49897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4797</v>
      </c>
      <c r="AA61" s="198">
        <f>ROUND(N(data!BJ81), 0)</f>
        <v>42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137</v>
      </c>
      <c r="B62" s="200" t="str">
        <f>RIGHT(data!$C$96,4)</f>
        <v>2023</v>
      </c>
      <c r="C62" s="12" t="str">
        <f>data!BK$55</f>
        <v>8530</v>
      </c>
      <c r="D62" s="12" t="s">
        <v>1158</v>
      </c>
      <c r="E62" s="198">
        <f>ROUND(N(data!BK59), 0)</f>
        <v>0</v>
      </c>
      <c r="F62" s="314">
        <f>ROUND(N(data!BK60), 2)</f>
        <v>10.17</v>
      </c>
      <c r="G62" s="198">
        <f>ROUND(N(data!BK61), 0)</f>
        <v>517219</v>
      </c>
      <c r="H62" s="198">
        <f>ROUND(N(data!BK62), 0)</f>
        <v>142494</v>
      </c>
      <c r="I62" s="198">
        <f>ROUND(N(data!BK63), 0)</f>
        <v>3735</v>
      </c>
      <c r="J62" s="198">
        <f>ROUND(N(data!BK64), 0)</f>
        <v>12423</v>
      </c>
      <c r="K62" s="198">
        <f>ROUND(N(data!BK65), 0)</f>
        <v>23182</v>
      </c>
      <c r="L62" s="198">
        <f>ROUND(N(data!BK66), 0)</f>
        <v>182049</v>
      </c>
      <c r="M62" s="198">
        <f>ROUND(N(data!BK67), 0)</f>
        <v>0</v>
      </c>
      <c r="N62" s="198">
        <f>ROUND(N(data!BK68), 0)</f>
        <v>4593</v>
      </c>
      <c r="O62" s="198">
        <f>ROUND(N(data!BK69), 0)</f>
        <v>46905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7300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34448</v>
      </c>
      <c r="AA62" s="198">
        <f>ROUND(N(data!BK81), 0)</f>
        <v>248</v>
      </c>
      <c r="AB62" s="198">
        <f>ROUND(N(data!BK82), 0)</f>
        <v>0</v>
      </c>
      <c r="AC62" s="198">
        <f>ROUND(N(data!BK83), 0)</f>
        <v>4909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137</v>
      </c>
      <c r="B63" s="200" t="str">
        <f>RIGHT(data!$C$96,4)</f>
        <v>2023</v>
      </c>
      <c r="C63" s="12" t="str">
        <f>data!BL$55</f>
        <v>8560</v>
      </c>
      <c r="D63" s="12" t="s">
        <v>1158</v>
      </c>
      <c r="E63" s="198">
        <f>ROUND(N(data!BL59), 0)</f>
        <v>0</v>
      </c>
      <c r="F63" s="314">
        <f>ROUND(N(data!BL60), 2)</f>
        <v>13.79</v>
      </c>
      <c r="G63" s="198">
        <f>ROUND(N(data!BL61), 0)</f>
        <v>615918</v>
      </c>
      <c r="H63" s="198">
        <f>ROUND(N(data!BL62), 0)</f>
        <v>143436</v>
      </c>
      <c r="I63" s="198">
        <f>ROUND(N(data!BL63), 0)</f>
        <v>0</v>
      </c>
      <c r="J63" s="198">
        <f>ROUND(N(data!BL64), 0)</f>
        <v>3603</v>
      </c>
      <c r="K63" s="198">
        <f>ROUND(N(data!BL65), 0)</f>
        <v>0</v>
      </c>
      <c r="L63" s="198">
        <f>ROUND(N(data!BL66), 0)</f>
        <v>118</v>
      </c>
      <c r="M63" s="198">
        <f>ROUND(N(data!BL67), 0)</f>
        <v>0</v>
      </c>
      <c r="N63" s="198">
        <f>ROUND(N(data!BL68), 0)</f>
        <v>0</v>
      </c>
      <c r="O63" s="198">
        <f>ROUND(N(data!BL69), 0)</f>
        <v>415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415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137</v>
      </c>
      <c r="B64" s="200" t="str">
        <f>RIGHT(data!$C$96,4)</f>
        <v>2023</v>
      </c>
      <c r="C64" s="12" t="str">
        <f>data!BM$55</f>
        <v>8590</v>
      </c>
      <c r="D64" s="12" t="s">
        <v>1158</v>
      </c>
      <c r="E64" s="198">
        <f>ROUND(N(data!BM59), 0)</f>
        <v>0</v>
      </c>
      <c r="F64" s="314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137</v>
      </c>
      <c r="B65" s="200" t="str">
        <f>RIGHT(data!$C$96,4)</f>
        <v>2023</v>
      </c>
      <c r="C65" s="12" t="str">
        <f>data!BN$55</f>
        <v>8610</v>
      </c>
      <c r="D65" s="12" t="s">
        <v>1158</v>
      </c>
      <c r="E65" s="198">
        <f>ROUND(N(data!BN59), 0)</f>
        <v>0</v>
      </c>
      <c r="F65" s="314">
        <f>ROUND(N(data!BN60), 2)</f>
        <v>5.64</v>
      </c>
      <c r="G65" s="198">
        <f>ROUND(N(data!BN61), 0)</f>
        <v>656601</v>
      </c>
      <c r="H65" s="198">
        <f>ROUND(N(data!BN62), 0)</f>
        <v>308013</v>
      </c>
      <c r="I65" s="198">
        <f>ROUND(N(data!BN63), 0)</f>
        <v>40432</v>
      </c>
      <c r="J65" s="198">
        <f>ROUND(N(data!BN64), 0)</f>
        <v>9750</v>
      </c>
      <c r="K65" s="198">
        <f>ROUND(N(data!BN65), 0)</f>
        <v>163</v>
      </c>
      <c r="L65" s="198">
        <f>ROUND(N(data!BN66), 0)</f>
        <v>49020</v>
      </c>
      <c r="M65" s="198">
        <f>ROUND(N(data!BN67), 0)</f>
        <v>3397</v>
      </c>
      <c r="N65" s="198">
        <f>ROUND(N(data!BN68), 0)</f>
        <v>-39662</v>
      </c>
      <c r="O65" s="198">
        <f>ROUND(N(data!BN69), 0)</f>
        <v>388202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56582</v>
      </c>
      <c r="T65" s="198">
        <f>ROUND(N(data!BN74), 0)</f>
        <v>0</v>
      </c>
      <c r="U65" s="198">
        <f>ROUND(N(data!BN75), 0)</f>
        <v>7925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126352</v>
      </c>
      <c r="AA65" s="198">
        <f>ROUND(N(data!BN81), 0)</f>
        <v>169830</v>
      </c>
      <c r="AB65" s="198">
        <f>ROUND(N(data!BN82), 0)</f>
        <v>0</v>
      </c>
      <c r="AC65" s="198">
        <f>ROUND(N(data!BN83), 0)</f>
        <v>27514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7194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137</v>
      </c>
      <c r="B66" s="200" t="str">
        <f>RIGHT(data!$C$96,4)</f>
        <v>2023</v>
      </c>
      <c r="C66" s="12" t="str">
        <f>data!BO$55</f>
        <v>8620</v>
      </c>
      <c r="D66" s="12" t="s">
        <v>1158</v>
      </c>
      <c r="E66" s="198">
        <f>ROUND(N(data!BO59), 0)</f>
        <v>0</v>
      </c>
      <c r="F66" s="314">
        <f>ROUND(N(data!BO60), 2)</f>
        <v>0.5</v>
      </c>
      <c r="G66" s="198">
        <f>ROUND(N(data!BO61), 0)</f>
        <v>51967</v>
      </c>
      <c r="H66" s="198">
        <f>ROUND(N(data!BO62), 0)</f>
        <v>22145</v>
      </c>
      <c r="I66" s="198">
        <f>ROUND(N(data!BO63), 0)</f>
        <v>0</v>
      </c>
      <c r="J66" s="198">
        <f>ROUND(N(data!BO64), 0)</f>
        <v>1248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5761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940</v>
      </c>
      <c r="AA66" s="198">
        <f>ROUND(N(data!BO81), 0)</f>
        <v>0</v>
      </c>
      <c r="AB66" s="198">
        <f>ROUND(N(data!BO82), 0)</f>
        <v>0</v>
      </c>
      <c r="AC66" s="198">
        <f>ROUND(N(data!BO83), 0)</f>
        <v>4821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137</v>
      </c>
      <c r="B67" s="200" t="str">
        <f>RIGHT(data!$C$96,4)</f>
        <v>2023</v>
      </c>
      <c r="C67" s="12" t="str">
        <f>data!BP$55</f>
        <v>8630</v>
      </c>
      <c r="D67" s="12" t="s">
        <v>1158</v>
      </c>
      <c r="E67" s="198">
        <f>ROUND(N(data!BP59), 0)</f>
        <v>0</v>
      </c>
      <c r="F67" s="314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137</v>
      </c>
      <c r="B68" s="200" t="str">
        <f>RIGHT(data!$C$96,4)</f>
        <v>2023</v>
      </c>
      <c r="C68" s="12" t="str">
        <f>data!BQ$55</f>
        <v>8640</v>
      </c>
      <c r="D68" s="12" t="s">
        <v>1158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137</v>
      </c>
      <c r="B69" s="200" t="str">
        <f>RIGHT(data!$C$96,4)</f>
        <v>2023</v>
      </c>
      <c r="C69" s="12" t="str">
        <f>data!BR$55</f>
        <v>8650</v>
      </c>
      <c r="D69" s="12" t="s">
        <v>1158</v>
      </c>
      <c r="E69" s="198">
        <f>ROUND(N(data!BR59), 0)</f>
        <v>0</v>
      </c>
      <c r="F69" s="314">
        <f>ROUND(N(data!BR60), 2)</f>
        <v>2.09</v>
      </c>
      <c r="G69" s="198">
        <f>ROUND(N(data!BR61), 0)</f>
        <v>167268</v>
      </c>
      <c r="H69" s="198">
        <f>ROUND(N(data!BR62), 0)</f>
        <v>42144</v>
      </c>
      <c r="I69" s="198">
        <f>ROUND(N(data!BR63), 0)</f>
        <v>2488</v>
      </c>
      <c r="J69" s="198">
        <f>ROUND(N(data!BR64), 0)</f>
        <v>3128</v>
      </c>
      <c r="K69" s="198">
        <f>ROUND(N(data!BR65), 0)</f>
        <v>0</v>
      </c>
      <c r="L69" s="198">
        <f>ROUND(N(data!BR66), 0)</f>
        <v>36442</v>
      </c>
      <c r="M69" s="198">
        <f>ROUND(N(data!BR67), 0)</f>
        <v>5000</v>
      </c>
      <c r="N69" s="198">
        <f>ROUND(N(data!BR68), 0)</f>
        <v>0</v>
      </c>
      <c r="O69" s="198">
        <f>ROUND(N(data!BR69), 0)</f>
        <v>65543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225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7407</v>
      </c>
      <c r="AA69" s="198">
        <f>ROUND(N(data!BR81), 0)</f>
        <v>0</v>
      </c>
      <c r="AB69" s="198">
        <f>ROUND(N(data!BR82), 0)</f>
        <v>0</v>
      </c>
      <c r="AC69" s="198">
        <f>ROUND(N(data!BR83), 0)</f>
        <v>57911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137</v>
      </c>
      <c r="B70" s="200" t="str">
        <f>RIGHT(data!$C$96,4)</f>
        <v>2023</v>
      </c>
      <c r="C70" s="12" t="str">
        <f>data!BS$55</f>
        <v>8660</v>
      </c>
      <c r="D70" s="12" t="s">
        <v>1158</v>
      </c>
      <c r="E70" s="198">
        <f>ROUND(N(data!BS59), 0)</f>
        <v>0</v>
      </c>
      <c r="F70" s="314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137</v>
      </c>
      <c r="B71" s="200" t="str">
        <f>RIGHT(data!$C$96,4)</f>
        <v>2023</v>
      </c>
      <c r="C71" s="12" t="str">
        <f>data!BT$55</f>
        <v>8670</v>
      </c>
      <c r="D71" s="12" t="s">
        <v>1158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137</v>
      </c>
      <c r="B72" s="200" t="str">
        <f>RIGHT(data!$C$96,4)</f>
        <v>2023</v>
      </c>
      <c r="C72" s="12" t="str">
        <f>data!BU$55</f>
        <v>8680</v>
      </c>
      <c r="D72" s="12" t="s">
        <v>1158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137</v>
      </c>
      <c r="B73" s="200" t="str">
        <f>RIGHT(data!$C$96,4)</f>
        <v>2023</v>
      </c>
      <c r="C73" s="12" t="str">
        <f>data!BV$55</f>
        <v>8690</v>
      </c>
      <c r="D73" s="12" t="s">
        <v>1158</v>
      </c>
      <c r="E73" s="198">
        <f>ROUND(N(data!BV59), 0)</f>
        <v>0</v>
      </c>
      <c r="F73" s="314">
        <f>ROUND(N(data!BV60), 2)</f>
        <v>2.83</v>
      </c>
      <c r="G73" s="198">
        <f>ROUND(N(data!BV61), 0)</f>
        <v>138323</v>
      </c>
      <c r="H73" s="198">
        <f>ROUND(N(data!BV62), 0)</f>
        <v>42603</v>
      </c>
      <c r="I73" s="198">
        <f>ROUND(N(data!BV63), 0)</f>
        <v>50755</v>
      </c>
      <c r="J73" s="198">
        <f>ROUND(N(data!BV64), 0)</f>
        <v>32</v>
      </c>
      <c r="K73" s="198">
        <f>ROUND(N(data!BV65), 0)</f>
        <v>1110</v>
      </c>
      <c r="L73" s="198">
        <f>ROUND(N(data!BV66), 0)</f>
        <v>23827</v>
      </c>
      <c r="M73" s="198">
        <f>ROUND(N(data!BV67), 0)</f>
        <v>0</v>
      </c>
      <c r="N73" s="198">
        <f>ROUND(N(data!BV68), 0)</f>
        <v>0</v>
      </c>
      <c r="O73" s="198">
        <f>ROUND(N(data!BV69), 0)</f>
        <v>354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354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366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137</v>
      </c>
      <c r="B74" s="200" t="str">
        <f>RIGHT(data!$C$96,4)</f>
        <v>2023</v>
      </c>
      <c r="C74" s="12" t="str">
        <f>data!BW$55</f>
        <v>8700</v>
      </c>
      <c r="D74" s="12" t="s">
        <v>1158</v>
      </c>
      <c r="E74" s="198">
        <f>ROUND(N(data!BW59), 0)</f>
        <v>0</v>
      </c>
      <c r="F74" s="314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137</v>
      </c>
      <c r="B75" s="200" t="str">
        <f>RIGHT(data!$C$96,4)</f>
        <v>2023</v>
      </c>
      <c r="C75" s="12" t="str">
        <f>data!BX$55</f>
        <v>8710</v>
      </c>
      <c r="D75" s="12" t="s">
        <v>1158</v>
      </c>
      <c r="E75" s="198">
        <f>ROUND(N(data!BX59), 0)</f>
        <v>0</v>
      </c>
      <c r="F75" s="314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137</v>
      </c>
      <c r="B76" s="200" t="str">
        <f>RIGHT(data!$C$96,4)</f>
        <v>2023</v>
      </c>
      <c r="C76" s="12" t="str">
        <f>data!BY$55</f>
        <v>8720</v>
      </c>
      <c r="D76" s="12" t="s">
        <v>1158</v>
      </c>
      <c r="E76" s="198">
        <f>ROUND(N(data!BY59), 0)</f>
        <v>0</v>
      </c>
      <c r="F76" s="314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72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137</v>
      </c>
      <c r="B77" s="200" t="str">
        <f>RIGHT(data!$C$96,4)</f>
        <v>2023</v>
      </c>
      <c r="C77" s="12" t="str">
        <f>data!BZ$55</f>
        <v>8730</v>
      </c>
      <c r="D77" s="12" t="s">
        <v>1158</v>
      </c>
      <c r="E77" s="198">
        <f>ROUND(N(data!BZ59), 0)</f>
        <v>0</v>
      </c>
      <c r="F77" s="314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137</v>
      </c>
      <c r="B78" s="200" t="str">
        <f>RIGHT(data!$C$96,4)</f>
        <v>2023</v>
      </c>
      <c r="C78" s="12" t="str">
        <f>data!CA$55</f>
        <v>8740</v>
      </c>
      <c r="D78" s="12" t="s">
        <v>1158</v>
      </c>
      <c r="E78" s="198">
        <f>ROUND(N(data!CA59), 0)</f>
        <v>0</v>
      </c>
      <c r="F78" s="314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137</v>
      </c>
      <c r="B79" s="200" t="str">
        <f>RIGHT(data!$C$96,4)</f>
        <v>2023</v>
      </c>
      <c r="C79" s="12" t="str">
        <f>data!CB$55</f>
        <v>8770</v>
      </c>
      <c r="D79" s="12" t="s">
        <v>1158</v>
      </c>
      <c r="E79" s="198">
        <f>ROUND(N(data!CB59), 0)</f>
        <v>0</v>
      </c>
      <c r="F79" s="314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4550</v>
      </c>
      <c r="K79" s="198">
        <f>ROUND(N(data!CB65), 0)</f>
        <v>0</v>
      </c>
      <c r="L79" s="198">
        <f>ROUND(N(data!CB66), 0)</f>
        <v>27265</v>
      </c>
      <c r="M79" s="198">
        <f>ROUND(N(data!CB67), 0)</f>
        <v>0</v>
      </c>
      <c r="N79" s="198">
        <f>ROUND(N(data!CB68), 0)</f>
        <v>0</v>
      </c>
      <c r="O79" s="198">
        <f>ROUND(N(data!CB69), 0)</f>
        <v>2000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2000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137</v>
      </c>
      <c r="B80" s="200" t="str">
        <f>RIGHT(data!$C$96,4)</f>
        <v>2023</v>
      </c>
      <c r="C80" s="12" t="str">
        <f>data!CC$55</f>
        <v>8790</v>
      </c>
      <c r="D80" s="12" t="s">
        <v>1158</v>
      </c>
      <c r="E80" s="198">
        <f>ROUND(N(data!CC59), 0)</f>
        <v>0</v>
      </c>
      <c r="F80" s="314">
        <f>ROUND(N(data!CC60), 2)</f>
        <v>0</v>
      </c>
      <c r="G80" s="198">
        <f>ROUND(N(data!CC61), 0)</f>
        <v>0</v>
      </c>
      <c r="H80" s="198">
        <f>ROUND(N(data!CC62), 0)</f>
        <v>19915</v>
      </c>
      <c r="I80" s="198">
        <f>ROUND(N(data!CC63), 0)</f>
        <v>0</v>
      </c>
      <c r="J80" s="198">
        <f>ROUND(N(data!CC64), 0)</f>
        <v>1658</v>
      </c>
      <c r="K80" s="198">
        <f>ROUND(N(data!CC65), 0)</f>
        <v>0</v>
      </c>
      <c r="L80" s="198">
        <f>ROUND(N(data!CC66), 0)</f>
        <v>0</v>
      </c>
      <c r="M80" s="198">
        <f>ROUND(N(data!CC67), 0)</f>
        <v>459497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6"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699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700</v>
      </c>
      <c r="G3" s="10"/>
      <c r="J3" s="99"/>
    </row>
    <row r="4" spans="2:10" x14ac:dyDescent="0.35">
      <c r="B4" s="98"/>
      <c r="F4" s="10" t="s">
        <v>701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702</v>
      </c>
      <c r="G8" s="10"/>
      <c r="J8" s="99"/>
    </row>
    <row r="9" spans="2:10" x14ac:dyDescent="0.3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35">
      <c r="B10" s="98"/>
      <c r="F10" s="10" t="s">
        <v>704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705</v>
      </c>
      <c r="G12" s="10"/>
      <c r="J12" s="99"/>
    </row>
    <row r="13" spans="2:10" x14ac:dyDescent="0.35">
      <c r="B13" s="98"/>
      <c r="F13" s="10" t="s">
        <v>706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707</v>
      </c>
      <c r="J16" s="99"/>
    </row>
    <row r="17" spans="2:10" x14ac:dyDescent="0.35">
      <c r="B17" s="95"/>
      <c r="C17" s="104" t="s">
        <v>708</v>
      </c>
      <c r="D17" s="104"/>
      <c r="E17" s="96" t="str">
        <f>+data!C98</f>
        <v>LINCOLN COUNTY HOSPITAL DISTRICT # 3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709</v>
      </c>
      <c r="D18" s="53"/>
      <c r="E18" s="11" t="str">
        <f>+"H-"&amp;data!C97</f>
        <v>H-137</v>
      </c>
      <c r="F18" s="10"/>
      <c r="G18" s="10"/>
      <c r="J18" s="99"/>
    </row>
    <row r="19" spans="2:10" x14ac:dyDescent="0.35">
      <c r="B19" s="98"/>
      <c r="C19" s="53" t="s">
        <v>710</v>
      </c>
      <c r="D19" s="53"/>
      <c r="E19" s="11" t="str">
        <f>+data!C99</f>
        <v>10 NICHOLLS STREET</v>
      </c>
      <c r="F19" s="10"/>
      <c r="G19" s="10"/>
      <c r="J19" s="99"/>
    </row>
    <row r="20" spans="2:10" x14ac:dyDescent="0.35">
      <c r="B20" s="98"/>
      <c r="C20" s="53" t="s">
        <v>711</v>
      </c>
      <c r="D20" s="53"/>
      <c r="E20" s="11" t="str">
        <f>+data!C99</f>
        <v>10 NICHOLLS STREET</v>
      </c>
      <c r="F20" s="10"/>
      <c r="G20" s="10"/>
      <c r="J20" s="99"/>
    </row>
    <row r="21" spans="2:10" x14ac:dyDescent="0.35">
      <c r="B21" s="98"/>
      <c r="C21" s="53" t="s">
        <v>712</v>
      </c>
      <c r="D21" s="53"/>
      <c r="E21" s="11" t="str">
        <f>CONCATENATE(+data!C100,", ",+data!C101)</f>
        <v>DAVENPORT, WA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3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12/31/2023.</v>
      </c>
      <c r="J28" s="99"/>
    </row>
    <row r="29" spans="2:10" x14ac:dyDescent="0.35">
      <c r="B29" s="98" t="s">
        <v>715</v>
      </c>
      <c r="J29" s="99"/>
    </row>
    <row r="30" spans="2:10" x14ac:dyDescent="0.3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4" zoomScale="85" zoomScaleNormal="85" workbookViewId="0">
      <selection activeCell="I70" sqref="I7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4" t="s">
        <v>721</v>
      </c>
    </row>
    <row r="3" spans="1:13" x14ac:dyDescent="0.35">
      <c r="A3" s="54"/>
    </row>
    <row r="4" spans="1:13" x14ac:dyDescent="0.35">
      <c r="A4" s="149" t="s">
        <v>722</v>
      </c>
    </row>
    <row r="5" spans="1:13" x14ac:dyDescent="0.35">
      <c r="A5" s="149" t="s">
        <v>723</v>
      </c>
    </row>
    <row r="6" spans="1:13" x14ac:dyDescent="0.35">
      <c r="A6" s="149" t="s">
        <v>724</v>
      </c>
    </row>
    <row r="7" spans="1:13" x14ac:dyDescent="0.35">
      <c r="A7" s="149"/>
    </row>
    <row r="8" spans="1:13" x14ac:dyDescent="0.35">
      <c r="A8" s="2" t="s">
        <v>725</v>
      </c>
    </row>
    <row r="9" spans="1:13" x14ac:dyDescent="0.35">
      <c r="A9" s="149" t="s">
        <v>27</v>
      </c>
    </row>
    <row r="12" spans="1:13" x14ac:dyDescent="0.35">
      <c r="A12" s="1" t="str">
        <f>data!C97</f>
        <v>137</v>
      </c>
      <c r="B12" s="228" t="str">
        <f>RIGHT('Prior Year'!C96,4)</f>
        <v>2022</v>
      </c>
      <c r="C12" s="228" t="str">
        <f>RIGHT(data!C96,4)</f>
        <v>2023</v>
      </c>
      <c r="D12" s="1" t="str">
        <f>RIGHT('Prior Year'!C96,4)</f>
        <v>2022</v>
      </c>
      <c r="E12" s="228" t="str">
        <f>RIGHT(data!C96,4)</f>
        <v>2023</v>
      </c>
      <c r="F12" s="1" t="str">
        <f>RIGHT('Prior Year'!C96,4)</f>
        <v>2022</v>
      </c>
      <c r="G12" s="228" t="str">
        <f>RIGHT(data!C96,4)</f>
        <v>2023</v>
      </c>
      <c r="H12" s="3"/>
    </row>
    <row r="13" spans="1:13" x14ac:dyDescent="0.35">
      <c r="A13" s="2"/>
      <c r="B13" s="228" t="s">
        <v>726</v>
      </c>
      <c r="C13" s="228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28" t="s">
        <v>365</v>
      </c>
      <c r="C14" s="228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35">
      <c r="A15" s="1" t="s">
        <v>736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738</v>
      </c>
      <c r="B17" s="228">
        <f>ROUND(N('Prior Year'!E85), 0)</f>
        <v>3657405</v>
      </c>
      <c r="C17" s="228">
        <f>data!E85</f>
        <v>3886854.9300000006</v>
      </c>
      <c r="D17" s="228">
        <f>ROUND(N('Prior Year'!E59), 0)</f>
        <v>925</v>
      </c>
      <c r="E17" s="1">
        <f>data!E59</f>
        <v>801</v>
      </c>
      <c r="F17" s="205">
        <f t="shared" si="0"/>
        <v>3953.9513513513511</v>
      </c>
      <c r="G17" s="205">
        <f t="shared" si="1"/>
        <v>4852.5030337078661</v>
      </c>
      <c r="H17" s="6" t="str">
        <f t="shared" si="2"/>
        <v/>
      </c>
      <c r="I17" s="228" t="str">
        <f t="shared" si="3"/>
        <v/>
      </c>
      <c r="M17" s="7"/>
    </row>
    <row r="18" spans="1:13" x14ac:dyDescent="0.35">
      <c r="A18" s="1" t="s">
        <v>739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35">
      <c r="A19" s="1" t="s">
        <v>740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35">
      <c r="A20" s="1" t="s">
        <v>741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35">
      <c r="A21" s="1" t="s">
        <v>742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35">
      <c r="A22" s="1" t="s">
        <v>743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35">
      <c r="A23" s="1" t="s">
        <v>744</v>
      </c>
      <c r="B23" s="228">
        <f>ROUND(N('Prior Year'!K85), 0)</f>
        <v>0</v>
      </c>
      <c r="C23" s="228">
        <f>data!K85</f>
        <v>16584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35">
      <c r="A24" s="1" t="s">
        <v>745</v>
      </c>
      <c r="B24" s="228">
        <f>ROUND(N('Prior Year'!L85), 0)</f>
        <v>1895375</v>
      </c>
      <c r="C24" s="228">
        <f>data!L85</f>
        <v>1848223.6300000001</v>
      </c>
      <c r="D24" s="228">
        <f>ROUND(N('Prior Year'!L59), 0)</f>
        <v>4388</v>
      </c>
      <c r="E24" s="1">
        <f>data!L59</f>
        <v>3846</v>
      </c>
      <c r="F24" s="205">
        <f t="shared" si="0"/>
        <v>431.94507748404737</v>
      </c>
      <c r="G24" s="205">
        <f t="shared" si="1"/>
        <v>480.55736609464384</v>
      </c>
      <c r="H24" s="6" t="str">
        <f t="shared" si="2"/>
        <v/>
      </c>
      <c r="I24" s="228" t="str">
        <f t="shared" si="3"/>
        <v/>
      </c>
      <c r="M24" s="7"/>
    </row>
    <row r="25" spans="1:13" x14ac:dyDescent="0.35">
      <c r="A25" s="1" t="s">
        <v>746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149064</v>
      </c>
      <c r="C26" s="228">
        <f>data!N85</f>
        <v>123488</v>
      </c>
      <c r="D26" s="228">
        <f>ROUND(N('Prior Year'!N59), 0)</f>
        <v>0</v>
      </c>
      <c r="E26" s="1">
        <f>data!N59</f>
        <v>569</v>
      </c>
      <c r="F26" s="205" t="str">
        <f t="shared" si="0"/>
        <v/>
      </c>
      <c r="G26" s="205">
        <f t="shared" si="1"/>
        <v>217.02636203866433</v>
      </c>
      <c r="H26" s="6" t="str">
        <f t="shared" si="2"/>
        <v/>
      </c>
      <c r="I26" s="228" t="str">
        <f t="shared" si="3"/>
        <v/>
      </c>
      <c r="M26" s="7"/>
    </row>
    <row r="27" spans="1:13" x14ac:dyDescent="0.35">
      <c r="A27" s="1" t="s">
        <v>748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35">
      <c r="A28" s="1" t="s">
        <v>749</v>
      </c>
      <c r="B28" s="228">
        <f>ROUND(N('Prior Year'!P85), 0)</f>
        <v>987104</v>
      </c>
      <c r="C28" s="228">
        <f>data!P85</f>
        <v>896301.69000000006</v>
      </c>
      <c r="D28" s="228">
        <f>ROUND(N('Prior Year'!P59), 0)</f>
        <v>17345</v>
      </c>
      <c r="E28" s="1">
        <f>data!P59</f>
        <v>22687</v>
      </c>
      <c r="F28" s="205">
        <f t="shared" si="0"/>
        <v>56.910002882675123</v>
      </c>
      <c r="G28" s="205">
        <f t="shared" si="1"/>
        <v>39.507281262396972</v>
      </c>
      <c r="H28" s="6">
        <f t="shared" si="2"/>
        <v>-0.30579372234711288</v>
      </c>
      <c r="I28" s="228" t="s">
        <v>1366</v>
      </c>
      <c r="M28" s="7"/>
    </row>
    <row r="29" spans="1:13" x14ac:dyDescent="0.35">
      <c r="A29" s="1" t="s">
        <v>750</v>
      </c>
      <c r="B29" s="228">
        <f>ROUND(N('Prior Year'!Q85), 0)</f>
        <v>0</v>
      </c>
      <c r="C29" s="228">
        <f>data!Q85</f>
        <v>0</v>
      </c>
      <c r="D29" s="228">
        <f>ROUND(N('Prior Year'!Q59), 0)</f>
        <v>23670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35">
      <c r="A30" s="1" t="s">
        <v>751</v>
      </c>
      <c r="B30" s="228">
        <f>ROUND(N('Prior Year'!R85), 0)</f>
        <v>1185656</v>
      </c>
      <c r="C30" s="228">
        <f>data!R85</f>
        <v>709141.02</v>
      </c>
      <c r="D30" s="228">
        <f>ROUND(N('Prior Year'!R59), 0)</f>
        <v>0</v>
      </c>
      <c r="E30" s="1">
        <f>data!R59</f>
        <v>27656</v>
      </c>
      <c r="F30" s="205" t="str">
        <f t="shared" si="0"/>
        <v/>
      </c>
      <c r="G30" s="205">
        <f>IFERROR(IF(C30=0,"",IF(E30=0,"",C30/E30)),"")</f>
        <v>25.64148900781024</v>
      </c>
      <c r="H30" s="6" t="str">
        <f t="shared" si="2"/>
        <v/>
      </c>
      <c r="I30" s="228" t="str">
        <f t="shared" si="3"/>
        <v/>
      </c>
      <c r="M30" s="7"/>
    </row>
    <row r="31" spans="1:13" x14ac:dyDescent="0.35">
      <c r="A31" s="1" t="s">
        <v>752</v>
      </c>
      <c r="B31" s="228">
        <f>ROUND(N('Prior Year'!S85), 0)</f>
        <v>0</v>
      </c>
      <c r="C31" s="228">
        <f>data!S85</f>
        <v>0</v>
      </c>
      <c r="D31" s="228" t="s">
        <v>753</v>
      </c>
      <c r="E31" s="4" t="s">
        <v>753</v>
      </c>
      <c r="F31" s="205" t="s">
        <v>5</v>
      </c>
      <c r="G31" s="205" t="str">
        <f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35">
      <c r="A32" s="1" t="s">
        <v>754</v>
      </c>
      <c r="B32" s="228">
        <f>ROUND(N('Prior Year'!T85), 0)</f>
        <v>0</v>
      </c>
      <c r="C32" s="228">
        <f>data!T85</f>
        <v>0</v>
      </c>
      <c r="D32" s="228" t="s">
        <v>753</v>
      </c>
      <c r="E32" s="4" t="s">
        <v>753</v>
      </c>
      <c r="F32" s="205" t="s">
        <v>5</v>
      </c>
      <c r="G32" s="205" t="str">
        <f>IFERROR(IF(C32=0,"",IF(E32=0,"",C32/E32)),"")</f>
        <v/>
      </c>
      <c r="H32" s="6" t="s">
        <v>5</v>
      </c>
      <c r="I32" s="228" t="str">
        <f t="shared" si="3"/>
        <v/>
      </c>
      <c r="M32" s="7"/>
    </row>
    <row r="33" spans="1:13" x14ac:dyDescent="0.35">
      <c r="A33" s="1" t="s">
        <v>755</v>
      </c>
      <c r="B33" s="228">
        <f>ROUND(N('Prior Year'!U85), 0)</f>
        <v>1685049</v>
      </c>
      <c r="C33" s="228">
        <f>data!U85</f>
        <v>1519726.36</v>
      </c>
      <c r="D33" s="228">
        <f>ROUND(N('Prior Year'!U59), 0)</f>
        <v>57611</v>
      </c>
      <c r="E33" s="1">
        <f>data!U59</f>
        <v>62249</v>
      </c>
      <c r="F33" s="205">
        <f t="shared" si="0"/>
        <v>29.248737220322507</v>
      </c>
      <c r="G33" s="205">
        <f t="shared" ref="G33:G69" si="4">IF(C33=0,"",IF(E33=0,"",C33/E33))</f>
        <v>24.413667046860191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35">
      <c r="A34" s="1" t="s">
        <v>756</v>
      </c>
      <c r="B34" s="228">
        <f>ROUND(N('Prior Year'!V85), 0)</f>
        <v>0</v>
      </c>
      <c r="C34" s="228">
        <f>data!V85</f>
        <v>3756.36</v>
      </c>
      <c r="D34" s="228">
        <f>ROUND(N('Prior Year'!V59), 0)</f>
        <v>350</v>
      </c>
      <c r="E34" s="1">
        <f>data!V59</f>
        <v>156</v>
      </c>
      <c r="F34" s="205" t="str">
        <f t="shared" si="0"/>
        <v/>
      </c>
      <c r="G34" s="205">
        <f t="shared" si="4"/>
        <v>24.079230769230769</v>
      </c>
      <c r="H34" s="6" t="str">
        <f t="shared" si="5"/>
        <v/>
      </c>
      <c r="I34" s="228" t="str">
        <f t="shared" si="3"/>
        <v/>
      </c>
      <c r="M34" s="7"/>
    </row>
    <row r="35" spans="1:13" x14ac:dyDescent="0.35">
      <c r="A35" s="1" t="s">
        <v>757</v>
      </c>
      <c r="B35" s="228">
        <f>ROUND(N('Prior Year'!W85), 0)</f>
        <v>270160</v>
      </c>
      <c r="C35" s="228">
        <f>data!W85</f>
        <v>268585.06</v>
      </c>
      <c r="D35" s="228">
        <f>ROUND(N('Prior Year'!W59), 0)</f>
        <v>0</v>
      </c>
      <c r="E35" s="1">
        <f>data!W59</f>
        <v>519</v>
      </c>
      <c r="F35" s="205" t="str">
        <f t="shared" si="0"/>
        <v/>
      </c>
      <c r="G35" s="205">
        <f t="shared" si="4"/>
        <v>517.50493256262041</v>
      </c>
      <c r="H35" s="6" t="str">
        <f t="shared" si="5"/>
        <v/>
      </c>
      <c r="I35" s="228" t="str">
        <f t="shared" si="3"/>
        <v/>
      </c>
      <c r="M35" s="7"/>
    </row>
    <row r="36" spans="1:13" x14ac:dyDescent="0.35">
      <c r="A36" s="1" t="s">
        <v>758</v>
      </c>
      <c r="B36" s="228">
        <f>ROUND(N('Prior Year'!X85), 0)</f>
        <v>153146</v>
      </c>
      <c r="C36" s="228">
        <f>data!X85</f>
        <v>115342.65</v>
      </c>
      <c r="D36" s="228">
        <f>ROUND(N('Prior Year'!X59), 0)</f>
        <v>2007</v>
      </c>
      <c r="E36" s="1">
        <f>data!X59</f>
        <v>2088</v>
      </c>
      <c r="F36" s="205">
        <f t="shared" si="0"/>
        <v>76.305929247633287</v>
      </c>
      <c r="G36" s="205">
        <f t="shared" si="4"/>
        <v>55.240732758620688</v>
      </c>
      <c r="H36" s="6">
        <f t="shared" si="5"/>
        <v>-0.27606238069194289</v>
      </c>
      <c r="I36" s="228" t="s">
        <v>1367</v>
      </c>
      <c r="M36" s="7"/>
    </row>
    <row r="37" spans="1:13" x14ac:dyDescent="0.35">
      <c r="A37" s="1" t="s">
        <v>759</v>
      </c>
      <c r="B37" s="228">
        <f>ROUND(N('Prior Year'!Y85), 0)</f>
        <v>1262898</v>
      </c>
      <c r="C37" s="228">
        <f>data!Y85</f>
        <v>1297376.7499999998</v>
      </c>
      <c r="D37" s="228">
        <f>ROUND(N('Prior Year'!Y59), 0)</f>
        <v>8813</v>
      </c>
      <c r="E37" s="1">
        <f>data!Y59</f>
        <v>8395</v>
      </c>
      <c r="F37" s="205">
        <f t="shared" si="0"/>
        <v>143.29944400317711</v>
      </c>
      <c r="G37" s="205">
        <f t="shared" si="4"/>
        <v>154.54160214413338</v>
      </c>
      <c r="H37" s="6" t="str">
        <f t="shared" si="5"/>
        <v/>
      </c>
      <c r="I37" s="228" t="str">
        <f t="shared" si="3"/>
        <v/>
      </c>
      <c r="M37" s="7"/>
    </row>
    <row r="38" spans="1:13" x14ac:dyDescent="0.35">
      <c r="A38" s="1" t="s">
        <v>760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35">
      <c r="A39" s="1" t="s">
        <v>761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35">
      <c r="A40" s="1" t="s">
        <v>762</v>
      </c>
      <c r="B40" s="228">
        <f>ROUND(N('Prior Year'!AB85), 0)</f>
        <v>1444593</v>
      </c>
      <c r="C40" s="228">
        <f>data!AB85</f>
        <v>1390589.14</v>
      </c>
      <c r="D40" s="228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35">
      <c r="A41" s="1" t="s">
        <v>763</v>
      </c>
      <c r="B41" s="228">
        <f>ROUND(N('Prior Year'!AC85), 0)</f>
        <v>254974</v>
      </c>
      <c r="C41" s="228">
        <f>data!AC85</f>
        <v>255634.42</v>
      </c>
      <c r="D41" s="228">
        <f>ROUND(N('Prior Year'!AC59), 0)</f>
        <v>0</v>
      </c>
      <c r="E41" s="1">
        <f>data!AC59</f>
        <v>4609</v>
      </c>
      <c r="F41" s="205" t="str">
        <f t="shared" si="0"/>
        <v/>
      </c>
      <c r="G41" s="205">
        <f t="shared" si="4"/>
        <v>55.464183119982643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35">
      <c r="A42" s="1" t="s">
        <v>764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35">
      <c r="A43" s="1" t="s">
        <v>765</v>
      </c>
      <c r="B43" s="228">
        <f>ROUND(N('Prior Year'!AE85), 0)</f>
        <v>730542</v>
      </c>
      <c r="C43" s="228">
        <f>data!AE85</f>
        <v>839658.20000000007</v>
      </c>
      <c r="D43" s="228">
        <f>ROUND(N('Prior Year'!AE59), 0)</f>
        <v>8079</v>
      </c>
      <c r="E43" s="1">
        <f>data!AE59</f>
        <v>5796</v>
      </c>
      <c r="F43" s="205">
        <f t="shared" si="0"/>
        <v>90.424805050129962</v>
      </c>
      <c r="G43" s="205">
        <f t="shared" si="4"/>
        <v>144.86856452726019</v>
      </c>
      <c r="H43" s="6">
        <f t="shared" si="6"/>
        <v>0.60208876808689316</v>
      </c>
      <c r="I43" s="228" t="s">
        <v>1368</v>
      </c>
      <c r="M43" s="7"/>
    </row>
    <row r="44" spans="1:13" x14ac:dyDescent="0.35">
      <c r="A44" s="1" t="s">
        <v>766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35">
      <c r="A45" s="1" t="s">
        <v>767</v>
      </c>
      <c r="B45" s="228">
        <f>ROUND(N('Prior Year'!AG85), 0)</f>
        <v>1696253</v>
      </c>
      <c r="C45" s="228">
        <f>data!AG85</f>
        <v>1985258.1100000003</v>
      </c>
      <c r="D45" s="228">
        <f>ROUND(N('Prior Year'!AG59), 0)</f>
        <v>3726</v>
      </c>
      <c r="E45" s="1">
        <f>data!AG59</f>
        <v>3848</v>
      </c>
      <c r="F45" s="205">
        <f t="shared" si="0"/>
        <v>455.24771873322595</v>
      </c>
      <c r="G45" s="205">
        <f t="shared" si="4"/>
        <v>515.91946725571734</v>
      </c>
      <c r="H45" s="6" t="str">
        <f t="shared" si="6"/>
        <v/>
      </c>
      <c r="I45" s="228" t="str">
        <f t="shared" si="3"/>
        <v/>
      </c>
      <c r="M45" s="7"/>
    </row>
    <row r="46" spans="1:13" x14ac:dyDescent="0.35">
      <c r="A46" s="1" t="s">
        <v>768</v>
      </c>
      <c r="B46" s="228">
        <f>ROUND(N('Prior Year'!AH85), 0)</f>
        <v>236193</v>
      </c>
      <c r="C46" s="228">
        <f>data!AH85</f>
        <v>265997.47000000003</v>
      </c>
      <c r="D46" s="228">
        <f>ROUND(N('Prior Year'!AH59), 0)</f>
        <v>418</v>
      </c>
      <c r="E46" s="1">
        <f>data!AH59</f>
        <v>428</v>
      </c>
      <c r="F46" s="205">
        <f t="shared" si="0"/>
        <v>565.05502392344499</v>
      </c>
      <c r="G46" s="205">
        <f t="shared" si="4"/>
        <v>621.48941588785056</v>
      </c>
      <c r="H46" s="6" t="str">
        <f t="shared" si="6"/>
        <v/>
      </c>
      <c r="I46" s="228" t="str">
        <f t="shared" si="3"/>
        <v/>
      </c>
      <c r="M46" s="7"/>
    </row>
    <row r="47" spans="1:13" x14ac:dyDescent="0.35">
      <c r="A47" s="1" t="s">
        <v>769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28">
        <f>ROUND(N('Prior Year'!AJ85), 0)</f>
        <v>5659850</v>
      </c>
      <c r="C48" s="228">
        <f>data!AJ85</f>
        <v>5795652.3499999996</v>
      </c>
      <c r="D48" s="228">
        <f>ROUND(N('Prior Year'!AJ59), 0)</f>
        <v>22390</v>
      </c>
      <c r="E48" s="1">
        <f>data!AJ59</f>
        <v>21752</v>
      </c>
      <c r="F48" s="205">
        <f t="shared" si="0"/>
        <v>252.78472532380528</v>
      </c>
      <c r="G48" s="205">
        <f t="shared" si="4"/>
        <v>266.44227427363001</v>
      </c>
      <c r="H48" s="6" t="str">
        <f t="shared" si="6"/>
        <v/>
      </c>
      <c r="I48" s="228" t="str">
        <f t="shared" si="7"/>
        <v/>
      </c>
      <c r="M48" s="7"/>
    </row>
    <row r="49" spans="1:13" x14ac:dyDescent="0.35">
      <c r="A49" s="1" t="s">
        <v>771</v>
      </c>
      <c r="B49" s="228">
        <f>ROUND(N('Prior Year'!AK85), 0)</f>
        <v>113306</v>
      </c>
      <c r="C49" s="228">
        <f>data!AK85</f>
        <v>99670.48</v>
      </c>
      <c r="D49" s="228">
        <f>ROUND(N('Prior Year'!AK59), 0)</f>
        <v>1347</v>
      </c>
      <c r="E49" s="1">
        <f>data!AK59</f>
        <v>165</v>
      </c>
      <c r="F49" s="205">
        <f t="shared" si="0"/>
        <v>84.117297698589454</v>
      </c>
      <c r="G49" s="205">
        <f t="shared" si="4"/>
        <v>604.06351515151516</v>
      </c>
      <c r="H49" s="6">
        <f t="shared" si="6"/>
        <v>6.1812044808667768</v>
      </c>
      <c r="I49" s="228" t="s">
        <v>1369</v>
      </c>
      <c r="M49" s="7"/>
    </row>
    <row r="50" spans="1:13" x14ac:dyDescent="0.35">
      <c r="A50" s="1" t="s">
        <v>772</v>
      </c>
      <c r="B50" s="228">
        <f>ROUND(N('Prior Year'!AL85), 0)</f>
        <v>80139</v>
      </c>
      <c r="C50" s="228">
        <f>data!AL85</f>
        <v>49438.7</v>
      </c>
      <c r="D50" s="228">
        <f>ROUND(N('Prior Year'!AL59), 0)</f>
        <v>542</v>
      </c>
      <c r="E50" s="1">
        <f>data!AL59</f>
        <v>0</v>
      </c>
      <c r="F50" s="205">
        <f t="shared" si="0"/>
        <v>147.85793357933579</v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35">
      <c r="A51" s="1" t="s">
        <v>773</v>
      </c>
      <c r="B51" s="228">
        <f>ROUND(N('Prior Year'!AM85), 0)</f>
        <v>61466</v>
      </c>
      <c r="C51" s="228">
        <f>data!AM85</f>
        <v>63991.380000000005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35">
      <c r="A52" s="1" t="s">
        <v>774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35">
      <c r="A53" s="1" t="s">
        <v>775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35">
      <c r="A54" s="1" t="s">
        <v>776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35">
      <c r="A55" s="1" t="s">
        <v>777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35">
      <c r="A56" s="1" t="s">
        <v>778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35">
      <c r="A57" s="1" t="s">
        <v>779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35">
      <c r="A58" s="1" t="s">
        <v>780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35">
      <c r="A59" s="1" t="s">
        <v>781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35">
      <c r="A60" s="1" t="s">
        <v>782</v>
      </c>
      <c r="B60" s="228">
        <f>ROUND(N('Prior Year'!AV85), 0)</f>
        <v>0</v>
      </c>
      <c r="C60" s="228">
        <f>data!AV85</f>
        <v>405715.33999999997</v>
      </c>
      <c r="D60" s="228" t="s">
        <v>753</v>
      </c>
      <c r="E60" s="4" t="s">
        <v>753</v>
      </c>
      <c r="F60" s="205" t="s">
        <v>5</v>
      </c>
      <c r="G60" s="205"/>
      <c r="H60" s="6" t="s">
        <v>5</v>
      </c>
      <c r="I60" s="228" t="str">
        <f t="shared" si="7"/>
        <v/>
      </c>
      <c r="M60" s="7"/>
    </row>
    <row r="61" spans="1:13" x14ac:dyDescent="0.35">
      <c r="A61" s="1" t="s">
        <v>783</v>
      </c>
      <c r="B61" s="228">
        <f>ROUND(N('Prior Year'!AW85), 0)</f>
        <v>0</v>
      </c>
      <c r="C61" s="228">
        <f>data!AW85</f>
        <v>0</v>
      </c>
      <c r="D61" s="228" t="s">
        <v>753</v>
      </c>
      <c r="E61" s="4" t="s">
        <v>753</v>
      </c>
      <c r="F61" s="205" t="s">
        <v>5</v>
      </c>
      <c r="G61" s="205"/>
      <c r="H61" s="6" t="s">
        <v>5</v>
      </c>
      <c r="I61" s="228" t="str">
        <f t="shared" si="7"/>
        <v/>
      </c>
      <c r="M61" s="7"/>
    </row>
    <row r="62" spans="1:13" x14ac:dyDescent="0.35">
      <c r="A62" s="1" t="s">
        <v>784</v>
      </c>
      <c r="B62" s="228">
        <f>ROUND(N('Prior Year'!AX85), 0)</f>
        <v>0</v>
      </c>
      <c r="C62" s="228">
        <f>data!AX85</f>
        <v>0</v>
      </c>
      <c r="D62" s="228" t="s">
        <v>753</v>
      </c>
      <c r="E62" s="4" t="s">
        <v>753</v>
      </c>
      <c r="F62" s="205" t="s">
        <v>5</v>
      </c>
      <c r="G62" s="205"/>
      <c r="H62" s="6" t="s">
        <v>5</v>
      </c>
      <c r="I62" s="228" t="str">
        <f t="shared" si="7"/>
        <v/>
      </c>
      <c r="M62" s="7"/>
    </row>
    <row r="63" spans="1:13" x14ac:dyDescent="0.35">
      <c r="A63" s="1" t="s">
        <v>785</v>
      </c>
      <c r="B63" s="228">
        <f>ROUND(N('Prior Year'!AY85), 0)</f>
        <v>788812</v>
      </c>
      <c r="C63" s="228">
        <f>data!AY85</f>
        <v>874927.45000000007</v>
      </c>
      <c r="D63" s="228">
        <f>ROUND(N('Prior Year'!AY59), 0)</f>
        <v>15674</v>
      </c>
      <c r="E63" s="1">
        <f>data!AY59</f>
        <v>13532</v>
      </c>
      <c r="F63" s="205">
        <f>IF(B63=0,"",IF(D63=0,"",B63/D63))</f>
        <v>50.326145208625746</v>
      </c>
      <c r="G63" s="205">
        <f t="shared" si="4"/>
        <v>64.656181643511687</v>
      </c>
      <c r="H63" s="6">
        <f>IF(B63 = 0, "", IF(C63 = 0, "", IF(D63 = 0, "", IF(E63 = 0, "", IF(G63 / F63 - 1 &lt; -0.25, G63 / F63 - 1, IF(G63 / F63 - 1 &gt; 0.25, G63 / F63 - 1, ""))))))</f>
        <v>0.28474337494916679</v>
      </c>
      <c r="I63" s="228" t="s">
        <v>1370</v>
      </c>
      <c r="M63" s="7"/>
    </row>
    <row r="64" spans="1:13" x14ac:dyDescent="0.35">
      <c r="A64" s="1" t="s">
        <v>786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35">
      <c r="A65" s="1" t="s">
        <v>787</v>
      </c>
      <c r="B65" s="228">
        <f>ROUND(N('Prior Year'!BA85), 0)</f>
        <v>198982</v>
      </c>
      <c r="C65" s="228">
        <f>data!BA85</f>
        <v>134911.91999999998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35">
      <c r="A66" s="1" t="s">
        <v>788</v>
      </c>
      <c r="B66" s="228">
        <f>ROUND(N('Prior Year'!BB85), 0)</f>
        <v>106996</v>
      </c>
      <c r="C66" s="228">
        <f>data!BB85</f>
        <v>109860.1</v>
      </c>
      <c r="D66" s="228" t="s">
        <v>753</v>
      </c>
      <c r="E66" s="4" t="s">
        <v>753</v>
      </c>
      <c r="F66" s="205" t="s">
        <v>5</v>
      </c>
      <c r="G66" s="205" t="str">
        <f t="shared" ref="G66:G68" si="8">IFERROR(IF(C66=0,"",IF(E66=0,"",C66/E66)),"")</f>
        <v/>
      </c>
      <c r="H66" s="6" t="s">
        <v>5</v>
      </c>
      <c r="I66" s="228" t="str">
        <f t="shared" si="7"/>
        <v/>
      </c>
      <c r="M66" s="7"/>
    </row>
    <row r="67" spans="1:13" x14ac:dyDescent="0.35">
      <c r="A67" s="1" t="s">
        <v>789</v>
      </c>
      <c r="B67" s="228">
        <f>ROUND(N('Prior Year'!BC85), 0)</f>
        <v>0</v>
      </c>
      <c r="C67" s="228">
        <f>data!BC85</f>
        <v>0</v>
      </c>
      <c r="D67" s="228" t="s">
        <v>753</v>
      </c>
      <c r="E67" s="4" t="s">
        <v>753</v>
      </c>
      <c r="F67" s="205" t="s">
        <v>5</v>
      </c>
      <c r="G67" s="205" t="str">
        <f t="shared" si="8"/>
        <v/>
      </c>
      <c r="H67" s="6" t="s">
        <v>5</v>
      </c>
      <c r="I67" s="228" t="str">
        <f t="shared" si="7"/>
        <v/>
      </c>
      <c r="M67" s="7"/>
    </row>
    <row r="68" spans="1:13" x14ac:dyDescent="0.35">
      <c r="A68" s="1" t="s">
        <v>790</v>
      </c>
      <c r="B68" s="228">
        <f>ROUND(N('Prior Year'!BD85), 0)</f>
        <v>398917</v>
      </c>
      <c r="C68" s="228">
        <f>data!BD85</f>
        <v>339576.52</v>
      </c>
      <c r="D68" s="228" t="s">
        <v>753</v>
      </c>
      <c r="E68" s="4" t="s">
        <v>753</v>
      </c>
      <c r="F68" s="205" t="s">
        <v>5</v>
      </c>
      <c r="G68" s="205" t="str">
        <f t="shared" si="8"/>
        <v/>
      </c>
      <c r="H68" s="6" t="s">
        <v>5</v>
      </c>
      <c r="I68" s="228" t="str">
        <f t="shared" si="7"/>
        <v/>
      </c>
      <c r="M68" s="7"/>
    </row>
    <row r="69" spans="1:13" x14ac:dyDescent="0.35">
      <c r="A69" s="1" t="s">
        <v>791</v>
      </c>
      <c r="B69" s="228">
        <f>ROUND(N('Prior Year'!BE85), 0)</f>
        <v>837148</v>
      </c>
      <c r="C69" s="228">
        <f>data!BE85</f>
        <v>819342.56</v>
      </c>
      <c r="D69" s="228">
        <f>ROUND(N('Prior Year'!BE59), 0)</f>
        <v>41043</v>
      </c>
      <c r="E69" s="1">
        <f>data!BE59</f>
        <v>62296</v>
      </c>
      <c r="F69" s="205">
        <f>IF(B69=0,"",IF(D69=0,"",B69/D69))</f>
        <v>20.39685208196282</v>
      </c>
      <c r="G69" s="205">
        <f t="shared" si="4"/>
        <v>13.152410427635804</v>
      </c>
      <c r="H69" s="6">
        <f>IF(B69 = 0, "", IF(C69 = 0, "", IF(D69 = 0, "", IF(E69 = 0, "", IF(G69 / F69 - 1 &lt; -0.25, G69 / F69 - 1, IF(G69 / F69 - 1 &gt; 0.25, G69 / F69 - 1, ""))))))</f>
        <v>-0.35517449581023153</v>
      </c>
      <c r="I69" s="228" t="s">
        <v>1371</v>
      </c>
      <c r="M69" s="7"/>
    </row>
    <row r="70" spans="1:13" x14ac:dyDescent="0.35">
      <c r="A70" s="1" t="s">
        <v>792</v>
      </c>
      <c r="B70" s="228">
        <f>ROUND(N('Prior Year'!BF85), 0)</f>
        <v>363802</v>
      </c>
      <c r="C70" s="228">
        <f>data!BF85</f>
        <v>373605.20999999996</v>
      </c>
      <c r="D70" s="228" t="s">
        <v>753</v>
      </c>
      <c r="E70" s="4" t="s">
        <v>753</v>
      </c>
      <c r="F70" s="205" t="s">
        <v>5</v>
      </c>
      <c r="G70" s="205" t="str">
        <f t="shared" ref="G70:G94" si="9">IFERROR(IF(C70=0,"",IF(E70=0,"",C70/E70)),"")</f>
        <v/>
      </c>
      <c r="H70" s="6" t="s">
        <v>5</v>
      </c>
      <c r="I70" s="228" t="str">
        <f t="shared" si="7"/>
        <v/>
      </c>
      <c r="M70" s="7"/>
    </row>
    <row r="71" spans="1:13" x14ac:dyDescent="0.35">
      <c r="A71" s="1" t="s">
        <v>793</v>
      </c>
      <c r="B71" s="228">
        <f>ROUND(N('Prior Year'!BG85), 0)</f>
        <v>0</v>
      </c>
      <c r="C71" s="228">
        <f>data!BG85</f>
        <v>0</v>
      </c>
      <c r="D71" s="228" t="s">
        <v>753</v>
      </c>
      <c r="E71" s="4" t="s">
        <v>753</v>
      </c>
      <c r="F71" s="205" t="s">
        <v>5</v>
      </c>
      <c r="G71" s="205" t="str">
        <f t="shared" si="9"/>
        <v/>
      </c>
      <c r="H71" s="6" t="s">
        <v>5</v>
      </c>
      <c r="I71" s="228" t="str">
        <f t="shared" si="7"/>
        <v/>
      </c>
      <c r="M71" s="7"/>
    </row>
    <row r="72" spans="1:13" x14ac:dyDescent="0.35">
      <c r="A72" s="1" t="s">
        <v>794</v>
      </c>
      <c r="B72" s="228">
        <f>ROUND(N('Prior Year'!BH85), 0)</f>
        <v>957131</v>
      </c>
      <c r="C72" s="228">
        <f>data!BH85</f>
        <v>1733086.5100000002</v>
      </c>
      <c r="D72" s="228" t="s">
        <v>753</v>
      </c>
      <c r="E72" s="4" t="s">
        <v>753</v>
      </c>
      <c r="F72" s="205" t="s">
        <v>5</v>
      </c>
      <c r="G72" s="205" t="str">
        <f t="shared" si="9"/>
        <v/>
      </c>
      <c r="H72" s="6" t="s">
        <v>5</v>
      </c>
      <c r="I72" s="228" t="str">
        <f t="shared" si="7"/>
        <v/>
      </c>
      <c r="M72" s="7"/>
    </row>
    <row r="73" spans="1:13" x14ac:dyDescent="0.35">
      <c r="A73" s="1" t="s">
        <v>795</v>
      </c>
      <c r="B73" s="228">
        <f>ROUND(N('Prior Year'!BI85), 0)</f>
        <v>81401</v>
      </c>
      <c r="C73" s="228">
        <f>data!BI85</f>
        <v>0</v>
      </c>
      <c r="D73" s="228" t="s">
        <v>753</v>
      </c>
      <c r="E73" s="4" t="s">
        <v>753</v>
      </c>
      <c r="F73" s="205" t="s">
        <v>5</v>
      </c>
      <c r="G73" s="205" t="str">
        <f t="shared" si="9"/>
        <v/>
      </c>
      <c r="H73" s="6" t="s">
        <v>5</v>
      </c>
      <c r="I73" s="228" t="str">
        <f t="shared" si="7"/>
        <v/>
      </c>
      <c r="M73" s="7"/>
    </row>
    <row r="74" spans="1:13" x14ac:dyDescent="0.35">
      <c r="A74" s="1" t="s">
        <v>796</v>
      </c>
      <c r="B74" s="228">
        <f>ROUND(N('Prior Year'!BJ85), 0)</f>
        <v>495785</v>
      </c>
      <c r="C74" s="228">
        <f>data!BJ85</f>
        <v>604371.54</v>
      </c>
      <c r="D74" s="228" t="s">
        <v>753</v>
      </c>
      <c r="E74" s="4" t="s">
        <v>753</v>
      </c>
      <c r="F74" s="205" t="s">
        <v>5</v>
      </c>
      <c r="G74" s="205" t="str">
        <f t="shared" si="9"/>
        <v/>
      </c>
      <c r="H74" s="6" t="s">
        <v>5</v>
      </c>
      <c r="I74" s="228" t="str">
        <f t="shared" si="7"/>
        <v/>
      </c>
      <c r="M74" s="7"/>
    </row>
    <row r="75" spans="1:13" x14ac:dyDescent="0.35">
      <c r="A75" s="1" t="s">
        <v>797</v>
      </c>
      <c r="B75" s="228">
        <f>ROUND(N('Prior Year'!BK85), 0)</f>
        <v>985685</v>
      </c>
      <c r="C75" s="228">
        <f>data!BK85</f>
        <v>932599.56999999983</v>
      </c>
      <c r="D75" s="228" t="s">
        <v>753</v>
      </c>
      <c r="E75" s="4" t="s">
        <v>753</v>
      </c>
      <c r="F75" s="205" t="s">
        <v>5</v>
      </c>
      <c r="G75" s="205" t="str">
        <f t="shared" si="9"/>
        <v/>
      </c>
      <c r="H75" s="6" t="s">
        <v>5</v>
      </c>
      <c r="I75" s="228" t="str">
        <f t="shared" si="7"/>
        <v/>
      </c>
      <c r="M75" s="7"/>
    </row>
    <row r="76" spans="1:13" x14ac:dyDescent="0.35">
      <c r="A76" s="1" t="s">
        <v>798</v>
      </c>
      <c r="B76" s="228">
        <f>ROUND(N('Prior Year'!BL85), 0)</f>
        <v>701943</v>
      </c>
      <c r="C76" s="228">
        <f>data!BL85</f>
        <v>763489.83</v>
      </c>
      <c r="D76" s="228" t="s">
        <v>753</v>
      </c>
      <c r="E76" s="4" t="s">
        <v>753</v>
      </c>
      <c r="F76" s="205" t="s">
        <v>5</v>
      </c>
      <c r="G76" s="205" t="str">
        <f t="shared" si="9"/>
        <v/>
      </c>
      <c r="H76" s="6" t="s">
        <v>5</v>
      </c>
      <c r="I76" s="228" t="str">
        <f t="shared" si="7"/>
        <v/>
      </c>
      <c r="M76" s="7"/>
    </row>
    <row r="77" spans="1:13" x14ac:dyDescent="0.35">
      <c r="A77" s="1" t="s">
        <v>799</v>
      </c>
      <c r="B77" s="228">
        <f>ROUND(N('Prior Year'!BM85), 0)</f>
        <v>0</v>
      </c>
      <c r="C77" s="228">
        <f>data!BM85</f>
        <v>0</v>
      </c>
      <c r="D77" s="228" t="s">
        <v>753</v>
      </c>
      <c r="E77" s="4" t="s">
        <v>753</v>
      </c>
      <c r="F77" s="205" t="s">
        <v>5</v>
      </c>
      <c r="G77" s="205" t="str">
        <f t="shared" si="9"/>
        <v/>
      </c>
      <c r="H77" s="6" t="s">
        <v>5</v>
      </c>
      <c r="I77" s="228" t="str">
        <f t="shared" si="7"/>
        <v/>
      </c>
      <c r="M77" s="7"/>
    </row>
    <row r="78" spans="1:13" x14ac:dyDescent="0.35">
      <c r="A78" s="1" t="s">
        <v>800</v>
      </c>
      <c r="B78" s="228">
        <f>ROUND(N('Prior Year'!BN85), 0)</f>
        <v>1981813</v>
      </c>
      <c r="C78" s="228">
        <f>data!BN85</f>
        <v>1415915.17</v>
      </c>
      <c r="D78" s="228" t="s">
        <v>753</v>
      </c>
      <c r="E78" s="4" t="s">
        <v>753</v>
      </c>
      <c r="F78" s="205" t="s">
        <v>5</v>
      </c>
      <c r="G78" s="205" t="str">
        <f t="shared" si="9"/>
        <v/>
      </c>
      <c r="H78" s="6" t="s">
        <v>5</v>
      </c>
      <c r="I78" s="228" t="str">
        <f t="shared" si="7"/>
        <v/>
      </c>
      <c r="M78" s="7"/>
    </row>
    <row r="79" spans="1:13" x14ac:dyDescent="0.35">
      <c r="A79" s="1" t="s">
        <v>801</v>
      </c>
      <c r="B79" s="228">
        <f>ROUND(N('Prior Year'!BO85), 0)</f>
        <v>0</v>
      </c>
      <c r="C79" s="228">
        <f>data!BO85</f>
        <v>81120.599999999991</v>
      </c>
      <c r="D79" s="228" t="s">
        <v>753</v>
      </c>
      <c r="E79" s="4" t="s">
        <v>753</v>
      </c>
      <c r="F79" s="205" t="s">
        <v>5</v>
      </c>
      <c r="G79" s="205" t="str">
        <f t="shared" si="9"/>
        <v/>
      </c>
      <c r="H79" s="6" t="s">
        <v>5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28">
        <f>ROUND(N('Prior Year'!BP85), 0)</f>
        <v>0</v>
      </c>
      <c r="C80" s="228">
        <f>data!BP85</f>
        <v>0</v>
      </c>
      <c r="D80" s="228" t="s">
        <v>753</v>
      </c>
      <c r="E80" s="4" t="s">
        <v>753</v>
      </c>
      <c r="F80" s="205" t="s">
        <v>5</v>
      </c>
      <c r="G80" s="205" t="str">
        <f t="shared" si="9"/>
        <v/>
      </c>
      <c r="H80" s="6" t="s">
        <v>5</v>
      </c>
      <c r="I80" s="228" t="str">
        <f t="shared" si="10"/>
        <v/>
      </c>
      <c r="M80" s="7"/>
    </row>
    <row r="81" spans="1:13" x14ac:dyDescent="0.35">
      <c r="A81" s="1" t="s">
        <v>803</v>
      </c>
      <c r="B81" s="228">
        <f>ROUND(N('Prior Year'!BQ85), 0)</f>
        <v>0</v>
      </c>
      <c r="C81" s="228">
        <f>data!BQ85</f>
        <v>0</v>
      </c>
      <c r="D81" s="228" t="s">
        <v>753</v>
      </c>
      <c r="E81" s="4" t="s">
        <v>753</v>
      </c>
      <c r="F81" s="205" t="s">
        <v>5</v>
      </c>
      <c r="G81" s="205" t="str">
        <f t="shared" si="9"/>
        <v/>
      </c>
      <c r="H81" s="6" t="s">
        <v>5</v>
      </c>
      <c r="I81" s="228" t="str">
        <f t="shared" si="10"/>
        <v/>
      </c>
      <c r="M81" s="7"/>
    </row>
    <row r="82" spans="1:13" x14ac:dyDescent="0.35">
      <c r="A82" s="1" t="s">
        <v>804</v>
      </c>
      <c r="B82" s="228">
        <f>ROUND(N('Prior Year'!BR85), 0)</f>
        <v>334164</v>
      </c>
      <c r="C82" s="228">
        <f>data!BR85</f>
        <v>322013.26999999996</v>
      </c>
      <c r="D82" s="228" t="s">
        <v>753</v>
      </c>
      <c r="E82" s="4" t="s">
        <v>753</v>
      </c>
      <c r="F82" s="205" t="s">
        <v>5</v>
      </c>
      <c r="G82" s="205" t="str">
        <f t="shared" si="9"/>
        <v/>
      </c>
      <c r="H82" s="6" t="s">
        <v>5</v>
      </c>
      <c r="I82" s="228" t="str">
        <f t="shared" si="10"/>
        <v/>
      </c>
      <c r="M82" s="7"/>
    </row>
    <row r="83" spans="1:13" x14ac:dyDescent="0.35">
      <c r="A83" s="1" t="s">
        <v>805</v>
      </c>
      <c r="B83" s="228">
        <f>ROUND(N('Prior Year'!BS85), 0)</f>
        <v>0</v>
      </c>
      <c r="C83" s="228">
        <f>data!BS85</f>
        <v>0</v>
      </c>
      <c r="D83" s="228" t="s">
        <v>753</v>
      </c>
      <c r="E83" s="4" t="s">
        <v>753</v>
      </c>
      <c r="F83" s="205" t="s">
        <v>5</v>
      </c>
      <c r="G83" s="205" t="str">
        <f t="shared" si="9"/>
        <v/>
      </c>
      <c r="H83" s="6" t="s">
        <v>5</v>
      </c>
      <c r="I83" s="228" t="str">
        <f t="shared" si="10"/>
        <v/>
      </c>
      <c r="M83" s="7"/>
    </row>
    <row r="84" spans="1:13" x14ac:dyDescent="0.35">
      <c r="A84" s="1" t="s">
        <v>806</v>
      </c>
      <c r="B84" s="228">
        <f>ROUND(N('Prior Year'!BT85), 0)</f>
        <v>0</v>
      </c>
      <c r="C84" s="228">
        <f>data!BT85</f>
        <v>0</v>
      </c>
      <c r="D84" s="228" t="s">
        <v>753</v>
      </c>
      <c r="E84" s="4" t="s">
        <v>753</v>
      </c>
      <c r="F84" s="205" t="s">
        <v>5</v>
      </c>
      <c r="G84" s="205" t="str">
        <f t="shared" si="9"/>
        <v/>
      </c>
      <c r="H84" s="6" t="s">
        <v>5</v>
      </c>
      <c r="I84" s="228" t="str">
        <f t="shared" si="10"/>
        <v/>
      </c>
      <c r="M84" s="7"/>
    </row>
    <row r="85" spans="1:13" x14ac:dyDescent="0.35">
      <c r="A85" s="1" t="s">
        <v>807</v>
      </c>
      <c r="B85" s="228">
        <f>ROUND(N('Prior Year'!BU85), 0)</f>
        <v>0</v>
      </c>
      <c r="C85" s="228">
        <f>data!BU85</f>
        <v>0</v>
      </c>
      <c r="D85" s="228" t="s">
        <v>753</v>
      </c>
      <c r="E85" s="4" t="s">
        <v>753</v>
      </c>
      <c r="F85" s="205" t="s">
        <v>5</v>
      </c>
      <c r="G85" s="205" t="str">
        <f t="shared" si="9"/>
        <v/>
      </c>
      <c r="H85" s="6" t="s">
        <v>5</v>
      </c>
      <c r="I85" s="228" t="str">
        <f t="shared" si="10"/>
        <v/>
      </c>
      <c r="M85" s="7"/>
    </row>
    <row r="86" spans="1:13" x14ac:dyDescent="0.35">
      <c r="A86" s="1" t="s">
        <v>808</v>
      </c>
      <c r="B86" s="228">
        <f>ROUND(N('Prior Year'!BV85), 0)</f>
        <v>393764</v>
      </c>
      <c r="C86" s="228">
        <f>data!BV85</f>
        <v>257005.46999999997</v>
      </c>
      <c r="D86" s="228" t="s">
        <v>753</v>
      </c>
      <c r="E86" s="4" t="s">
        <v>753</v>
      </c>
      <c r="F86" s="205" t="s">
        <v>5</v>
      </c>
      <c r="G86" s="205" t="str">
        <f t="shared" si="9"/>
        <v/>
      </c>
      <c r="H86" s="6" t="s">
        <v>5</v>
      </c>
      <c r="I86" s="228" t="str">
        <f t="shared" si="10"/>
        <v/>
      </c>
      <c r="M86" s="7"/>
    </row>
    <row r="87" spans="1:13" x14ac:dyDescent="0.35">
      <c r="A87" s="1" t="s">
        <v>809</v>
      </c>
      <c r="B87" s="228">
        <f>ROUND(N('Prior Year'!BW85), 0)</f>
        <v>0</v>
      </c>
      <c r="C87" s="228">
        <f>data!BW85</f>
        <v>0</v>
      </c>
      <c r="D87" s="228" t="s">
        <v>753</v>
      </c>
      <c r="E87" s="4" t="s">
        <v>753</v>
      </c>
      <c r="F87" s="205" t="s">
        <v>5</v>
      </c>
      <c r="G87" s="205" t="str">
        <f t="shared" si="9"/>
        <v/>
      </c>
      <c r="H87" s="6" t="s">
        <v>5</v>
      </c>
      <c r="I87" s="228" t="str">
        <f t="shared" si="10"/>
        <v/>
      </c>
      <c r="M87" s="7"/>
    </row>
    <row r="88" spans="1:13" x14ac:dyDescent="0.35">
      <c r="A88" s="1" t="s">
        <v>810</v>
      </c>
      <c r="B88" s="228">
        <f>ROUND(N('Prior Year'!BX85), 0)</f>
        <v>0</v>
      </c>
      <c r="C88" s="228">
        <f>data!BX85</f>
        <v>0</v>
      </c>
      <c r="D88" s="228" t="s">
        <v>753</v>
      </c>
      <c r="E88" s="4" t="s">
        <v>753</v>
      </c>
      <c r="F88" s="205" t="s">
        <v>5</v>
      </c>
      <c r="G88" s="205" t="str">
        <f t="shared" si="9"/>
        <v/>
      </c>
      <c r="H88" s="6" t="s">
        <v>5</v>
      </c>
      <c r="I88" s="228" t="str">
        <f t="shared" si="10"/>
        <v/>
      </c>
      <c r="M88" s="7"/>
    </row>
    <row r="89" spans="1:13" x14ac:dyDescent="0.35">
      <c r="A89" s="1" t="s">
        <v>811</v>
      </c>
      <c r="B89" s="228">
        <f>ROUND(N('Prior Year'!BY85), 0)</f>
        <v>919</v>
      </c>
      <c r="C89" s="228">
        <f>data!BY85</f>
        <v>0</v>
      </c>
      <c r="D89" s="228" t="s">
        <v>753</v>
      </c>
      <c r="E89" s="4" t="s">
        <v>753</v>
      </c>
      <c r="F89" s="205" t="s">
        <v>5</v>
      </c>
      <c r="G89" s="205" t="str">
        <f t="shared" si="9"/>
        <v/>
      </c>
      <c r="H89" s="6" t="s">
        <v>5</v>
      </c>
      <c r="I89" s="228" t="str">
        <f t="shared" si="10"/>
        <v/>
      </c>
      <c r="M89" s="7"/>
    </row>
    <row r="90" spans="1:13" x14ac:dyDescent="0.35">
      <c r="A90" s="1" t="s">
        <v>812</v>
      </c>
      <c r="B90" s="228">
        <f>ROUND(N('Prior Year'!BZ85), 0)</f>
        <v>0</v>
      </c>
      <c r="C90" s="228">
        <f>data!BZ85</f>
        <v>0</v>
      </c>
      <c r="D90" s="228" t="s">
        <v>753</v>
      </c>
      <c r="E90" s="4" t="s">
        <v>753</v>
      </c>
      <c r="F90" s="205" t="s">
        <v>5</v>
      </c>
      <c r="G90" s="205" t="str">
        <f t="shared" si="9"/>
        <v/>
      </c>
      <c r="H90" s="6" t="s">
        <v>5</v>
      </c>
      <c r="I90" s="228" t="str">
        <f t="shared" si="10"/>
        <v/>
      </c>
      <c r="M90" s="7"/>
    </row>
    <row r="91" spans="1:13" x14ac:dyDescent="0.35">
      <c r="A91" s="1" t="s">
        <v>813</v>
      </c>
      <c r="B91" s="228">
        <f>ROUND(N('Prior Year'!CA85), 0)</f>
        <v>0</v>
      </c>
      <c r="C91" s="228">
        <f>data!CA85</f>
        <v>0</v>
      </c>
      <c r="D91" s="228" t="s">
        <v>753</v>
      </c>
      <c r="E91" s="4" t="s">
        <v>753</v>
      </c>
      <c r="F91" s="205" t="s">
        <v>5</v>
      </c>
      <c r="G91" s="205" t="str">
        <f t="shared" si="9"/>
        <v/>
      </c>
      <c r="H91" s="6" t="s">
        <v>5</v>
      </c>
      <c r="I91" s="228" t="str">
        <f t="shared" si="10"/>
        <v/>
      </c>
      <c r="M91" s="7"/>
    </row>
    <row r="92" spans="1:13" x14ac:dyDescent="0.35">
      <c r="A92" s="1" t="s">
        <v>814</v>
      </c>
      <c r="B92" s="228">
        <f>ROUND(N('Prior Year'!CB85), 0)</f>
        <v>0</v>
      </c>
      <c r="C92" s="228">
        <f>data!CB85</f>
        <v>33814.620000000003</v>
      </c>
      <c r="D92" s="228" t="s">
        <v>753</v>
      </c>
      <c r="E92" s="4" t="s">
        <v>753</v>
      </c>
      <c r="F92" s="205" t="s">
        <v>5</v>
      </c>
      <c r="G92" s="205" t="str">
        <f t="shared" si="9"/>
        <v/>
      </c>
      <c r="H92" s="6" t="s">
        <v>5</v>
      </c>
      <c r="I92" s="228" t="str">
        <f t="shared" si="10"/>
        <v/>
      </c>
      <c r="M92" s="7"/>
    </row>
    <row r="93" spans="1:13" x14ac:dyDescent="0.35">
      <c r="A93" s="1" t="s">
        <v>815</v>
      </c>
      <c r="B93" s="228">
        <f>ROUND(N('Prior Year'!CC85), 0)</f>
        <v>0</v>
      </c>
      <c r="C93" s="228">
        <f>data!CC85</f>
        <v>481069.75</v>
      </c>
      <c r="D93" s="228" t="s">
        <v>753</v>
      </c>
      <c r="E93" s="4" t="s">
        <v>753</v>
      </c>
      <c r="F93" s="205" t="s">
        <v>5</v>
      </c>
      <c r="G93" s="205" t="str">
        <f t="shared" si="9"/>
        <v/>
      </c>
      <c r="H93" s="6" t="s">
        <v>5</v>
      </c>
      <c r="I93" s="228" t="str">
        <f t="shared" si="10"/>
        <v/>
      </c>
      <c r="M93" s="7"/>
    </row>
    <row r="94" spans="1:13" x14ac:dyDescent="0.35">
      <c r="A94" s="1" t="s">
        <v>816</v>
      </c>
      <c r="B94" s="228">
        <f>ROUND(N('Prior Year'!CD85), 0)</f>
        <v>0</v>
      </c>
      <c r="C94" s="228">
        <f>data!CD85</f>
        <v>570266.96</v>
      </c>
      <c r="D94" s="228" t="s">
        <v>753</v>
      </c>
      <c r="E94" s="4" t="s">
        <v>753</v>
      </c>
      <c r="F94" s="205" t="s">
        <v>5</v>
      </c>
      <c r="G94" s="205" t="str">
        <f t="shared" si="9"/>
        <v/>
      </c>
      <c r="H94" s="6" t="s">
        <v>5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24" workbookViewId="0"/>
  </sheetViews>
  <sheetFormatPr defaultRowHeight="12.5" x14ac:dyDescent="0.25"/>
  <sheetData>
    <row r="1" spans="1:4" ht="14.5" x14ac:dyDescent="0.35">
      <c r="A1" s="278" t="s">
        <v>817</v>
      </c>
      <c r="B1" s="277"/>
      <c r="C1" s="277"/>
      <c r="D1" s="277"/>
    </row>
    <row r="2" spans="1:4" ht="14.5" x14ac:dyDescent="0.35">
      <c r="A2" s="277"/>
      <c r="B2" s="277"/>
      <c r="C2" s="277"/>
      <c r="D2" s="277"/>
    </row>
    <row r="3" spans="1:4" ht="14.5" x14ac:dyDescent="0.35">
      <c r="A3" s="280" t="s">
        <v>818</v>
      </c>
      <c r="B3" s="277"/>
      <c r="C3" s="277"/>
      <c r="D3" s="277"/>
    </row>
    <row r="4" spans="1:4" ht="14.5" x14ac:dyDescent="0.35">
      <c r="A4" s="277" t="s">
        <v>819</v>
      </c>
      <c r="B4" s="277"/>
      <c r="C4" s="277"/>
      <c r="D4" s="277"/>
    </row>
    <row r="5" spans="1:4" ht="14.5" x14ac:dyDescent="0.35">
      <c r="A5" s="277" t="s">
        <v>820</v>
      </c>
      <c r="B5" s="277"/>
      <c r="C5" s="277"/>
      <c r="D5" s="277"/>
    </row>
    <row r="6" spans="1:4" ht="14.5" x14ac:dyDescent="0.35">
      <c r="A6" s="277"/>
      <c r="B6" s="277"/>
      <c r="C6" s="277"/>
      <c r="D6" s="277"/>
    </row>
    <row r="7" spans="1:4" ht="14.5" x14ac:dyDescent="0.35">
      <c r="A7" s="277" t="s">
        <v>821</v>
      </c>
      <c r="B7" s="277"/>
      <c r="C7" s="277"/>
      <c r="D7" s="277"/>
    </row>
    <row r="8" spans="1:4" ht="14.5" x14ac:dyDescent="0.35">
      <c r="A8" s="277" t="s">
        <v>822</v>
      </c>
      <c r="B8" s="277"/>
      <c r="C8" s="277"/>
      <c r="D8" s="277"/>
    </row>
    <row r="9" spans="1:4" ht="14.5" x14ac:dyDescent="0.35">
      <c r="A9" s="277"/>
      <c r="B9" s="277"/>
      <c r="C9" s="277"/>
      <c r="D9" s="277"/>
    </row>
    <row r="10" spans="1:4" ht="14.5" x14ac:dyDescent="0.35">
      <c r="A10" s="277"/>
      <c r="B10" s="277"/>
      <c r="C10" s="277"/>
      <c r="D10" s="277"/>
    </row>
    <row r="11" spans="1:4" ht="14.5" x14ac:dyDescent="0.35">
      <c r="A11" s="279" t="s">
        <v>823</v>
      </c>
      <c r="B11" s="277"/>
      <c r="C11" s="277"/>
      <c r="D11" s="277">
        <f>N(data!C380)</f>
        <v>0</v>
      </c>
    </row>
    <row r="12" spans="1:4" ht="14.5" x14ac:dyDescent="0.35">
      <c r="A12" s="279" t="s">
        <v>824</v>
      </c>
      <c r="B12" s="277"/>
      <c r="C12" s="277"/>
      <c r="D12" s="277" t="str">
        <f>IF(OR(N(data!C380) &gt; 1000000, N(data!C380) / (N(data!D360) + N(data!D383)) &gt; 0.01), "Yes", "No")</f>
        <v>No</v>
      </c>
    </row>
    <row r="13" spans="1:4" ht="14.5" x14ac:dyDescent="0.35">
      <c r="A13" s="277"/>
      <c r="B13" s="277"/>
      <c r="C13" s="277"/>
      <c r="D13" s="277"/>
    </row>
    <row r="14" spans="1:4" ht="14.5" x14ac:dyDescent="0.35">
      <c r="A14" s="279" t="s">
        <v>825</v>
      </c>
      <c r="B14" s="277"/>
      <c r="C14" s="277"/>
      <c r="D14" s="279" t="s">
        <v>826</v>
      </c>
    </row>
    <row r="15" spans="1:4" ht="14.5" x14ac:dyDescent="0.35">
      <c r="A15" s="277" t="s">
        <v>827</v>
      </c>
      <c r="B15" s="277"/>
      <c r="C15" s="277"/>
      <c r="D15" s="277"/>
    </row>
    <row r="16" spans="1:4" ht="14.5" x14ac:dyDescent="0.35">
      <c r="A16" s="277" t="s">
        <v>827</v>
      </c>
      <c r="B16" s="277"/>
      <c r="C16" s="277"/>
      <c r="D16" s="277"/>
    </row>
    <row r="17" spans="1:4" ht="14.5" x14ac:dyDescent="0.35">
      <c r="A17" s="277" t="s">
        <v>827</v>
      </c>
      <c r="B17" s="277"/>
      <c r="C17" s="277"/>
      <c r="D17" s="277"/>
    </row>
    <row r="18" spans="1:4" ht="14.5" x14ac:dyDescent="0.35">
      <c r="A18" s="277" t="s">
        <v>827</v>
      </c>
      <c r="B18" s="277"/>
      <c r="C18" s="277"/>
      <c r="D18" s="277"/>
    </row>
    <row r="19" spans="1:4" ht="14.5" x14ac:dyDescent="0.35">
      <c r="A19" s="277" t="s">
        <v>827</v>
      </c>
      <c r="B19" s="277"/>
      <c r="C19" s="277"/>
      <c r="D19" s="277"/>
    </row>
    <row r="20" spans="1:4" ht="14.5" x14ac:dyDescent="0.35">
      <c r="A20" s="277" t="s">
        <v>827</v>
      </c>
      <c r="B20" s="277"/>
      <c r="C20" s="277"/>
      <c r="D20" s="277"/>
    </row>
    <row r="21" spans="1:4" ht="14.5" x14ac:dyDescent="0.35">
      <c r="A21" s="277" t="s">
        <v>827</v>
      </c>
      <c r="B21" s="277"/>
      <c r="C21" s="277"/>
      <c r="D21" s="277"/>
    </row>
    <row r="22" spans="1:4" ht="14.5" x14ac:dyDescent="0.35">
      <c r="A22" s="277"/>
      <c r="B22" s="277"/>
      <c r="C22" s="277"/>
      <c r="D22" s="277"/>
    </row>
    <row r="23" spans="1:4" ht="14.5" x14ac:dyDescent="0.35">
      <c r="A23" s="277"/>
      <c r="B23" s="277"/>
      <c r="C23" s="277"/>
      <c r="D23" s="277"/>
    </row>
    <row r="24" spans="1:4" ht="14.5" x14ac:dyDescent="0.35">
      <c r="A24" s="277"/>
      <c r="B24" s="277"/>
      <c r="C24" s="277"/>
      <c r="D24" s="277"/>
    </row>
    <row r="25" spans="1:4" ht="14.5" x14ac:dyDescent="0.35">
      <c r="A25" s="279" t="s">
        <v>828</v>
      </c>
      <c r="B25" s="277"/>
      <c r="C25" s="277"/>
      <c r="D25" s="277">
        <f>N(data!C414)</f>
        <v>-38922.070000000298</v>
      </c>
    </row>
    <row r="26" spans="1:4" ht="14.5" x14ac:dyDescent="0.35">
      <c r="A26" s="279" t="s">
        <v>824</v>
      </c>
      <c r="B26" s="277"/>
      <c r="C26" s="277"/>
      <c r="D26" s="277" t="str">
        <f>IF(OR(N(data!C414)&gt;1000000,N(data!C414)/(N(data!D416))&gt;0.01),"Yes","No")</f>
        <v>No</v>
      </c>
    </row>
    <row r="27" spans="1:4" ht="14.5" x14ac:dyDescent="0.35">
      <c r="A27" s="277"/>
      <c r="B27" s="277"/>
      <c r="C27" s="277"/>
      <c r="D27" s="277"/>
    </row>
    <row r="28" spans="1:4" ht="14.5" x14ac:dyDescent="0.35">
      <c r="A28" s="279" t="s">
        <v>825</v>
      </c>
      <c r="B28" s="277"/>
      <c r="C28" s="277"/>
      <c r="D28" s="279" t="s">
        <v>826</v>
      </c>
    </row>
    <row r="29" spans="1:4" ht="14.5" x14ac:dyDescent="0.35">
      <c r="A29" s="277" t="s">
        <v>829</v>
      </c>
      <c r="B29" s="277"/>
      <c r="C29" s="277"/>
      <c r="D29" s="277"/>
    </row>
    <row r="30" spans="1:4" ht="14.5" x14ac:dyDescent="0.35">
      <c r="A30" s="277" t="s">
        <v>829</v>
      </c>
      <c r="B30" s="277"/>
      <c r="C30" s="277"/>
      <c r="D30" s="277"/>
    </row>
    <row r="31" spans="1:4" ht="14.5" x14ac:dyDescent="0.35">
      <c r="A31" s="277" t="s">
        <v>829</v>
      </c>
      <c r="B31" s="277"/>
      <c r="C31" s="277"/>
      <c r="D31" s="277"/>
    </row>
    <row r="32" spans="1:4" ht="14.5" x14ac:dyDescent="0.35">
      <c r="A32" s="277" t="s">
        <v>829</v>
      </c>
      <c r="B32" s="277"/>
      <c r="C32" s="277"/>
      <c r="D32" s="277"/>
    </row>
    <row r="33" spans="1:4" ht="14.5" x14ac:dyDescent="0.35">
      <c r="A33" s="277" t="s">
        <v>829</v>
      </c>
      <c r="B33" s="277"/>
      <c r="C33" s="277"/>
      <c r="D33" s="277"/>
    </row>
    <row r="34" spans="1:4" ht="14.5" x14ac:dyDescent="0.35">
      <c r="A34" s="277" t="s">
        <v>829</v>
      </c>
      <c r="B34" s="277"/>
      <c r="C34" s="277"/>
      <c r="D34" s="277"/>
    </row>
    <row r="35" spans="1:4" ht="14.5" x14ac:dyDescent="0.35">
      <c r="A35" s="277" t="s">
        <v>829</v>
      </c>
      <c r="B35" s="277"/>
      <c r="C35" s="277"/>
      <c r="D35" s="277"/>
    </row>
    <row r="36" spans="1:4" ht="14.5" x14ac:dyDescent="0.35">
      <c r="A36" s="277"/>
      <c r="B36" s="277"/>
      <c r="C36" s="277"/>
      <c r="D36" s="2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830</v>
      </c>
    </row>
    <row r="2" spans="1:7" ht="20.149999999999999" customHeight="1" x14ac:dyDescent="0.35">
      <c r="A2" s="62" t="s">
        <v>831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12/31/2023</v>
      </c>
      <c r="C4" s="64"/>
      <c r="D4" s="65"/>
      <c r="E4" s="66"/>
      <c r="F4" s="64" t="str">
        <f>"License Number:  "&amp;"H-"&amp;FIXED(data!C97,0)</f>
        <v>License Number:  H-137</v>
      </c>
      <c r="G4" s="67"/>
    </row>
    <row r="5" spans="1:7" ht="20.149999999999999" customHeight="1" x14ac:dyDescent="0.35">
      <c r="A5" s="63">
        <v>2</v>
      </c>
      <c r="B5" s="64" t="s">
        <v>301</v>
      </c>
      <c r="C5" s="67"/>
      <c r="D5" s="64" t="str">
        <f>"  "&amp;data!C98</f>
        <v xml:space="preserve">  LINCOLN COUNTY HOSPITAL DISTRICT # 3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311</v>
      </c>
      <c r="C6" s="67"/>
      <c r="D6" s="64" t="str">
        <f>"  "&amp;data!C103</f>
        <v xml:space="preserve">  Lincoln County  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832</v>
      </c>
      <c r="C7" s="67"/>
      <c r="D7" s="64" t="str">
        <f>"  "&amp;data!C104</f>
        <v xml:space="preserve">  Tyson Lacy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833</v>
      </c>
      <c r="C8" s="67"/>
      <c r="D8" s="64" t="str">
        <f>"  "&amp;data!C105</f>
        <v xml:space="preserve">  Tim O'Connell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834</v>
      </c>
      <c r="C9" s="67"/>
      <c r="D9" s="64" t="str">
        <f>"  "&amp;data!C106</f>
        <v xml:space="preserve">  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835</v>
      </c>
      <c r="C10" s="67"/>
      <c r="D10" s="64" t="str">
        <f>"  "&amp;data!C107</f>
        <v xml:space="preserve">  509-725-7101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836</v>
      </c>
      <c r="C11" s="67"/>
      <c r="D11" s="64" t="str">
        <f>"  "&amp;data!C108</f>
        <v xml:space="preserve">  509-725-2112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837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838</v>
      </c>
      <c r="E16" s="229" t="str">
        <f>IF(data!C120&gt;0," X","")</f>
        <v/>
      </c>
      <c r="F16" s="81" t="s">
        <v>332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311</v>
      </c>
      <c r="C17" s="79" t="str">
        <f>IF(data!C118&gt;0," X","")</f>
        <v/>
      </c>
      <c r="D17" s="80" t="s">
        <v>412</v>
      </c>
      <c r="E17" s="229" t="str">
        <f>IF(data!C121&gt;0," X","")</f>
        <v/>
      </c>
      <c r="F17" s="81" t="s">
        <v>333</v>
      </c>
      <c r="G17" s="67"/>
    </row>
    <row r="18" spans="1:7" ht="20.149999999999999" customHeight="1" x14ac:dyDescent="0.35">
      <c r="A18" s="63"/>
      <c r="B18" s="67" t="s">
        <v>839</v>
      </c>
      <c r="C18" s="67"/>
      <c r="D18" s="67"/>
      <c r="E18" s="229" t="str">
        <f>IF(data!C122&gt;0," X","")</f>
        <v/>
      </c>
      <c r="F18" s="81" t="s">
        <v>334</v>
      </c>
      <c r="G18" s="67"/>
    </row>
    <row r="19" spans="1:7" ht="20.149999999999999" customHeight="1" x14ac:dyDescent="0.35">
      <c r="A19" s="78" t="str">
        <f>IF(data!C115&gt;0," X","")</f>
        <v xml:space="preserve"> X</v>
      </c>
      <c r="B19" s="80" t="s">
        <v>840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841</v>
      </c>
      <c r="C22" s="64"/>
      <c r="D22" s="64"/>
      <c r="E22" s="64"/>
      <c r="F22" s="78" t="s">
        <v>337</v>
      </c>
      <c r="G22" s="79" t="s">
        <v>242</v>
      </c>
    </row>
    <row r="23" spans="1:7" ht="20.149999999999999" customHeight="1" x14ac:dyDescent="0.35">
      <c r="A23" s="63"/>
      <c r="B23" s="64" t="s">
        <v>842</v>
      </c>
      <c r="C23" s="64"/>
      <c r="D23" s="64"/>
      <c r="E23" s="64"/>
      <c r="F23" s="63">
        <f>data!C127</f>
        <v>217</v>
      </c>
      <c r="G23" s="67">
        <f>data!D127</f>
        <v>801</v>
      </c>
    </row>
    <row r="24" spans="1:7" ht="20.149999999999999" customHeight="1" x14ac:dyDescent="0.35">
      <c r="A24" s="63"/>
      <c r="B24" s="64" t="s">
        <v>843</v>
      </c>
      <c r="C24" s="64"/>
      <c r="D24" s="64"/>
      <c r="E24" s="64"/>
      <c r="F24" s="63">
        <f>data!C128</f>
        <v>104</v>
      </c>
      <c r="G24" s="67">
        <f>data!D128</f>
        <v>3846</v>
      </c>
    </row>
    <row r="25" spans="1:7" ht="20.149999999999999" customHeight="1" x14ac:dyDescent="0.35">
      <c r="A25" s="63"/>
      <c r="B25" s="64" t="s">
        <v>844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49999999999999" customHeight="1" x14ac:dyDescent="0.35">
      <c r="A26" s="63">
        <v>11</v>
      </c>
      <c r="B26" s="64" t="s">
        <v>341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845</v>
      </c>
      <c r="C29" s="67"/>
      <c r="D29" s="79" t="s">
        <v>194</v>
      </c>
      <c r="E29" s="83" t="s">
        <v>845</v>
      </c>
      <c r="F29" s="67"/>
      <c r="G29" s="79" t="s">
        <v>194</v>
      </c>
    </row>
    <row r="30" spans="1:7" ht="20.149999999999999" customHeight="1" x14ac:dyDescent="0.35">
      <c r="A30" s="63"/>
      <c r="B30" s="64" t="s">
        <v>343</v>
      </c>
      <c r="C30" s="67"/>
      <c r="D30" s="67">
        <f>data!C132</f>
        <v>0</v>
      </c>
      <c r="E30" s="64" t="s">
        <v>349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846</v>
      </c>
      <c r="C31" s="67"/>
      <c r="D31" s="67">
        <f>data!C133</f>
        <v>0</v>
      </c>
      <c r="E31" s="64" t="s">
        <v>350</v>
      </c>
      <c r="F31" s="67"/>
      <c r="G31" s="67">
        <f>data!C140</f>
        <v>25</v>
      </c>
    </row>
    <row r="32" spans="1:7" ht="20.149999999999999" customHeight="1" x14ac:dyDescent="0.35">
      <c r="A32" s="63"/>
      <c r="B32" s="83" t="s">
        <v>847</v>
      </c>
      <c r="C32" s="67"/>
      <c r="D32" s="67">
        <f>data!C134</f>
        <v>25</v>
      </c>
      <c r="E32" s="64" t="s">
        <v>848</v>
      </c>
      <c r="F32" s="67"/>
      <c r="G32" s="67">
        <f>data!C141</f>
        <v>0</v>
      </c>
    </row>
    <row r="33" spans="1:7" ht="20.149999999999999" customHeight="1" x14ac:dyDescent="0.35">
      <c r="A33" s="63"/>
      <c r="B33" s="83" t="s">
        <v>849</v>
      </c>
      <c r="C33" s="67"/>
      <c r="D33" s="67">
        <f>data!C135</f>
        <v>0</v>
      </c>
      <c r="E33" s="64" t="s">
        <v>850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851</v>
      </c>
      <c r="C34" s="67"/>
      <c r="D34" s="67">
        <f>data!C136</f>
        <v>0</v>
      </c>
      <c r="E34" s="64" t="s">
        <v>352</v>
      </c>
      <c r="F34" s="67"/>
      <c r="G34" s="67">
        <f>data!E143</f>
        <v>50</v>
      </c>
    </row>
    <row r="35" spans="1:7" ht="20.149999999999999" customHeight="1" x14ac:dyDescent="0.35">
      <c r="A35" s="63"/>
      <c r="B35" s="83" t="s">
        <v>852</v>
      </c>
      <c r="C35" s="67"/>
      <c r="D35" s="67">
        <f>data!C137</f>
        <v>0</v>
      </c>
      <c r="E35" s="64" t="s">
        <v>853</v>
      </c>
      <c r="F35" s="84"/>
      <c r="G35" s="67"/>
    </row>
    <row r="36" spans="1:7" ht="20.149999999999999" customHeight="1" x14ac:dyDescent="0.3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0</v>
      </c>
    </row>
    <row r="37" spans="1:7" ht="20.149999999999999" customHeight="1" x14ac:dyDescent="0.35">
      <c r="A37" s="63"/>
      <c r="E37" s="64" t="s">
        <v>354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854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855</v>
      </c>
      <c r="G1" s="61" t="s">
        <v>856</v>
      </c>
    </row>
    <row r="2" spans="1:7" ht="20.149999999999999" customHeight="1" x14ac:dyDescent="0.35">
      <c r="A2" s="1" t="str">
        <f>"Hospital: "&amp;data!C98</f>
        <v>Hospital: LINCOLN COUNTY HOSPITAL DISTRICT # 3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1" t="s">
        <v>858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859</v>
      </c>
      <c r="C5" s="74"/>
      <c r="D5" s="74"/>
      <c r="E5" s="125" t="s">
        <v>364</v>
      </c>
      <c r="F5" s="74"/>
      <c r="G5" s="74"/>
    </row>
    <row r="6" spans="1:7" ht="20.149999999999999" customHeight="1" x14ac:dyDescent="0.35">
      <c r="A6" s="126" t="s">
        <v>860</v>
      </c>
      <c r="B6" s="79" t="s">
        <v>337</v>
      </c>
      <c r="C6" s="79" t="s">
        <v>861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49999999999999" customHeight="1" x14ac:dyDescent="0.35">
      <c r="A7" s="63" t="s">
        <v>358</v>
      </c>
      <c r="B7" s="127">
        <f>data!B154</f>
        <v>173</v>
      </c>
      <c r="C7" s="127">
        <f>data!B155</f>
        <v>642</v>
      </c>
      <c r="D7" s="127">
        <f>data!B156</f>
        <v>16328</v>
      </c>
      <c r="E7" s="127">
        <f>data!B157</f>
        <v>2353500.0699999998</v>
      </c>
      <c r="F7" s="127">
        <f>data!B158</f>
        <v>12614440</v>
      </c>
      <c r="G7" s="127">
        <f>data!B157+data!B158</f>
        <v>14967940.07</v>
      </c>
    </row>
    <row r="8" spans="1:7" ht="20.149999999999999" customHeight="1" x14ac:dyDescent="0.35">
      <c r="A8" s="63" t="s">
        <v>359</v>
      </c>
      <c r="B8" s="127">
        <f>data!C154</f>
        <v>19</v>
      </c>
      <c r="C8" s="127">
        <f>data!C155</f>
        <v>62</v>
      </c>
      <c r="D8" s="127">
        <f>data!C156</f>
        <v>6723</v>
      </c>
      <c r="E8" s="127">
        <f>data!C157</f>
        <v>850665.23</v>
      </c>
      <c r="F8" s="127">
        <f>data!C158</f>
        <v>4204813</v>
      </c>
      <c r="G8" s="127">
        <f>data!C157+data!C158</f>
        <v>5055478.2300000004</v>
      </c>
    </row>
    <row r="9" spans="1:7" ht="20.149999999999999" customHeight="1" x14ac:dyDescent="0.35">
      <c r="A9" s="63" t="s">
        <v>862</v>
      </c>
      <c r="B9" s="127">
        <f>data!D154</f>
        <v>25</v>
      </c>
      <c r="C9" s="127">
        <f>data!D155</f>
        <v>97</v>
      </c>
      <c r="D9" s="127">
        <f>data!D156</f>
        <v>0</v>
      </c>
      <c r="E9" s="127">
        <f>data!D157</f>
        <v>1482707.63</v>
      </c>
      <c r="F9" s="127">
        <f>data!D158</f>
        <v>13485517</v>
      </c>
      <c r="G9" s="127">
        <f>data!D157+data!D158</f>
        <v>14968224.629999999</v>
      </c>
    </row>
    <row r="10" spans="1:7" ht="20.149999999999999" customHeight="1" x14ac:dyDescent="0.35">
      <c r="A10" s="78" t="s">
        <v>230</v>
      </c>
      <c r="B10" s="127">
        <f>data!E154</f>
        <v>217</v>
      </c>
      <c r="C10" s="127">
        <f>data!E155</f>
        <v>801</v>
      </c>
      <c r="D10" s="127">
        <f>data!E156</f>
        <v>23051</v>
      </c>
      <c r="E10" s="127">
        <f>data!E157</f>
        <v>4686872.93</v>
      </c>
      <c r="F10" s="127">
        <f>data!E158</f>
        <v>30304770</v>
      </c>
      <c r="G10" s="127">
        <f>E10+F10</f>
        <v>34991642.93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863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859</v>
      </c>
      <c r="C14" s="133"/>
      <c r="D14" s="133"/>
      <c r="E14" s="133" t="s">
        <v>364</v>
      </c>
      <c r="F14" s="133"/>
      <c r="G14" s="133"/>
    </row>
    <row r="15" spans="1:7" ht="20.149999999999999" customHeight="1" x14ac:dyDescent="0.35">
      <c r="A15" s="126" t="s">
        <v>860</v>
      </c>
      <c r="B15" s="79" t="s">
        <v>337</v>
      </c>
      <c r="C15" s="79" t="s">
        <v>861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49999999999999" customHeight="1" x14ac:dyDescent="0.35">
      <c r="A16" s="63" t="s">
        <v>358</v>
      </c>
      <c r="B16" s="127">
        <f>data!B160</f>
        <v>79</v>
      </c>
      <c r="C16" s="127">
        <f>data!B161</f>
        <v>929</v>
      </c>
      <c r="D16" s="127">
        <f>data!B162</f>
        <v>0</v>
      </c>
      <c r="E16" s="127">
        <f>data!B163</f>
        <v>607062.93000000005</v>
      </c>
      <c r="F16" s="127">
        <f>data!B164</f>
        <v>0</v>
      </c>
      <c r="G16" s="127">
        <f>data!B163+data!B164</f>
        <v>607062.93000000005</v>
      </c>
    </row>
    <row r="17" spans="1:7" ht="20.149999999999999" customHeight="1" x14ac:dyDescent="0.35">
      <c r="A17" s="63" t="s">
        <v>359</v>
      </c>
      <c r="B17" s="127">
        <f>data!C160</f>
        <v>16</v>
      </c>
      <c r="C17" s="127">
        <f>data!C161</f>
        <v>1055</v>
      </c>
      <c r="D17" s="127">
        <f>data!C162</f>
        <v>0</v>
      </c>
      <c r="E17" s="127">
        <f>data!C163</f>
        <v>136189.01999999999</v>
      </c>
      <c r="F17" s="127">
        <f>data!C164</f>
        <v>0</v>
      </c>
      <c r="G17" s="127">
        <f>data!C163+data!C164</f>
        <v>136189.01999999999</v>
      </c>
    </row>
    <row r="18" spans="1:7" ht="20.149999999999999" customHeight="1" x14ac:dyDescent="0.35">
      <c r="A18" s="63" t="s">
        <v>862</v>
      </c>
      <c r="B18" s="127">
        <f>data!D160</f>
        <v>9</v>
      </c>
      <c r="C18" s="127">
        <f>data!D161</f>
        <v>1862</v>
      </c>
      <c r="D18" s="127">
        <f>data!D162</f>
        <v>0</v>
      </c>
      <c r="E18" s="127">
        <f>data!D163</f>
        <v>376383.37</v>
      </c>
      <c r="F18" s="127">
        <f>data!D164</f>
        <v>0</v>
      </c>
      <c r="G18" s="127">
        <f>data!D163+data!D164</f>
        <v>376383.37</v>
      </c>
    </row>
    <row r="19" spans="1:7" ht="20.149999999999999" customHeight="1" x14ac:dyDescent="0.35">
      <c r="A19" s="78" t="s">
        <v>230</v>
      </c>
      <c r="B19" s="127">
        <f>data!E160</f>
        <v>104</v>
      </c>
      <c r="C19" s="127">
        <f>data!E161</f>
        <v>3846</v>
      </c>
      <c r="D19" s="127">
        <f>data!E162</f>
        <v>0</v>
      </c>
      <c r="E19" s="127">
        <f>data!E163</f>
        <v>1119635.32</v>
      </c>
      <c r="F19" s="127">
        <f>data!E164</f>
        <v>0</v>
      </c>
      <c r="G19" s="127">
        <f>data!E163+data!E164</f>
        <v>1119635.32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864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859</v>
      </c>
      <c r="C23" s="74"/>
      <c r="D23" s="74"/>
      <c r="E23" s="74" t="s">
        <v>364</v>
      </c>
      <c r="F23" s="74"/>
      <c r="G23" s="74"/>
    </row>
    <row r="24" spans="1:7" ht="20.149999999999999" customHeight="1" x14ac:dyDescent="0.35">
      <c r="A24" s="126" t="s">
        <v>860</v>
      </c>
      <c r="B24" s="79" t="s">
        <v>337</v>
      </c>
      <c r="C24" s="79" t="s">
        <v>861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49999999999999" customHeight="1" x14ac:dyDescent="0.3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862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865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866</v>
      </c>
      <c r="C32" s="139">
        <f>data!B173</f>
        <v>0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867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>
      <selection activeCell="C6" sqref="C6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367</v>
      </c>
      <c r="B1" s="62"/>
      <c r="C1" s="61" t="s">
        <v>868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LINCOLN COUNTY HOSPITAL DISTRICT # 3</v>
      </c>
      <c r="B3" s="69"/>
      <c r="C3" s="142" t="str">
        <f>"FYE: "&amp;data!C96</f>
        <v>FYE: 12/31/2023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368</v>
      </c>
      <c r="C5" s="123"/>
    </row>
    <row r="6" spans="1:3" ht="20.149999999999999" customHeight="1" x14ac:dyDescent="0.35">
      <c r="A6" s="143">
        <v>2</v>
      </c>
      <c r="B6" s="64" t="s">
        <v>869</v>
      </c>
      <c r="C6" s="63">
        <f>data!C181</f>
        <v>1113218.26</v>
      </c>
    </row>
    <row r="7" spans="1:3" ht="20.149999999999999" customHeight="1" x14ac:dyDescent="0.35">
      <c r="A7" s="144">
        <v>3</v>
      </c>
      <c r="B7" s="83" t="s">
        <v>370</v>
      </c>
      <c r="C7" s="63">
        <f>data!C182</f>
        <v>8344.0499999999993</v>
      </c>
    </row>
    <row r="8" spans="1:3" ht="20.149999999999999" customHeight="1" x14ac:dyDescent="0.35">
      <c r="A8" s="144">
        <v>4</v>
      </c>
      <c r="B8" s="64" t="s">
        <v>371</v>
      </c>
      <c r="C8" s="63">
        <f>data!C183</f>
        <v>167425.67000000001</v>
      </c>
    </row>
    <row r="9" spans="1:3" ht="20.149999999999999" customHeight="1" x14ac:dyDescent="0.35">
      <c r="A9" s="144">
        <v>5</v>
      </c>
      <c r="B9" s="64" t="s">
        <v>372</v>
      </c>
      <c r="C9" s="63">
        <f>data!C184</f>
        <v>1905920.61</v>
      </c>
    </row>
    <row r="10" spans="1:3" ht="20.149999999999999" customHeight="1" x14ac:dyDescent="0.35">
      <c r="A10" s="144">
        <v>6</v>
      </c>
      <c r="B10" s="64" t="s">
        <v>373</v>
      </c>
      <c r="C10" s="63">
        <f>data!C185</f>
        <v>0</v>
      </c>
    </row>
    <row r="11" spans="1:3" ht="20.149999999999999" customHeight="1" x14ac:dyDescent="0.35">
      <c r="A11" s="144">
        <v>7</v>
      </c>
      <c r="B11" s="64" t="s">
        <v>374</v>
      </c>
      <c r="C11" s="63">
        <f>data!C186</f>
        <v>404874.12</v>
      </c>
    </row>
    <row r="12" spans="1:3" ht="20.149999999999999" customHeight="1" x14ac:dyDescent="0.35">
      <c r="A12" s="144">
        <v>8</v>
      </c>
      <c r="B12" s="64" t="s">
        <v>375</v>
      </c>
      <c r="C12" s="63">
        <f>data!C187</f>
        <v>115266.73</v>
      </c>
    </row>
    <row r="13" spans="1:3" ht="20.149999999999999" customHeight="1" x14ac:dyDescent="0.35">
      <c r="A13" s="144">
        <v>9</v>
      </c>
      <c r="B13" s="64" t="s">
        <v>375</v>
      </c>
      <c r="C13" s="63">
        <f>data!C188</f>
        <v>5737.44</v>
      </c>
    </row>
    <row r="14" spans="1:3" ht="20.149999999999999" customHeight="1" x14ac:dyDescent="0.35">
      <c r="A14" s="144">
        <v>10</v>
      </c>
      <c r="B14" s="64" t="s">
        <v>870</v>
      </c>
      <c r="C14" s="63">
        <f>data!D189</f>
        <v>3720786.88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376</v>
      </c>
      <c r="C17" s="77"/>
    </row>
    <row r="18" spans="1:3" ht="20.149999999999999" customHeight="1" x14ac:dyDescent="0.35">
      <c r="A18" s="63">
        <v>12</v>
      </c>
      <c r="B18" s="64" t="s">
        <v>871</v>
      </c>
      <c r="C18" s="63">
        <f>data!C191</f>
        <v>0</v>
      </c>
    </row>
    <row r="19" spans="1:3" ht="20.149999999999999" customHeight="1" x14ac:dyDescent="0.35">
      <c r="A19" s="63">
        <v>13</v>
      </c>
      <c r="B19" s="64" t="s">
        <v>872</v>
      </c>
      <c r="C19" s="63">
        <f>data!C192</f>
        <v>84582.04</v>
      </c>
    </row>
    <row r="20" spans="1:3" ht="20.149999999999999" customHeight="1" x14ac:dyDescent="0.35">
      <c r="A20" s="63">
        <v>14</v>
      </c>
      <c r="B20" s="64" t="s">
        <v>873</v>
      </c>
      <c r="C20" s="63">
        <f>data!D193</f>
        <v>84582.04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379</v>
      </c>
      <c r="C23" s="123"/>
    </row>
    <row r="24" spans="1:3" ht="20.149999999999999" customHeight="1" x14ac:dyDescent="0.35">
      <c r="A24" s="63">
        <v>16</v>
      </c>
      <c r="B24" s="75" t="s">
        <v>874</v>
      </c>
      <c r="C24" s="148"/>
    </row>
    <row r="25" spans="1:3" ht="20.149999999999999" customHeight="1" x14ac:dyDescent="0.35">
      <c r="A25" s="63">
        <v>17</v>
      </c>
      <c r="B25" s="64" t="s">
        <v>875</v>
      </c>
      <c r="C25" s="63">
        <f>data!C195</f>
        <v>328039.71000000002</v>
      </c>
    </row>
    <row r="26" spans="1:3" ht="20.149999999999999" customHeight="1" x14ac:dyDescent="0.35">
      <c r="A26" s="63">
        <v>18</v>
      </c>
      <c r="B26" s="64" t="s">
        <v>381</v>
      </c>
      <c r="C26" s="63">
        <f>data!C196</f>
        <v>0</v>
      </c>
    </row>
    <row r="27" spans="1:3" ht="20.149999999999999" customHeight="1" x14ac:dyDescent="0.35">
      <c r="A27" s="63">
        <v>19</v>
      </c>
      <c r="B27" s="64" t="s">
        <v>876</v>
      </c>
      <c r="C27" s="63">
        <f>data!D197</f>
        <v>328039.71000000002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877</v>
      </c>
      <c r="C30" s="133"/>
    </row>
    <row r="31" spans="1:3" ht="20.149999999999999" customHeight="1" x14ac:dyDescent="0.35">
      <c r="A31" s="63">
        <v>21</v>
      </c>
      <c r="B31" s="64" t="s">
        <v>383</v>
      </c>
      <c r="C31" s="63">
        <f>data!C199</f>
        <v>99024.03</v>
      </c>
    </row>
    <row r="32" spans="1:3" ht="20.149999999999999" customHeight="1" x14ac:dyDescent="0.35">
      <c r="A32" s="63">
        <v>22</v>
      </c>
      <c r="B32" s="64" t="s">
        <v>878</v>
      </c>
      <c r="C32" s="63">
        <f>data!C200</f>
        <v>81917.16</v>
      </c>
    </row>
    <row r="33" spans="1:3" ht="20.149999999999999" customHeight="1" x14ac:dyDescent="0.35">
      <c r="A33" s="63">
        <v>23</v>
      </c>
      <c r="B33" s="64" t="s">
        <v>159</v>
      </c>
      <c r="C33" s="63">
        <f>data!C201</f>
        <v>162896.9</v>
      </c>
    </row>
    <row r="34" spans="1:3" ht="20.149999999999999" customHeight="1" x14ac:dyDescent="0.35">
      <c r="A34" s="63">
        <v>24</v>
      </c>
      <c r="B34" s="64" t="s">
        <v>879</v>
      </c>
      <c r="C34" s="63">
        <f>data!D202</f>
        <v>343838.08999999997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385</v>
      </c>
      <c r="C37" s="123"/>
    </row>
    <row r="38" spans="1:3" ht="20.149999999999999" customHeight="1" x14ac:dyDescent="0.35">
      <c r="A38" s="63">
        <v>26</v>
      </c>
      <c r="B38" s="64" t="s">
        <v>880</v>
      </c>
      <c r="C38" s="63">
        <f>data!C204</f>
        <v>195771.42</v>
      </c>
    </row>
    <row r="39" spans="1:3" ht="20.149999999999999" customHeight="1" x14ac:dyDescent="0.35">
      <c r="A39" s="63">
        <v>27</v>
      </c>
      <c r="B39" s="64" t="s">
        <v>387</v>
      </c>
      <c r="C39" s="63">
        <f>data!C205</f>
        <v>0</v>
      </c>
    </row>
    <row r="40" spans="1:3" ht="20.149999999999999" customHeight="1" x14ac:dyDescent="0.35">
      <c r="A40" s="63">
        <v>28</v>
      </c>
      <c r="B40" s="64" t="s">
        <v>881</v>
      </c>
      <c r="C40" s="63">
        <f>data!D206</f>
        <v>195771.42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388</v>
      </c>
      <c r="B1" s="62"/>
      <c r="C1" s="62"/>
      <c r="D1" s="62"/>
      <c r="E1" s="62"/>
      <c r="F1" s="61" t="s">
        <v>882</v>
      </c>
    </row>
    <row r="3" spans="1:6" ht="20.149999999999999" customHeight="1" x14ac:dyDescent="0.35">
      <c r="A3" s="120" t="str">
        <f>"Hospital: "&amp;data!C98</f>
        <v>Hospital: LINCOLN COUNTY HOSPITAL DISTRICT # 3</v>
      </c>
      <c r="F3" s="142" t="str">
        <f>"FYE: "&amp;data!C96</f>
        <v>FYE: 12/31/2023</v>
      </c>
    </row>
    <row r="4" spans="1:6" ht="20.149999999999999" customHeight="1" x14ac:dyDescent="0.35">
      <c r="A4" s="148" t="s">
        <v>389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883</v>
      </c>
      <c r="D5" s="151"/>
      <c r="E5" s="151"/>
      <c r="F5" s="151" t="s">
        <v>884</v>
      </c>
    </row>
    <row r="6" spans="1:6" ht="20.149999999999999" customHeight="1" x14ac:dyDescent="0.35">
      <c r="A6" s="152"/>
      <c r="B6" s="70"/>
      <c r="C6" s="153" t="s">
        <v>885</v>
      </c>
      <c r="D6" s="153" t="s">
        <v>391</v>
      </c>
      <c r="E6" s="153" t="s">
        <v>886</v>
      </c>
      <c r="F6" s="153" t="s">
        <v>885</v>
      </c>
    </row>
    <row r="7" spans="1:6" ht="20.149999999999999" customHeight="1" x14ac:dyDescent="0.35">
      <c r="A7" s="63">
        <v>1</v>
      </c>
      <c r="B7" s="67" t="s">
        <v>394</v>
      </c>
      <c r="C7" s="67">
        <f>data!B211</f>
        <v>792630</v>
      </c>
      <c r="D7" s="67">
        <f>data!C211</f>
        <v>0</v>
      </c>
      <c r="E7" s="67">
        <f>data!D211</f>
        <v>0</v>
      </c>
      <c r="F7" s="67">
        <f>data!E211</f>
        <v>792630</v>
      </c>
    </row>
    <row r="8" spans="1:6" ht="20.149999999999999" customHeight="1" x14ac:dyDescent="0.35">
      <c r="A8" s="63">
        <v>2</v>
      </c>
      <c r="B8" s="67" t="s">
        <v>395</v>
      </c>
      <c r="C8" s="67">
        <f>data!B212</f>
        <v>324429</v>
      </c>
      <c r="D8" s="67">
        <f>data!C212</f>
        <v>0</v>
      </c>
      <c r="E8" s="67">
        <f>data!D212</f>
        <v>0</v>
      </c>
      <c r="F8" s="67">
        <f>data!E212</f>
        <v>324429</v>
      </c>
    </row>
    <row r="9" spans="1:6" ht="20.149999999999999" customHeight="1" x14ac:dyDescent="0.35">
      <c r="A9" s="63">
        <v>3</v>
      </c>
      <c r="B9" s="67" t="s">
        <v>396</v>
      </c>
      <c r="C9" s="67">
        <f>data!B213</f>
        <v>12857806</v>
      </c>
      <c r="D9" s="67">
        <f>data!C213</f>
        <v>0</v>
      </c>
      <c r="E9" s="67">
        <f>data!D213</f>
        <v>0</v>
      </c>
      <c r="F9" s="67">
        <f>data!E213</f>
        <v>12857806</v>
      </c>
    </row>
    <row r="10" spans="1:6" ht="20.149999999999999" customHeight="1" x14ac:dyDescent="0.35">
      <c r="A10" s="63">
        <v>4</v>
      </c>
      <c r="B10" s="67" t="s">
        <v>887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49999999999999" customHeight="1" x14ac:dyDescent="0.35">
      <c r="A11" s="63">
        <v>5</v>
      </c>
      <c r="B11" s="67" t="s">
        <v>888</v>
      </c>
      <c r="C11" s="67">
        <f>data!B215</f>
        <v>5310503</v>
      </c>
      <c r="D11" s="67">
        <f>data!C215</f>
        <v>0</v>
      </c>
      <c r="E11" s="67">
        <f>data!D215</f>
        <v>0</v>
      </c>
      <c r="F11" s="67">
        <f>data!E215</f>
        <v>5310503</v>
      </c>
    </row>
    <row r="12" spans="1:6" ht="20.149999999999999" customHeight="1" x14ac:dyDescent="0.35">
      <c r="A12" s="63">
        <v>6</v>
      </c>
      <c r="B12" s="67" t="s">
        <v>889</v>
      </c>
      <c r="C12" s="67">
        <f>data!B216</f>
        <v>8211644</v>
      </c>
      <c r="D12" s="67">
        <f>data!C216</f>
        <v>3142172</v>
      </c>
      <c r="E12" s="67">
        <f>data!D216</f>
        <v>0</v>
      </c>
      <c r="F12" s="67">
        <f>data!E216</f>
        <v>11353816</v>
      </c>
    </row>
    <row r="13" spans="1:6" ht="20.149999999999999" customHeight="1" x14ac:dyDescent="0.35">
      <c r="A13" s="63">
        <v>7</v>
      </c>
      <c r="B13" s="67" t="s">
        <v>890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49999999999999" customHeight="1" x14ac:dyDescent="0.35">
      <c r="A14" s="63">
        <v>8</v>
      </c>
      <c r="B14" s="67" t="s">
        <v>401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49999999999999" customHeight="1" x14ac:dyDescent="0.35">
      <c r="A15" s="63">
        <v>9</v>
      </c>
      <c r="B15" s="67" t="s">
        <v>891</v>
      </c>
      <c r="C15" s="67">
        <f>data!B219</f>
        <v>138048</v>
      </c>
      <c r="D15" s="67">
        <f>data!C219</f>
        <v>-138048</v>
      </c>
      <c r="E15" s="67">
        <f>data!D219</f>
        <v>0</v>
      </c>
      <c r="F15" s="67">
        <f>data!E219</f>
        <v>0</v>
      </c>
    </row>
    <row r="16" spans="1:6" ht="20.149999999999999" customHeight="1" x14ac:dyDescent="0.35">
      <c r="A16" s="63">
        <v>10</v>
      </c>
      <c r="B16" s="67" t="s">
        <v>615</v>
      </c>
      <c r="C16" s="67">
        <f>data!B220</f>
        <v>27635060</v>
      </c>
      <c r="D16" s="67">
        <f>data!C220</f>
        <v>3004124</v>
      </c>
      <c r="E16" s="67">
        <f>data!D220</f>
        <v>0</v>
      </c>
      <c r="F16" s="67">
        <f>data!E220</f>
        <v>30639184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403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883</v>
      </c>
      <c r="D21" s="4" t="s">
        <v>230</v>
      </c>
      <c r="E21" s="153"/>
      <c r="F21" s="153" t="s">
        <v>884</v>
      </c>
    </row>
    <row r="22" spans="1:6" ht="20.149999999999999" customHeight="1" x14ac:dyDescent="0.35">
      <c r="A22" s="154"/>
      <c r="B22" s="146"/>
      <c r="C22" s="153" t="s">
        <v>885</v>
      </c>
      <c r="D22" s="153" t="s">
        <v>892</v>
      </c>
      <c r="E22" s="153" t="s">
        <v>886</v>
      </c>
      <c r="F22" s="153" t="s">
        <v>885</v>
      </c>
    </row>
    <row r="23" spans="1:6" ht="20.149999999999999" customHeight="1" x14ac:dyDescent="0.35">
      <c r="A23" s="63">
        <v>11</v>
      </c>
      <c r="B23" s="155" t="s">
        <v>394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395</v>
      </c>
      <c r="C24" s="67">
        <f>data!B225</f>
        <v>310261</v>
      </c>
      <c r="D24" s="67">
        <f>data!C225</f>
        <v>2881</v>
      </c>
      <c r="E24" s="67">
        <f>data!D225</f>
        <v>0</v>
      </c>
      <c r="F24" s="67">
        <f>data!E225</f>
        <v>313142</v>
      </c>
    </row>
    <row r="25" spans="1:6" ht="20.149999999999999" customHeight="1" x14ac:dyDescent="0.35">
      <c r="A25" s="63">
        <v>13</v>
      </c>
      <c r="B25" s="67" t="s">
        <v>396</v>
      </c>
      <c r="C25" s="67">
        <f>data!B226</f>
        <v>4873907</v>
      </c>
      <c r="D25" s="67">
        <f>data!C226</f>
        <v>527715</v>
      </c>
      <c r="E25" s="67">
        <f>data!D226</f>
        <v>0</v>
      </c>
      <c r="F25" s="67">
        <f>data!E226</f>
        <v>5401622</v>
      </c>
    </row>
    <row r="26" spans="1:6" ht="20.149999999999999" customHeight="1" x14ac:dyDescent="0.35">
      <c r="A26" s="63">
        <v>14</v>
      </c>
      <c r="B26" s="67" t="s">
        <v>887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49999999999999" customHeight="1" x14ac:dyDescent="0.35">
      <c r="A27" s="63">
        <v>15</v>
      </c>
      <c r="B27" s="67" t="s">
        <v>888</v>
      </c>
      <c r="C27" s="67">
        <f>data!B228</f>
        <v>4954063</v>
      </c>
      <c r="D27" s="67">
        <f>data!C228</f>
        <v>92613</v>
      </c>
      <c r="E27" s="67">
        <f>data!D228</f>
        <v>0</v>
      </c>
      <c r="F27" s="67">
        <f>data!E228</f>
        <v>5046676</v>
      </c>
    </row>
    <row r="28" spans="1:6" ht="20.149999999999999" customHeight="1" x14ac:dyDescent="0.35">
      <c r="A28" s="63">
        <v>16</v>
      </c>
      <c r="B28" s="67" t="s">
        <v>889</v>
      </c>
      <c r="C28" s="67">
        <f>data!B229</f>
        <v>6571725</v>
      </c>
      <c r="D28" s="67">
        <f>data!C229</f>
        <v>959971</v>
      </c>
      <c r="E28" s="67">
        <f>data!D229</f>
        <v>0</v>
      </c>
      <c r="F28" s="67">
        <f>data!E229</f>
        <v>7531696</v>
      </c>
    </row>
    <row r="29" spans="1:6" ht="20.149999999999999" customHeight="1" x14ac:dyDescent="0.35">
      <c r="A29" s="63">
        <v>17</v>
      </c>
      <c r="B29" s="67" t="s">
        <v>890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49999999999999" customHeight="1" x14ac:dyDescent="0.35">
      <c r="A30" s="63">
        <v>18</v>
      </c>
      <c r="B30" s="67" t="s">
        <v>401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49999999999999" customHeight="1" x14ac:dyDescent="0.35">
      <c r="A31" s="63">
        <v>19</v>
      </c>
      <c r="B31" s="67" t="s">
        <v>891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615</v>
      </c>
      <c r="C32" s="67">
        <f>data!B233</f>
        <v>16709956</v>
      </c>
      <c r="D32" s="67">
        <f>data!C233</f>
        <v>1583180</v>
      </c>
      <c r="E32" s="67">
        <f>data!D233</f>
        <v>0</v>
      </c>
      <c r="F32" s="67">
        <f>data!E233</f>
        <v>18293136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893</v>
      </c>
      <c r="B1" s="62"/>
      <c r="C1" s="62"/>
      <c r="D1" s="61" t="s">
        <v>894</v>
      </c>
    </row>
    <row r="2" spans="1:4" ht="20.149999999999999" customHeight="1" x14ac:dyDescent="0.35">
      <c r="A2" s="120" t="str">
        <f>"Hospital: "&amp;data!C98</f>
        <v>Hospital: LINCOLN COUNTY HOSPITAL DISTRICT # 3</v>
      </c>
      <c r="B2" s="69"/>
      <c r="C2" s="69"/>
      <c r="D2" s="142" t="str">
        <f>"FYE: "&amp;data!C96</f>
        <v>FYE: 12/31/2023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895</v>
      </c>
      <c r="C4" s="156" t="s">
        <v>896</v>
      </c>
      <c r="D4" s="157"/>
    </row>
    <row r="5" spans="1:4" ht="20.149999999999999" customHeight="1" x14ac:dyDescent="0.35">
      <c r="A5" s="124">
        <v>1</v>
      </c>
      <c r="B5" s="158"/>
      <c r="C5" s="80" t="s">
        <v>405</v>
      </c>
      <c r="D5" s="67">
        <f>data!D237</f>
        <v>961214.71</v>
      </c>
    </row>
    <row r="6" spans="1:4" ht="20.149999999999999" customHeight="1" x14ac:dyDescent="0.35">
      <c r="A6" s="63">
        <v>2</v>
      </c>
      <c r="B6" s="69"/>
      <c r="C6" s="142" t="s">
        <v>501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358</v>
      </c>
      <c r="D7" s="67">
        <f>data!C239</f>
        <v>1178886.03</v>
      </c>
    </row>
    <row r="8" spans="1:4" ht="20.149999999999999" customHeight="1" x14ac:dyDescent="0.35">
      <c r="A8" s="63">
        <v>4</v>
      </c>
      <c r="B8" s="158">
        <v>5820</v>
      </c>
      <c r="C8" s="67" t="s">
        <v>359</v>
      </c>
      <c r="D8" s="67">
        <f>data!C240</f>
        <v>1301133.8600000001</v>
      </c>
    </row>
    <row r="9" spans="1:4" ht="20.149999999999999" customHeight="1" x14ac:dyDescent="0.35">
      <c r="A9" s="63">
        <v>5</v>
      </c>
      <c r="B9" s="158">
        <v>5830</v>
      </c>
      <c r="C9" s="67" t="s">
        <v>371</v>
      </c>
      <c r="D9" s="67">
        <f>data!C241</f>
        <v>0</v>
      </c>
    </row>
    <row r="10" spans="1:4" ht="20.149999999999999" customHeight="1" x14ac:dyDescent="0.35">
      <c r="A10" s="63">
        <v>6</v>
      </c>
      <c r="B10" s="158">
        <v>5840</v>
      </c>
      <c r="C10" s="67" t="s">
        <v>410</v>
      </c>
      <c r="D10" s="67">
        <f>data!C242</f>
        <v>0</v>
      </c>
    </row>
    <row r="11" spans="1:4" ht="20.149999999999999" customHeight="1" x14ac:dyDescent="0.35">
      <c r="A11" s="63">
        <v>7</v>
      </c>
      <c r="B11" s="158">
        <v>5850</v>
      </c>
      <c r="C11" s="67" t="s">
        <v>897</v>
      </c>
      <c r="D11" s="67">
        <f>data!C243</f>
        <v>3369213.38</v>
      </c>
    </row>
    <row r="12" spans="1:4" ht="20.149999999999999" customHeight="1" x14ac:dyDescent="0.35">
      <c r="A12" s="63">
        <v>8</v>
      </c>
      <c r="B12" s="158">
        <v>5860</v>
      </c>
      <c r="C12" s="67" t="s">
        <v>159</v>
      </c>
      <c r="D12" s="67">
        <f>data!C244</f>
        <v>0</v>
      </c>
    </row>
    <row r="13" spans="1:4" ht="20.149999999999999" customHeight="1" x14ac:dyDescent="0.35">
      <c r="A13" s="63">
        <v>9</v>
      </c>
      <c r="B13" s="67"/>
      <c r="C13" s="67" t="s">
        <v>898</v>
      </c>
      <c r="D13" s="67">
        <f>data!D245</f>
        <v>5849233.2699999996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414</v>
      </c>
      <c r="D15" s="153"/>
    </row>
    <row r="16" spans="1:4" ht="20.149999999999999" customHeight="1" x14ac:dyDescent="0.35">
      <c r="A16" s="152">
        <v>12</v>
      </c>
      <c r="B16" s="79"/>
      <c r="C16" s="64" t="s">
        <v>899</v>
      </c>
      <c r="D16" s="63">
        <f>data!C247</f>
        <v>83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416</v>
      </c>
      <c r="D18" s="67">
        <f>data!C249</f>
        <v>0</v>
      </c>
    </row>
    <row r="19" spans="1:4" ht="20.149999999999999" customHeight="1" x14ac:dyDescent="0.35">
      <c r="A19" s="161">
        <v>15</v>
      </c>
      <c r="B19" s="158">
        <v>5910</v>
      </c>
      <c r="C19" s="80" t="s">
        <v>900</v>
      </c>
      <c r="D19" s="67">
        <f>data!C250</f>
        <v>165007.01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901</v>
      </c>
      <c r="D22" s="67">
        <f>data!D252</f>
        <v>165007.01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420</v>
      </c>
      <c r="D24" s="67">
        <f>data!C254</f>
        <v>77058.11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902</v>
      </c>
      <c r="D26" s="67">
        <f>data!C255</f>
        <v>0</v>
      </c>
    </row>
    <row r="27" spans="1:4" ht="20.149999999999999" customHeight="1" x14ac:dyDescent="0.35">
      <c r="A27" s="144">
        <v>23</v>
      </c>
      <c r="B27" s="163" t="s">
        <v>903</v>
      </c>
      <c r="C27" s="79"/>
      <c r="D27" s="67">
        <f>data!D256</f>
        <v>77058.11</v>
      </c>
    </row>
    <row r="28" spans="1:4" ht="20.149999999999999" customHeight="1" x14ac:dyDescent="0.35">
      <c r="A28" s="72">
        <v>24</v>
      </c>
      <c r="B28" s="138" t="s">
        <v>904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2024-06-27T18:59:07Z</cp:lastPrinted>
  <dcterms:created xsi:type="dcterms:W3CDTF">1999-06-02T22:01:56Z</dcterms:created>
  <dcterms:modified xsi:type="dcterms:W3CDTF">2024-07-10T16:02:22Z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