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42E3FF34-74F1-4EFE-BA77-4B69EC12DD02}" xr6:coauthVersionLast="47" xr6:coauthVersionMax="47" xr10:uidLastSave="{00000000-0000-0000-0000-000000000000}"/>
  <workbookProtection workbookAlgorithmName="SHA-512" workbookHashValue="365AA3IYheuyvRcqr8mE/NoPQlh7j3jBV7+NPf6L4g0v9VGTu87jEsAX9C3/N4U0S2OiWNNdLdkW2BApKaBpRA==" workbookSaltValue="cd6DtpWUxDk1LjTuR5nv5g==" workbookSpinCount="100000" lockStructure="1"/>
  <bookViews>
    <workbookView xWindow="-110" yWindow="-110" windowWidth="19420" windowHeight="1042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35" r:id="rId13"/>
    <sheet name="Support" sheetId="36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FS!$A$1:$C$178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5" i="24" l="1"/>
  <c r="C380" i="24"/>
  <c r="C373" i="24"/>
  <c r="C359" i="24"/>
  <c r="D360" i="24" s="1"/>
  <c r="CD83" i="24"/>
  <c r="CD69" i="24" s="1"/>
  <c r="E371" i="34" s="1"/>
  <c r="BY83" i="24"/>
  <c r="BY80" i="24"/>
  <c r="BX83" i="24"/>
  <c r="BX69" i="24" s="1"/>
  <c r="BX80" i="24"/>
  <c r="BW83" i="24"/>
  <c r="BW80" i="24"/>
  <c r="BV83" i="24"/>
  <c r="BR80" i="24"/>
  <c r="BR83" i="24" s="1"/>
  <c r="AC69" i="31" s="1"/>
  <c r="BP80" i="24"/>
  <c r="BP83" i="24" s="1"/>
  <c r="BO83" i="24"/>
  <c r="BO69" i="24" s="1"/>
  <c r="BN83" i="24"/>
  <c r="BN80" i="24"/>
  <c r="BK80" i="24"/>
  <c r="BJ80" i="24"/>
  <c r="BJ83" i="24" s="1"/>
  <c r="BH83" i="24"/>
  <c r="BE83" i="24"/>
  <c r="BD83" i="24"/>
  <c r="BD69" i="24" s="1"/>
  <c r="BD80" i="24"/>
  <c r="AY80" i="24"/>
  <c r="AR80" i="24"/>
  <c r="AR83" i="24" s="1"/>
  <c r="AJ83" i="24"/>
  <c r="AG80" i="24"/>
  <c r="AG83" i="24" s="1"/>
  <c r="Y80" i="24"/>
  <c r="Y83" i="24" s="1"/>
  <c r="U83" i="24"/>
  <c r="AC20" i="31" s="1"/>
  <c r="P83" i="24"/>
  <c r="C83" i="24"/>
  <c r="Q59" i="24"/>
  <c r="D245" i="24"/>
  <c r="D13" i="7" s="1"/>
  <c r="AJ93" i="24"/>
  <c r="AR66" i="24"/>
  <c r="AR64" i="24"/>
  <c r="AR61" i="24"/>
  <c r="G43" i="31" s="1"/>
  <c r="AR60" i="24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B62" i="31"/>
  <c r="AA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B50" i="31"/>
  <c r="AA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6"/>
  <c r="CD2" i="36"/>
  <c r="CC2" i="36"/>
  <c r="CB2" i="36"/>
  <c r="CA2" i="36"/>
  <c r="BZ2" i="36"/>
  <c r="BY2" i="36"/>
  <c r="BX2" i="36"/>
  <c r="BW2" i="36"/>
  <c r="BV2" i="36"/>
  <c r="BU2" i="36"/>
  <c r="BT2" i="36"/>
  <c r="BS2" i="36"/>
  <c r="BR2" i="36"/>
  <c r="BQ2" i="36"/>
  <c r="BP2" i="36"/>
  <c r="BO2" i="36"/>
  <c r="BN2" i="36"/>
  <c r="BM2" i="36"/>
  <c r="BL2" i="36"/>
  <c r="BK2" i="36"/>
  <c r="BJ2" i="36"/>
  <c r="BI2" i="36"/>
  <c r="BH2" i="36"/>
  <c r="BG2" i="36"/>
  <c r="BF2" i="36"/>
  <c r="BE2" i="36"/>
  <c r="BD2" i="36"/>
  <c r="BC2" i="36"/>
  <c r="BB2" i="36"/>
  <c r="BA2" i="36"/>
  <c r="AZ2" i="36"/>
  <c r="AY2" i="36"/>
  <c r="AX2" i="36"/>
  <c r="AT2" i="36"/>
  <c r="AS2" i="36"/>
  <c r="AR2" i="36"/>
  <c r="AQ2" i="36"/>
  <c r="AP2" i="36"/>
  <c r="AO2" i="36"/>
  <c r="AN2" i="36"/>
  <c r="AM2" i="36"/>
  <c r="AL2" i="36"/>
  <c r="AK2" i="36"/>
  <c r="AJ2" i="36"/>
  <c r="AI2" i="36"/>
  <c r="AH2" i="36"/>
  <c r="AG2" i="36"/>
  <c r="AF2" i="36"/>
  <c r="AE2" i="36"/>
  <c r="AD2" i="36"/>
  <c r="AC2" i="36"/>
  <c r="AB2" i="36"/>
  <c r="AA2" i="36"/>
  <c r="Z2" i="36"/>
  <c r="Y2" i="36"/>
  <c r="X2" i="36"/>
  <c r="W2" i="36"/>
  <c r="V2" i="36"/>
  <c r="U2" i="36"/>
  <c r="T2" i="36"/>
  <c r="S2" i="36"/>
  <c r="R2" i="36"/>
  <c r="Q2" i="36"/>
  <c r="P2" i="36"/>
  <c r="O2" i="36"/>
  <c r="N2" i="36"/>
  <c r="M2" i="36"/>
  <c r="L2" i="36"/>
  <c r="K2" i="36"/>
  <c r="J2" i="36"/>
  <c r="I2" i="36"/>
  <c r="H2" i="36"/>
  <c r="G2" i="36"/>
  <c r="F2" i="36"/>
  <c r="E2" i="36"/>
  <c r="D2" i="36"/>
  <c r="B2" i="36"/>
  <c r="A2" i="36"/>
  <c r="N2" i="35"/>
  <c r="M2" i="35"/>
  <c r="L2" i="35"/>
  <c r="K2" i="35"/>
  <c r="J2" i="35"/>
  <c r="I2" i="35"/>
  <c r="H2" i="35"/>
  <c r="G2" i="35"/>
  <c r="F2" i="35"/>
  <c r="E2" i="35"/>
  <c r="D2" i="35"/>
  <c r="C2" i="35"/>
  <c r="B2" i="35"/>
  <c r="A2" i="35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5" i="8"/>
  <c r="C164" i="8"/>
  <c r="C163" i="8"/>
  <c r="C162" i="8"/>
  <c r="C161" i="8"/>
  <c r="C160" i="8"/>
  <c r="C159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96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F58" i="15" s="1"/>
  <c r="E57" i="15"/>
  <c r="D57" i="15"/>
  <c r="B57" i="15"/>
  <c r="F57" i="15" s="1"/>
  <c r="E56" i="15"/>
  <c r="D56" i="15"/>
  <c r="B56" i="15"/>
  <c r="E55" i="15"/>
  <c r="D55" i="15"/>
  <c r="B55" i="15"/>
  <c r="F55" i="15" s="1"/>
  <c r="H54" i="15"/>
  <c r="I54" i="15" s="1"/>
  <c r="E54" i="15"/>
  <c r="D54" i="15"/>
  <c r="B54" i="15"/>
  <c r="F54" i="15" s="1"/>
  <c r="E53" i="15"/>
  <c r="D53" i="15"/>
  <c r="B53" i="15"/>
  <c r="F53" i="15" s="1"/>
  <c r="E52" i="15"/>
  <c r="D52" i="15"/>
  <c r="B52" i="15"/>
  <c r="F52" i="15" s="1"/>
  <c r="E51" i="15"/>
  <c r="D51" i="15"/>
  <c r="B51" i="15"/>
  <c r="F51" i="15" s="1"/>
  <c r="E50" i="15"/>
  <c r="D50" i="15"/>
  <c r="B50" i="15"/>
  <c r="E49" i="15"/>
  <c r="D49" i="15"/>
  <c r="B49" i="15"/>
  <c r="E48" i="15"/>
  <c r="D48" i="15"/>
  <c r="B48" i="15"/>
  <c r="E47" i="15"/>
  <c r="D47" i="15"/>
  <c r="B47" i="15"/>
  <c r="F47" i="15" s="1"/>
  <c r="E46" i="15"/>
  <c r="D46" i="15"/>
  <c r="B46" i="15"/>
  <c r="F46" i="15" s="1"/>
  <c r="E45" i="15"/>
  <c r="D45" i="15"/>
  <c r="B45" i="15"/>
  <c r="E44" i="15"/>
  <c r="D44" i="15"/>
  <c r="B44" i="15"/>
  <c r="F44" i="15" s="1"/>
  <c r="E43" i="15"/>
  <c r="D43" i="15"/>
  <c r="B43" i="15"/>
  <c r="E42" i="15"/>
  <c r="D42" i="15"/>
  <c r="B42" i="15"/>
  <c r="F42" i="15" s="1"/>
  <c r="E41" i="15"/>
  <c r="D41" i="15"/>
  <c r="B41" i="15"/>
  <c r="I40" i="15"/>
  <c r="B40" i="15"/>
  <c r="E39" i="15"/>
  <c r="D39" i="15"/>
  <c r="B39" i="15"/>
  <c r="H39" i="15" s="1"/>
  <c r="I39" i="15" s="1"/>
  <c r="E38" i="15"/>
  <c r="D38" i="15"/>
  <c r="B38" i="15"/>
  <c r="H38" i="15" s="1"/>
  <c r="I38" i="15" s="1"/>
  <c r="E37" i="15"/>
  <c r="D37" i="15"/>
  <c r="B37" i="15"/>
  <c r="E36" i="15"/>
  <c r="D36" i="15"/>
  <c r="B36" i="15"/>
  <c r="E35" i="15"/>
  <c r="D35" i="15"/>
  <c r="B35" i="15"/>
  <c r="E34" i="15"/>
  <c r="D34" i="15"/>
  <c r="B34" i="15"/>
  <c r="H34" i="15" s="1"/>
  <c r="I34" i="15" s="1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H26" i="15" s="1"/>
  <c r="I26" i="15" s="1"/>
  <c r="E25" i="15"/>
  <c r="D25" i="15"/>
  <c r="B25" i="15"/>
  <c r="H25" i="15" s="1"/>
  <c r="I25" i="15" s="1"/>
  <c r="E24" i="15"/>
  <c r="D24" i="15"/>
  <c r="B24" i="15"/>
  <c r="H24" i="15" s="1"/>
  <c r="I24" i="15" s="1"/>
  <c r="E23" i="15"/>
  <c r="D23" i="15"/>
  <c r="B23" i="15"/>
  <c r="H23" i="15" s="1"/>
  <c r="I23" i="15" s="1"/>
  <c r="E22" i="15"/>
  <c r="D22" i="15"/>
  <c r="B22" i="15"/>
  <c r="E21" i="15"/>
  <c r="D21" i="15"/>
  <c r="B21" i="15"/>
  <c r="E20" i="15"/>
  <c r="D20" i="15"/>
  <c r="B20" i="15"/>
  <c r="E19" i="15"/>
  <c r="D19" i="15"/>
  <c r="B19" i="15"/>
  <c r="H19" i="15" s="1"/>
  <c r="I19" i="15" s="1"/>
  <c r="E18" i="15"/>
  <c r="D18" i="15"/>
  <c r="B18" i="15"/>
  <c r="H18" i="15" s="1"/>
  <c r="I18" i="15" s="1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6" i="24"/>
  <c r="C120" i="8" s="1"/>
  <c r="D340" i="24"/>
  <c r="C86" i="8" s="1"/>
  <c r="D339" i="24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52" i="24"/>
  <c r="D22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28" i="4" s="1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I383" i="34" s="1"/>
  <c r="CE92" i="24"/>
  <c r="I382" i="34" s="1"/>
  <c r="CE91" i="24"/>
  <c r="I381" i="34" s="1"/>
  <c r="CE90" i="24"/>
  <c r="I380" i="3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E32" i="31" s="1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C69" i="24"/>
  <c r="CB69" i="24"/>
  <c r="CA69" i="24"/>
  <c r="BZ69" i="24"/>
  <c r="BY69" i="24"/>
  <c r="BW69" i="24"/>
  <c r="BV69" i="24"/>
  <c r="BU69" i="24"/>
  <c r="BT69" i="24"/>
  <c r="BS69" i="24"/>
  <c r="BQ69" i="24"/>
  <c r="BN69" i="24"/>
  <c r="BM69" i="24"/>
  <c r="BL69" i="24"/>
  <c r="BI69" i="24"/>
  <c r="BH69" i="24"/>
  <c r="BG69" i="24"/>
  <c r="BF69" i="24"/>
  <c r="BE69" i="24"/>
  <c r="BC69" i="24"/>
  <c r="BB69" i="24"/>
  <c r="BA69" i="24"/>
  <c r="AZ69" i="24"/>
  <c r="AX69" i="24"/>
  <c r="AW69" i="24"/>
  <c r="AV69" i="24"/>
  <c r="AU69" i="24"/>
  <c r="AT69" i="24"/>
  <c r="AS69" i="24"/>
  <c r="AQ69" i="24"/>
  <c r="AP69" i="24"/>
  <c r="AO69" i="24"/>
  <c r="AN69" i="24"/>
  <c r="AM69" i="24"/>
  <c r="AL69" i="24"/>
  <c r="AK69" i="24"/>
  <c r="AJ69" i="24"/>
  <c r="AI69" i="24"/>
  <c r="AH69" i="24"/>
  <c r="AF69" i="24"/>
  <c r="AE69" i="24"/>
  <c r="AD69" i="24"/>
  <c r="AC69" i="24"/>
  <c r="AB69" i="24"/>
  <c r="AA69" i="24"/>
  <c r="Z69" i="24"/>
  <c r="X69" i="24"/>
  <c r="W69" i="24"/>
  <c r="V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I366" i="34" s="1"/>
  <c r="CE63" i="24"/>
  <c r="I365" i="34" s="1"/>
  <c r="CE60" i="24"/>
  <c r="H612" i="24" s="1"/>
  <c r="B53" i="24"/>
  <c r="CE51" i="24"/>
  <c r="B49" i="24"/>
  <c r="CE47" i="24"/>
  <c r="AC61" i="31" l="1"/>
  <c r="BJ69" i="24"/>
  <c r="AR69" i="24"/>
  <c r="AC43" i="31"/>
  <c r="AC55" i="31"/>
  <c r="AC75" i="31"/>
  <c r="AC66" i="31"/>
  <c r="U69" i="24"/>
  <c r="G83" i="34" s="1"/>
  <c r="CE61" i="24"/>
  <c r="I363" i="34" s="1"/>
  <c r="AC24" i="31"/>
  <c r="Y69" i="24"/>
  <c r="AC32" i="31"/>
  <c r="AG69" i="24"/>
  <c r="BK69" i="24"/>
  <c r="O62" i="31" s="1"/>
  <c r="BP69" i="24"/>
  <c r="E307" i="34" s="1"/>
  <c r="AC67" i="31"/>
  <c r="AY69" i="24"/>
  <c r="Z62" i="31"/>
  <c r="AY83" i="24"/>
  <c r="AC50" i="31" s="1"/>
  <c r="BK83" i="24"/>
  <c r="AC62" i="31" s="1"/>
  <c r="BR69" i="24"/>
  <c r="F36" i="15"/>
  <c r="I171" i="34"/>
  <c r="F33" i="15"/>
  <c r="Z50" i="31"/>
  <c r="F37" i="15"/>
  <c r="F39" i="15"/>
  <c r="F65" i="15"/>
  <c r="F18" i="15"/>
  <c r="F23" i="15"/>
  <c r="H55" i="15"/>
  <c r="I55" i="15" s="1"/>
  <c r="G10" i="4"/>
  <c r="F27" i="15"/>
  <c r="F29" i="15"/>
  <c r="F15" i="15"/>
  <c r="F24" i="15"/>
  <c r="H46" i="15"/>
  <c r="I46" i="15" s="1"/>
  <c r="BM2" i="30"/>
  <c r="C112" i="8"/>
  <c r="D11" i="7"/>
  <c r="F56" i="15"/>
  <c r="F26" i="15"/>
  <c r="F43" i="15"/>
  <c r="H47" i="15"/>
  <c r="I47" i="15" s="1"/>
  <c r="H52" i="15"/>
  <c r="I52" i="15" s="1"/>
  <c r="F69" i="15"/>
  <c r="H57" i="15"/>
  <c r="I57" i="15" s="1"/>
  <c r="F28" i="15"/>
  <c r="F49" i="15"/>
  <c r="F34" i="15"/>
  <c r="D258" i="24"/>
  <c r="D27" i="7" s="1"/>
  <c r="CF90" i="24"/>
  <c r="BC52" i="24" s="1"/>
  <c r="BC67" i="24" s="1"/>
  <c r="O48" i="24"/>
  <c r="O62" i="24" s="1"/>
  <c r="H44" i="34" s="1"/>
  <c r="F48" i="24"/>
  <c r="F62" i="24" s="1"/>
  <c r="BF48" i="24"/>
  <c r="BF62" i="24" s="1"/>
  <c r="H57" i="31" s="1"/>
  <c r="BW48" i="24"/>
  <c r="BW62" i="24" s="1"/>
  <c r="H74" i="31" s="1"/>
  <c r="AM48" i="24"/>
  <c r="AM62" i="24" s="1"/>
  <c r="D172" i="34" s="1"/>
  <c r="AN48" i="24"/>
  <c r="AN62" i="24" s="1"/>
  <c r="H39" i="31" s="1"/>
  <c r="AO48" i="24"/>
  <c r="AO62" i="24" s="1"/>
  <c r="AU48" i="24"/>
  <c r="AU62" i="24" s="1"/>
  <c r="E204" i="34" s="1"/>
  <c r="AV48" i="24"/>
  <c r="AV62" i="24" s="1"/>
  <c r="G48" i="24"/>
  <c r="G62" i="24" s="1"/>
  <c r="G12" i="34" s="1"/>
  <c r="BJ48" i="24"/>
  <c r="BJ62" i="24" s="1"/>
  <c r="H61" i="31" s="1"/>
  <c r="I48" i="24"/>
  <c r="I62" i="24" s="1"/>
  <c r="H8" i="31" s="1"/>
  <c r="BL48" i="24"/>
  <c r="BL62" i="24" s="1"/>
  <c r="H268" i="34" s="1"/>
  <c r="J48" i="24"/>
  <c r="J62" i="24" s="1"/>
  <c r="C44" i="34" s="1"/>
  <c r="BR48" i="24"/>
  <c r="BR62" i="24" s="1"/>
  <c r="N48" i="24"/>
  <c r="N62" i="24" s="1"/>
  <c r="H13" i="31" s="1"/>
  <c r="BS48" i="24"/>
  <c r="BS62" i="24" s="1"/>
  <c r="H70" i="31" s="1"/>
  <c r="U48" i="24"/>
  <c r="U62" i="24" s="1"/>
  <c r="G76" i="34" s="1"/>
  <c r="CB48" i="24"/>
  <c r="CB62" i="24" s="1"/>
  <c r="H79" i="31" s="1"/>
  <c r="AE48" i="24"/>
  <c r="AE62" i="24" s="1"/>
  <c r="V48" i="24"/>
  <c r="V62" i="24" s="1"/>
  <c r="H21" i="31" s="1"/>
  <c r="AF48" i="24"/>
  <c r="AF62" i="24" s="1"/>
  <c r="D140" i="34" s="1"/>
  <c r="AL48" i="24"/>
  <c r="AL62" i="24" s="1"/>
  <c r="H48" i="24"/>
  <c r="H62" i="24" s="1"/>
  <c r="H7" i="31" s="1"/>
  <c r="AK48" i="24"/>
  <c r="AK62" i="24" s="1"/>
  <c r="I140" i="34" s="1"/>
  <c r="BK48" i="24"/>
  <c r="BK62" i="24" s="1"/>
  <c r="G268" i="34" s="1"/>
  <c r="BQ48" i="24"/>
  <c r="BQ62" i="24" s="1"/>
  <c r="H68" i="31" s="1"/>
  <c r="AP48" i="24"/>
  <c r="AP62" i="24" s="1"/>
  <c r="H41" i="31" s="1"/>
  <c r="BT48" i="24"/>
  <c r="BT62" i="24" s="1"/>
  <c r="P48" i="24"/>
  <c r="P62" i="24" s="1"/>
  <c r="T48" i="24"/>
  <c r="T62" i="24" s="1"/>
  <c r="AT48" i="24"/>
  <c r="AT62" i="24" s="1"/>
  <c r="D204" i="34" s="1"/>
  <c r="BU48" i="24"/>
  <c r="BU62" i="24" s="1"/>
  <c r="H72" i="31" s="1"/>
  <c r="W48" i="24"/>
  <c r="W62" i="24" s="1"/>
  <c r="BA48" i="24"/>
  <c r="BA62" i="24" s="1"/>
  <c r="D236" i="34" s="1"/>
  <c r="CC48" i="24"/>
  <c r="CC62" i="24" s="1"/>
  <c r="X48" i="24"/>
  <c r="X62" i="24" s="1"/>
  <c r="H23" i="31" s="1"/>
  <c r="BB48" i="24"/>
  <c r="BB62" i="24" s="1"/>
  <c r="E236" i="34" s="1"/>
  <c r="BC48" i="24"/>
  <c r="BC62" i="24" s="1"/>
  <c r="Y48" i="24"/>
  <c r="Y62" i="24" s="1"/>
  <c r="D108" i="34" s="1"/>
  <c r="D48" i="24"/>
  <c r="D62" i="24" s="1"/>
  <c r="H3" i="31" s="1"/>
  <c r="Z48" i="24"/>
  <c r="Z62" i="24" s="1"/>
  <c r="H25" i="31" s="1"/>
  <c r="BD48" i="24"/>
  <c r="BD62" i="24" s="1"/>
  <c r="H55" i="31" s="1"/>
  <c r="E48" i="24"/>
  <c r="E62" i="24" s="1"/>
  <c r="H4" i="31" s="1"/>
  <c r="AD48" i="24"/>
  <c r="AD62" i="24" s="1"/>
  <c r="H29" i="31" s="1"/>
  <c r="BE48" i="24"/>
  <c r="BE62" i="24" s="1"/>
  <c r="K48" i="24"/>
  <c r="K62" i="24" s="1"/>
  <c r="H10" i="31" s="1"/>
  <c r="AA48" i="24"/>
  <c r="AA62" i="24" s="1"/>
  <c r="H26" i="31" s="1"/>
  <c r="AQ48" i="24"/>
  <c r="AQ62" i="24" s="1"/>
  <c r="H172" i="34" s="1"/>
  <c r="BG48" i="24"/>
  <c r="BG62" i="24" s="1"/>
  <c r="BX48" i="24"/>
  <c r="BX62" i="24" s="1"/>
  <c r="BY48" i="24"/>
  <c r="BY62" i="24" s="1"/>
  <c r="G332" i="34" s="1"/>
  <c r="L48" i="24"/>
  <c r="L62" i="24" s="1"/>
  <c r="H11" i="31" s="1"/>
  <c r="AB48" i="24"/>
  <c r="AB62" i="24" s="1"/>
  <c r="G108" i="34" s="1"/>
  <c r="AR48" i="24"/>
  <c r="AR62" i="24" s="1"/>
  <c r="BH48" i="24"/>
  <c r="BH62" i="24" s="1"/>
  <c r="M48" i="24"/>
  <c r="M62" i="24" s="1"/>
  <c r="F44" i="34" s="1"/>
  <c r="AC48" i="24"/>
  <c r="AC62" i="24" s="1"/>
  <c r="H108" i="34" s="1"/>
  <c r="AS48" i="24"/>
  <c r="AS62" i="24" s="1"/>
  <c r="H44" i="31" s="1"/>
  <c r="BI48" i="24"/>
  <c r="BI62" i="24" s="1"/>
  <c r="BZ48" i="24"/>
  <c r="BZ62" i="24" s="1"/>
  <c r="CA48" i="24"/>
  <c r="CA62" i="24" s="1"/>
  <c r="I332" i="34" s="1"/>
  <c r="Q48" i="24"/>
  <c r="Q62" i="24" s="1"/>
  <c r="AW48" i="24"/>
  <c r="AW62" i="24" s="1"/>
  <c r="H48" i="31" s="1"/>
  <c r="BM48" i="24"/>
  <c r="BM62" i="24" s="1"/>
  <c r="I268" i="34" s="1"/>
  <c r="AX48" i="24"/>
  <c r="AX62" i="24" s="1"/>
  <c r="AG48" i="24"/>
  <c r="AG62" i="24" s="1"/>
  <c r="H32" i="31" s="1"/>
  <c r="R48" i="24"/>
  <c r="R62" i="24" s="1"/>
  <c r="H17" i="31" s="1"/>
  <c r="AH48" i="24"/>
  <c r="AH62" i="24" s="1"/>
  <c r="F140" i="34" s="1"/>
  <c r="BN48" i="24"/>
  <c r="BN62" i="24" s="1"/>
  <c r="H65" i="31" s="1"/>
  <c r="C48" i="24"/>
  <c r="C62" i="24" s="1"/>
  <c r="S48" i="24"/>
  <c r="S62" i="24" s="1"/>
  <c r="AI48" i="24"/>
  <c r="AI62" i="24" s="1"/>
  <c r="H34" i="31" s="1"/>
  <c r="AY48" i="24"/>
  <c r="AY62" i="24" s="1"/>
  <c r="H50" i="31" s="1"/>
  <c r="BO48" i="24"/>
  <c r="BO62" i="24" s="1"/>
  <c r="AJ48" i="24"/>
  <c r="AJ62" i="24" s="1"/>
  <c r="AZ48" i="24"/>
  <c r="AZ62" i="24" s="1"/>
  <c r="H51" i="31" s="1"/>
  <c r="BP48" i="24"/>
  <c r="BP62" i="24" s="1"/>
  <c r="E300" i="34" s="1"/>
  <c r="BV48" i="24"/>
  <c r="BV62" i="24" s="1"/>
  <c r="H73" i="31" s="1"/>
  <c r="CD48" i="24"/>
  <c r="H42" i="15"/>
  <c r="I42" i="15" s="1"/>
  <c r="H51" i="15"/>
  <c r="I51" i="15" s="1"/>
  <c r="H58" i="15"/>
  <c r="I58" i="15" s="1"/>
  <c r="F38" i="15"/>
  <c r="E220" i="24"/>
  <c r="F16" i="6" s="1"/>
  <c r="F19" i="15"/>
  <c r="C615" i="24"/>
  <c r="G28" i="4"/>
  <c r="F48" i="15"/>
  <c r="H59" i="15"/>
  <c r="I59" i="15" s="1"/>
  <c r="F35" i="15"/>
  <c r="F25" i="15"/>
  <c r="F30" i="15"/>
  <c r="H44" i="15"/>
  <c r="I44" i="15" s="1"/>
  <c r="D308" i="24"/>
  <c r="D352" i="24" s="1"/>
  <c r="C103" i="8" s="1"/>
  <c r="F45" i="15"/>
  <c r="F22" i="15"/>
  <c r="F41" i="15"/>
  <c r="F50" i="15"/>
  <c r="H53" i="15"/>
  <c r="I53" i="15" s="1"/>
  <c r="F63" i="15"/>
  <c r="E154" i="34"/>
  <c r="O8" i="31"/>
  <c r="I19" i="34"/>
  <c r="O16" i="31"/>
  <c r="C83" i="34"/>
  <c r="O24" i="31"/>
  <c r="D115" i="34"/>
  <c r="O32" i="31"/>
  <c r="E147" i="34"/>
  <c r="O40" i="31"/>
  <c r="F179" i="34"/>
  <c r="O48" i="31"/>
  <c r="G211" i="34"/>
  <c r="O56" i="31"/>
  <c r="H243" i="34"/>
  <c r="O64" i="31"/>
  <c r="I275" i="34"/>
  <c r="O72" i="31"/>
  <c r="C339" i="34"/>
  <c r="O80" i="31"/>
  <c r="D371" i="34"/>
  <c r="C68" i="8"/>
  <c r="I612" i="24"/>
  <c r="H21" i="15"/>
  <c r="I21" i="15" s="1"/>
  <c r="F21" i="15"/>
  <c r="C85" i="8"/>
  <c r="D341" i="24"/>
  <c r="C87" i="8" s="1"/>
  <c r="E19" i="4"/>
  <c r="G19" i="4"/>
  <c r="AE18" i="31"/>
  <c r="E90" i="34"/>
  <c r="E233" i="24"/>
  <c r="F32" i="6" s="1"/>
  <c r="AE3" i="31"/>
  <c r="D26" i="34"/>
  <c r="AE11" i="31"/>
  <c r="E58" i="34"/>
  <c r="AE19" i="31"/>
  <c r="F90" i="34"/>
  <c r="AE27" i="31"/>
  <c r="G122" i="34"/>
  <c r="AE35" i="31"/>
  <c r="H154" i="34"/>
  <c r="AE43" i="31"/>
  <c r="I186" i="34"/>
  <c r="CF91" i="24"/>
  <c r="D416" i="24"/>
  <c r="O21" i="31"/>
  <c r="H83" i="34"/>
  <c r="O45" i="31"/>
  <c r="D211" i="34"/>
  <c r="O69" i="31"/>
  <c r="G307" i="34"/>
  <c r="O77" i="31"/>
  <c r="H339" i="34"/>
  <c r="AE4" i="31"/>
  <c r="E26" i="34"/>
  <c r="AE12" i="31"/>
  <c r="F58" i="34"/>
  <c r="AE20" i="31"/>
  <c r="G90" i="34"/>
  <c r="AE44" i="31"/>
  <c r="C218" i="34"/>
  <c r="C113" i="8"/>
  <c r="DF2" i="30"/>
  <c r="C170" i="8"/>
  <c r="AE2" i="31"/>
  <c r="C26" i="34"/>
  <c r="CE89" i="24"/>
  <c r="AE42" i="31"/>
  <c r="H186" i="34"/>
  <c r="O5" i="31"/>
  <c r="F19" i="34"/>
  <c r="O29" i="31"/>
  <c r="I115" i="34"/>
  <c r="O53" i="31"/>
  <c r="E243" i="34"/>
  <c r="AE28" i="31"/>
  <c r="H122" i="34"/>
  <c r="O6" i="31"/>
  <c r="G19" i="34"/>
  <c r="O14" i="31"/>
  <c r="H51" i="34"/>
  <c r="O22" i="31"/>
  <c r="I83" i="34"/>
  <c r="O30" i="31"/>
  <c r="C147" i="34"/>
  <c r="O38" i="31"/>
  <c r="D179" i="34"/>
  <c r="O46" i="31"/>
  <c r="E211" i="34"/>
  <c r="O54" i="31"/>
  <c r="F243" i="34"/>
  <c r="G275" i="34"/>
  <c r="O70" i="31"/>
  <c r="H307" i="34"/>
  <c r="O78" i="31"/>
  <c r="I339" i="34"/>
  <c r="AE5" i="31"/>
  <c r="F26" i="34"/>
  <c r="AE13" i="31"/>
  <c r="G58" i="34"/>
  <c r="AE21" i="31"/>
  <c r="H90" i="34"/>
  <c r="AE29" i="31"/>
  <c r="I122" i="34"/>
  <c r="AE37" i="31"/>
  <c r="C186" i="34"/>
  <c r="AE45" i="31"/>
  <c r="D218" i="34"/>
  <c r="F612" i="24"/>
  <c r="AE10" i="31"/>
  <c r="D58" i="34"/>
  <c r="AE26" i="31"/>
  <c r="F122" i="34"/>
  <c r="AE34" i="31"/>
  <c r="G154" i="34"/>
  <c r="O13" i="31"/>
  <c r="G51" i="34"/>
  <c r="O37" i="31"/>
  <c r="C179" i="34"/>
  <c r="O61" i="31"/>
  <c r="F275" i="34"/>
  <c r="AE36" i="31"/>
  <c r="I154" i="34"/>
  <c r="O7" i="31"/>
  <c r="H19" i="34"/>
  <c r="O15" i="31"/>
  <c r="I51" i="34"/>
  <c r="O23" i="31"/>
  <c r="C115" i="34"/>
  <c r="O31" i="31"/>
  <c r="D147" i="34"/>
  <c r="O39" i="31"/>
  <c r="E179" i="34"/>
  <c r="O47" i="31"/>
  <c r="F211" i="34"/>
  <c r="O55" i="31"/>
  <c r="G243" i="34"/>
  <c r="O63" i="31"/>
  <c r="H275" i="34"/>
  <c r="O71" i="31"/>
  <c r="I307" i="34"/>
  <c r="O79" i="31"/>
  <c r="C371" i="34"/>
  <c r="D367" i="24"/>
  <c r="G612" i="24"/>
  <c r="F24" i="6"/>
  <c r="F17" i="15"/>
  <c r="O9" i="31"/>
  <c r="C51" i="34"/>
  <c r="O17" i="31"/>
  <c r="D83" i="34"/>
  <c r="O25" i="31"/>
  <c r="E115" i="34"/>
  <c r="O33" i="31"/>
  <c r="F147" i="34"/>
  <c r="O41" i="31"/>
  <c r="G179" i="34"/>
  <c r="O49" i="31"/>
  <c r="H211" i="34"/>
  <c r="O57" i="31"/>
  <c r="I243" i="34"/>
  <c r="O65" i="31"/>
  <c r="C307" i="34"/>
  <c r="O73" i="31"/>
  <c r="D339" i="34"/>
  <c r="CD85" i="24"/>
  <c r="AE6" i="31"/>
  <c r="G26" i="34"/>
  <c r="AE14" i="31"/>
  <c r="H58" i="34"/>
  <c r="AE22" i="31"/>
  <c r="I90" i="34"/>
  <c r="AE30" i="31"/>
  <c r="C154" i="34"/>
  <c r="AE38" i="31"/>
  <c r="D186" i="34"/>
  <c r="AE46" i="31"/>
  <c r="E218" i="34"/>
  <c r="J612" i="24"/>
  <c r="F64" i="15"/>
  <c r="O2" i="31"/>
  <c r="C19" i="34"/>
  <c r="O10" i="31"/>
  <c r="D51" i="34"/>
  <c r="O18" i="31"/>
  <c r="E83" i="34"/>
  <c r="O26" i="31"/>
  <c r="F115" i="34"/>
  <c r="O34" i="31"/>
  <c r="G147" i="34"/>
  <c r="O42" i="31"/>
  <c r="H179" i="34"/>
  <c r="O50" i="31"/>
  <c r="I211" i="34"/>
  <c r="O58" i="31"/>
  <c r="C275" i="34"/>
  <c r="O66" i="31"/>
  <c r="D307" i="34"/>
  <c r="O74" i="31"/>
  <c r="E339" i="34"/>
  <c r="AE7" i="31"/>
  <c r="H26" i="34"/>
  <c r="AE15" i="31"/>
  <c r="I58" i="34"/>
  <c r="AE23" i="31"/>
  <c r="C122" i="34"/>
  <c r="AE31" i="31"/>
  <c r="D154" i="34"/>
  <c r="AE39" i="31"/>
  <c r="E186" i="34"/>
  <c r="AE47" i="31"/>
  <c r="F218" i="34"/>
  <c r="CF2" i="36"/>
  <c r="D5" i="7"/>
  <c r="D383" i="24"/>
  <c r="H16" i="15"/>
  <c r="I16" i="15" s="1"/>
  <c r="F16" i="15"/>
  <c r="BK2" i="30"/>
  <c r="I362" i="34"/>
  <c r="O3" i="31"/>
  <c r="D19" i="34"/>
  <c r="O11" i="31"/>
  <c r="E51" i="34"/>
  <c r="O19" i="31"/>
  <c r="F83" i="34"/>
  <c r="O27" i="31"/>
  <c r="G115" i="34"/>
  <c r="O35" i="31"/>
  <c r="H147" i="34"/>
  <c r="O43" i="31"/>
  <c r="I179" i="34"/>
  <c r="O51" i="31"/>
  <c r="C243" i="34"/>
  <c r="O59" i="31"/>
  <c r="D275" i="34"/>
  <c r="O67" i="31"/>
  <c r="O75" i="31"/>
  <c r="F339" i="34"/>
  <c r="AE8" i="31"/>
  <c r="I26" i="34"/>
  <c r="AE16" i="31"/>
  <c r="C90" i="34"/>
  <c r="AE24" i="31"/>
  <c r="D122" i="34"/>
  <c r="AE40" i="31"/>
  <c r="F186" i="34"/>
  <c r="D612" i="24"/>
  <c r="L612" i="24"/>
  <c r="O4" i="31"/>
  <c r="E19" i="34"/>
  <c r="O12" i="31"/>
  <c r="F51" i="34"/>
  <c r="O20" i="31"/>
  <c r="O28" i="31"/>
  <c r="H115" i="34"/>
  <c r="O36" i="31"/>
  <c r="I147" i="34"/>
  <c r="O44" i="31"/>
  <c r="C211" i="34"/>
  <c r="O52" i="31"/>
  <c r="D243" i="34"/>
  <c r="O60" i="31"/>
  <c r="E275" i="34"/>
  <c r="O68" i="31"/>
  <c r="F307" i="34"/>
  <c r="O76" i="31"/>
  <c r="G339" i="34"/>
  <c r="AE9" i="31"/>
  <c r="C58" i="34"/>
  <c r="AE17" i="31"/>
  <c r="D90" i="34"/>
  <c r="AE25" i="31"/>
  <c r="E122" i="34"/>
  <c r="AE33" i="31"/>
  <c r="F154" i="34"/>
  <c r="AE41" i="31"/>
  <c r="G186" i="34"/>
  <c r="H20" i="15"/>
  <c r="I20" i="15" s="1"/>
  <c r="F20" i="15"/>
  <c r="C649" i="25"/>
  <c r="M717" i="25" s="1"/>
  <c r="C716" i="25"/>
  <c r="D616" i="25"/>
  <c r="CE83" i="24" l="1"/>
  <c r="CE69" i="24" s="1"/>
  <c r="I371" i="34" s="1"/>
  <c r="G52" i="24"/>
  <c r="G67" i="24" s="1"/>
  <c r="M6" i="31" s="1"/>
  <c r="F52" i="24"/>
  <c r="F67" i="24" s="1"/>
  <c r="M5" i="31" s="1"/>
  <c r="AM52" i="24"/>
  <c r="AM67" i="24" s="1"/>
  <c r="M38" i="31" s="1"/>
  <c r="W52" i="24"/>
  <c r="W67" i="24" s="1"/>
  <c r="I81" i="34" s="1"/>
  <c r="BN52" i="24"/>
  <c r="BN67" i="24" s="1"/>
  <c r="C305" i="34" s="1"/>
  <c r="AL52" i="24"/>
  <c r="AL67" i="24" s="1"/>
  <c r="C177" i="34" s="1"/>
  <c r="AX52" i="24"/>
  <c r="AX67" i="24" s="1"/>
  <c r="M49" i="31" s="1"/>
  <c r="CB52" i="24"/>
  <c r="CB67" i="24" s="1"/>
  <c r="M79" i="31" s="1"/>
  <c r="AV52" i="24"/>
  <c r="AV67" i="24" s="1"/>
  <c r="M47" i="31" s="1"/>
  <c r="CD52" i="24"/>
  <c r="AF52" i="24"/>
  <c r="AF67" i="24" s="1"/>
  <c r="D145" i="34" s="1"/>
  <c r="CA52" i="24"/>
  <c r="CA67" i="24" s="1"/>
  <c r="I337" i="34" s="1"/>
  <c r="H24" i="31"/>
  <c r="H46" i="31"/>
  <c r="H12" i="34"/>
  <c r="AA52" i="24"/>
  <c r="AA67" i="24" s="1"/>
  <c r="F113" i="34" s="1"/>
  <c r="H38" i="31"/>
  <c r="H31" i="31"/>
  <c r="H76" i="34"/>
  <c r="E172" i="34"/>
  <c r="C108" i="34"/>
  <c r="F85" i="24"/>
  <c r="F21" i="34" s="1"/>
  <c r="H209" i="34"/>
  <c r="AU52" i="24"/>
  <c r="AU67" i="24" s="1"/>
  <c r="M46" i="31" s="1"/>
  <c r="F17" i="34"/>
  <c r="K52" i="24"/>
  <c r="K67" i="24" s="1"/>
  <c r="D49" i="34" s="1"/>
  <c r="AO52" i="24"/>
  <c r="AO67" i="24" s="1"/>
  <c r="AO85" i="24" s="1"/>
  <c r="F181" i="34" s="1"/>
  <c r="Y52" i="24"/>
  <c r="Y67" i="24" s="1"/>
  <c r="M24" i="31" s="1"/>
  <c r="D52" i="24"/>
  <c r="D67" i="24" s="1"/>
  <c r="M3" i="31" s="1"/>
  <c r="C369" i="34"/>
  <c r="BA52" i="24"/>
  <c r="BA67" i="24" s="1"/>
  <c r="BA85" i="24" s="1"/>
  <c r="BM52" i="24"/>
  <c r="BM67" i="24" s="1"/>
  <c r="BM85" i="24" s="1"/>
  <c r="C77" i="15" s="1"/>
  <c r="G77" i="15" s="1"/>
  <c r="BZ52" i="24"/>
  <c r="BZ67" i="24" s="1"/>
  <c r="H337" i="34" s="1"/>
  <c r="AJ52" i="24"/>
  <c r="AJ67" i="24" s="1"/>
  <c r="E52" i="24"/>
  <c r="E67" i="24" s="1"/>
  <c r="M4" i="31" s="1"/>
  <c r="Q52" i="24"/>
  <c r="Q67" i="24" s="1"/>
  <c r="M16" i="31" s="1"/>
  <c r="AD52" i="24"/>
  <c r="AD67" i="24" s="1"/>
  <c r="I113" i="34" s="1"/>
  <c r="BF52" i="24"/>
  <c r="BF67" i="24" s="1"/>
  <c r="I241" i="34" s="1"/>
  <c r="O52" i="24"/>
  <c r="O67" i="24" s="1"/>
  <c r="H49" i="34" s="1"/>
  <c r="BL52" i="24"/>
  <c r="BL67" i="24" s="1"/>
  <c r="M63" i="31" s="1"/>
  <c r="BX52" i="24"/>
  <c r="BX67" i="24" s="1"/>
  <c r="BX85" i="24" s="1"/>
  <c r="AP52" i="24"/>
  <c r="AP67" i="24" s="1"/>
  <c r="M41" i="31" s="1"/>
  <c r="AH52" i="24"/>
  <c r="AH67" i="24" s="1"/>
  <c r="F145" i="34" s="1"/>
  <c r="P52" i="24"/>
  <c r="P67" i="24" s="1"/>
  <c r="M15" i="31" s="1"/>
  <c r="BH52" i="24"/>
  <c r="BH67" i="24" s="1"/>
  <c r="M59" i="31" s="1"/>
  <c r="Z52" i="24"/>
  <c r="Z67" i="24" s="1"/>
  <c r="Z85" i="24" s="1"/>
  <c r="C38" i="15" s="1"/>
  <c r="G38" i="15" s="1"/>
  <c r="BK52" i="24"/>
  <c r="BK67" i="24" s="1"/>
  <c r="M62" i="31" s="1"/>
  <c r="AR52" i="24"/>
  <c r="AR67" i="24" s="1"/>
  <c r="J52" i="24"/>
  <c r="J67" i="24" s="1"/>
  <c r="M9" i="31" s="1"/>
  <c r="AE52" i="24"/>
  <c r="AE67" i="24" s="1"/>
  <c r="AE85" i="24" s="1"/>
  <c r="C43" i="15" s="1"/>
  <c r="AB52" i="24"/>
  <c r="AB67" i="24" s="1"/>
  <c r="AB85" i="24" s="1"/>
  <c r="C693" i="24" s="1"/>
  <c r="U52" i="24"/>
  <c r="U67" i="24" s="1"/>
  <c r="BJ52" i="24"/>
  <c r="BJ67" i="24" s="1"/>
  <c r="BJ85" i="24" s="1"/>
  <c r="F277" i="34" s="1"/>
  <c r="L52" i="24"/>
  <c r="L67" i="24" s="1"/>
  <c r="L85" i="24" s="1"/>
  <c r="C677" i="24" s="1"/>
  <c r="AZ52" i="24"/>
  <c r="AZ67" i="24" s="1"/>
  <c r="M51" i="31" s="1"/>
  <c r="N52" i="24"/>
  <c r="N67" i="24" s="1"/>
  <c r="M13" i="31" s="1"/>
  <c r="BW52" i="24"/>
  <c r="BW67" i="24" s="1"/>
  <c r="M74" i="31" s="1"/>
  <c r="BD52" i="24"/>
  <c r="BD67" i="24" s="1"/>
  <c r="BD85" i="24" s="1"/>
  <c r="G245" i="34" s="1"/>
  <c r="CC52" i="24"/>
  <c r="CC67" i="24" s="1"/>
  <c r="AQ52" i="24"/>
  <c r="AQ67" i="24" s="1"/>
  <c r="H177" i="34" s="1"/>
  <c r="AN52" i="24"/>
  <c r="AN67" i="24" s="1"/>
  <c r="H6" i="31"/>
  <c r="F300" i="34"/>
  <c r="H53" i="31"/>
  <c r="F12" i="34"/>
  <c r="H75" i="31"/>
  <c r="H5" i="31"/>
  <c r="E140" i="34"/>
  <c r="H52" i="31"/>
  <c r="I236" i="34"/>
  <c r="G44" i="34"/>
  <c r="H45" i="31"/>
  <c r="C364" i="34"/>
  <c r="H33" i="31"/>
  <c r="H14" i="31"/>
  <c r="F332" i="34"/>
  <c r="I172" i="34"/>
  <c r="H28" i="31"/>
  <c r="M22" i="31"/>
  <c r="W85" i="24"/>
  <c r="I85" i="34" s="1"/>
  <c r="H27" i="31"/>
  <c r="BT52" i="24"/>
  <c r="BT67" i="24" s="1"/>
  <c r="BT85" i="24" s="1"/>
  <c r="C640" i="24" s="1"/>
  <c r="H36" i="31"/>
  <c r="X52" i="24"/>
  <c r="X67" i="24" s="1"/>
  <c r="H204" i="34"/>
  <c r="E332" i="34"/>
  <c r="I52" i="24"/>
  <c r="I67" i="24" s="1"/>
  <c r="H52" i="24"/>
  <c r="H67" i="24" s="1"/>
  <c r="M7" i="31" s="1"/>
  <c r="E44" i="34"/>
  <c r="R52" i="24"/>
  <c r="R67" i="24" s="1"/>
  <c r="M17" i="31" s="1"/>
  <c r="BI52" i="24"/>
  <c r="BI67" i="24" s="1"/>
  <c r="BR52" i="24"/>
  <c r="BR67" i="24" s="1"/>
  <c r="BS52" i="24"/>
  <c r="BS67" i="24" s="1"/>
  <c r="BS85" i="24" s="1"/>
  <c r="H309" i="34" s="1"/>
  <c r="C50" i="8"/>
  <c r="M54" i="31"/>
  <c r="F241" i="34"/>
  <c r="BV52" i="24"/>
  <c r="BV67" i="24" s="1"/>
  <c r="BV85" i="24" s="1"/>
  <c r="D341" i="34" s="1"/>
  <c r="S52" i="24"/>
  <c r="S67" i="24" s="1"/>
  <c r="AS52" i="24"/>
  <c r="AS67" i="24" s="1"/>
  <c r="M52" i="24"/>
  <c r="M67" i="24" s="1"/>
  <c r="M85" i="24" s="1"/>
  <c r="F53" i="34" s="1"/>
  <c r="AI52" i="24"/>
  <c r="AI67" i="24" s="1"/>
  <c r="AI85" i="24" s="1"/>
  <c r="G149" i="34" s="1"/>
  <c r="AC52" i="24"/>
  <c r="AC67" i="24" s="1"/>
  <c r="C52" i="24"/>
  <c r="BO52" i="24"/>
  <c r="BO67" i="24" s="1"/>
  <c r="BO85" i="24" s="1"/>
  <c r="AY52" i="24"/>
  <c r="AY67" i="24" s="1"/>
  <c r="AY85" i="24" s="1"/>
  <c r="C63" i="15" s="1"/>
  <c r="V52" i="24"/>
  <c r="V67" i="24" s="1"/>
  <c r="BE52" i="24"/>
  <c r="BE67" i="24" s="1"/>
  <c r="AK52" i="24"/>
  <c r="AK67" i="24" s="1"/>
  <c r="AK85" i="24" s="1"/>
  <c r="I149" i="34" s="1"/>
  <c r="G85" i="24"/>
  <c r="C19" i="15" s="1"/>
  <c r="G19" i="15" s="1"/>
  <c r="AW52" i="24"/>
  <c r="AW67" i="24" s="1"/>
  <c r="AT52" i="24"/>
  <c r="AT67" i="24" s="1"/>
  <c r="BG52" i="24"/>
  <c r="BG67" i="24" s="1"/>
  <c r="BG85" i="24" s="1"/>
  <c r="C277" i="34" s="1"/>
  <c r="BB52" i="24"/>
  <c r="BB67" i="24" s="1"/>
  <c r="BB85" i="24" s="1"/>
  <c r="E245" i="34" s="1"/>
  <c r="BP52" i="24"/>
  <c r="BP67" i="24" s="1"/>
  <c r="BP85" i="24" s="1"/>
  <c r="C80" i="15" s="1"/>
  <c r="G80" i="15" s="1"/>
  <c r="BC85" i="24"/>
  <c r="F245" i="34" s="1"/>
  <c r="AG52" i="24"/>
  <c r="AG67" i="24" s="1"/>
  <c r="BY52" i="24"/>
  <c r="BY67" i="24" s="1"/>
  <c r="BU52" i="24"/>
  <c r="BU67" i="24" s="1"/>
  <c r="BQ52" i="24"/>
  <c r="BQ67" i="24" s="1"/>
  <c r="BQ85" i="24" s="1"/>
  <c r="F309" i="34" s="1"/>
  <c r="T52" i="24"/>
  <c r="T67" i="24" s="1"/>
  <c r="T85" i="24" s="1"/>
  <c r="C32" i="15" s="1"/>
  <c r="G32" i="15" s="1"/>
  <c r="H12" i="31"/>
  <c r="H19" i="31"/>
  <c r="G300" i="34"/>
  <c r="D12" i="34"/>
  <c r="I204" i="34"/>
  <c r="F204" i="34"/>
  <c r="H47" i="31"/>
  <c r="E108" i="34"/>
  <c r="H236" i="34"/>
  <c r="H9" i="31"/>
  <c r="H62" i="31"/>
  <c r="H63" i="31"/>
  <c r="C300" i="34"/>
  <c r="I300" i="34"/>
  <c r="E12" i="34"/>
  <c r="C172" i="34"/>
  <c r="F172" i="34"/>
  <c r="H37" i="31"/>
  <c r="H40" i="31"/>
  <c r="F268" i="34"/>
  <c r="F236" i="34"/>
  <c r="H54" i="31"/>
  <c r="E268" i="34"/>
  <c r="H66" i="31"/>
  <c r="H60" i="31"/>
  <c r="D300" i="34"/>
  <c r="G172" i="34"/>
  <c r="G236" i="34"/>
  <c r="C76" i="34"/>
  <c r="H69" i="31"/>
  <c r="D268" i="34"/>
  <c r="H59" i="31"/>
  <c r="F76" i="34"/>
  <c r="E76" i="34"/>
  <c r="H18" i="31"/>
  <c r="H76" i="31"/>
  <c r="H56" i="31"/>
  <c r="H71" i="31"/>
  <c r="H300" i="34"/>
  <c r="D76" i="34"/>
  <c r="H35" i="31"/>
  <c r="D364" i="34"/>
  <c r="H140" i="34"/>
  <c r="C140" i="34"/>
  <c r="I12" i="34"/>
  <c r="H80" i="31"/>
  <c r="H30" i="31"/>
  <c r="I44" i="34"/>
  <c r="H15" i="31"/>
  <c r="H20" i="31"/>
  <c r="I108" i="34"/>
  <c r="C332" i="34"/>
  <c r="H58" i="31"/>
  <c r="H42" i="31"/>
  <c r="H49" i="31"/>
  <c r="H43" i="31"/>
  <c r="H16" i="31"/>
  <c r="I76" i="34"/>
  <c r="C268" i="34"/>
  <c r="H22" i="31"/>
  <c r="H64" i="31"/>
  <c r="C12" i="34"/>
  <c r="D332" i="34"/>
  <c r="F108" i="34"/>
  <c r="D44" i="34"/>
  <c r="H2" i="31"/>
  <c r="G204" i="34"/>
  <c r="CE62" i="24"/>
  <c r="I364" i="34" s="1"/>
  <c r="H67" i="31"/>
  <c r="G140" i="34"/>
  <c r="CE48" i="24"/>
  <c r="C236" i="34"/>
  <c r="H78" i="31"/>
  <c r="H332" i="34"/>
  <c r="H77" i="31"/>
  <c r="C204" i="34"/>
  <c r="I378" i="34"/>
  <c r="K612" i="24"/>
  <c r="C137" i="8"/>
  <c r="E380" i="24"/>
  <c r="D717" i="25"/>
  <c r="D708" i="25"/>
  <c r="D700" i="25"/>
  <c r="D713" i="25"/>
  <c r="D705" i="25"/>
  <c r="D710" i="25"/>
  <c r="D702" i="25"/>
  <c r="D707" i="25"/>
  <c r="D699" i="25"/>
  <c r="D711" i="25"/>
  <c r="D703" i="25"/>
  <c r="D698" i="25"/>
  <c r="D696" i="25"/>
  <c r="D688" i="25"/>
  <c r="D680" i="25"/>
  <c r="D672" i="25"/>
  <c r="D626" i="25"/>
  <c r="D706" i="25"/>
  <c r="D701" i="25"/>
  <c r="D693" i="25"/>
  <c r="D685" i="25"/>
  <c r="D677" i="25"/>
  <c r="D669" i="25"/>
  <c r="D629" i="25"/>
  <c r="D623" i="25"/>
  <c r="D704" i="25"/>
  <c r="D690" i="25"/>
  <c r="D682" i="25"/>
  <c r="D674" i="25"/>
  <c r="D714" i="25"/>
  <c r="D709" i="25"/>
  <c r="D695" i="25"/>
  <c r="D687" i="25"/>
  <c r="D679" i="25"/>
  <c r="D671" i="25"/>
  <c r="D648" i="25"/>
  <c r="D647" i="25"/>
  <c r="D646" i="25"/>
  <c r="D630" i="25"/>
  <c r="D627" i="25"/>
  <c r="D622" i="25"/>
  <c r="D618" i="25"/>
  <c r="D712" i="25"/>
  <c r="D692" i="25"/>
  <c r="D684" i="25"/>
  <c r="D694" i="25"/>
  <c r="D681" i="25"/>
  <c r="D673" i="25"/>
  <c r="D697" i="25"/>
  <c r="D645" i="25"/>
  <c r="D643" i="25"/>
  <c r="D641" i="25"/>
  <c r="D639" i="25"/>
  <c r="D637" i="25"/>
  <c r="D635" i="25"/>
  <c r="D633" i="25"/>
  <c r="D631" i="25"/>
  <c r="D617" i="25"/>
  <c r="D678" i="25"/>
  <c r="D670" i="25"/>
  <c r="D621" i="25"/>
  <c r="D625" i="25"/>
  <c r="D676" i="25"/>
  <c r="D691" i="25"/>
  <c r="D620" i="25"/>
  <c r="D675" i="25"/>
  <c r="D683" i="25"/>
  <c r="D642" i="25"/>
  <c r="D638" i="25"/>
  <c r="D634" i="25"/>
  <c r="D619" i="25"/>
  <c r="D624" i="25"/>
  <c r="D636" i="25"/>
  <c r="D640" i="25"/>
  <c r="D686" i="25"/>
  <c r="D628" i="25"/>
  <c r="D632" i="25"/>
  <c r="D689" i="25"/>
  <c r="D644" i="25"/>
  <c r="D12" i="33"/>
  <c r="C121" i="8"/>
  <c r="D384" i="24"/>
  <c r="D97" i="33"/>
  <c r="C167" i="8"/>
  <c r="E414" i="24"/>
  <c r="E373" i="34"/>
  <c r="C94" i="15"/>
  <c r="G94" i="15" s="1"/>
  <c r="D350" i="24"/>
  <c r="BZ85" i="24" l="1"/>
  <c r="H341" i="34" s="1"/>
  <c r="AM85" i="24"/>
  <c r="D181" i="34" s="1"/>
  <c r="D177" i="34"/>
  <c r="M65" i="31"/>
  <c r="M37" i="31"/>
  <c r="F209" i="34"/>
  <c r="BN85" i="24"/>
  <c r="C619" i="24" s="1"/>
  <c r="C81" i="34"/>
  <c r="M31" i="31"/>
  <c r="AX85" i="24"/>
  <c r="C616" i="24" s="1"/>
  <c r="CB85" i="24"/>
  <c r="C92" i="15" s="1"/>
  <c r="G92" i="15" s="1"/>
  <c r="M26" i="31"/>
  <c r="D241" i="34"/>
  <c r="AA85" i="24"/>
  <c r="C692" i="24" s="1"/>
  <c r="AV85" i="24"/>
  <c r="C60" i="15" s="1"/>
  <c r="M52" i="31"/>
  <c r="AL85" i="24"/>
  <c r="C181" i="34" s="1"/>
  <c r="CA85" i="24"/>
  <c r="C91" i="15" s="1"/>
  <c r="G91" i="15" s="1"/>
  <c r="AF85" i="24"/>
  <c r="C44" i="15" s="1"/>
  <c r="G44" i="15" s="1"/>
  <c r="M78" i="31"/>
  <c r="G17" i="34"/>
  <c r="H273" i="34"/>
  <c r="E337" i="34"/>
  <c r="C671" i="24"/>
  <c r="AP85" i="24"/>
  <c r="C707" i="24" s="1"/>
  <c r="BW85" i="24"/>
  <c r="C87" i="15" s="1"/>
  <c r="G87" i="15" s="1"/>
  <c r="C18" i="15"/>
  <c r="G18" i="15" s="1"/>
  <c r="Y85" i="24"/>
  <c r="D117" i="34" s="1"/>
  <c r="P85" i="24"/>
  <c r="I53" i="34" s="1"/>
  <c r="AH85" i="24"/>
  <c r="C699" i="24" s="1"/>
  <c r="C241" i="34"/>
  <c r="G177" i="34"/>
  <c r="M29" i="31"/>
  <c r="D113" i="34"/>
  <c r="K85" i="24"/>
  <c r="D53" i="34" s="1"/>
  <c r="BL85" i="24"/>
  <c r="C76" i="15" s="1"/>
  <c r="G76" i="15" s="1"/>
  <c r="D85" i="24"/>
  <c r="D21" i="34" s="1"/>
  <c r="M14" i="31"/>
  <c r="D17" i="34"/>
  <c r="M42" i="31"/>
  <c r="AU85" i="24"/>
  <c r="E213" i="34" s="1"/>
  <c r="AZ85" i="24"/>
  <c r="C64" i="15" s="1"/>
  <c r="H64" i="15" s="1"/>
  <c r="I64" i="15" s="1"/>
  <c r="C65" i="15"/>
  <c r="H65" i="15" s="1"/>
  <c r="I65" i="15" s="1"/>
  <c r="D245" i="34"/>
  <c r="C630" i="24"/>
  <c r="G49" i="34"/>
  <c r="I49" i="34"/>
  <c r="G273" i="34"/>
  <c r="M40" i="31"/>
  <c r="F177" i="34"/>
  <c r="E85" i="24"/>
  <c r="E21" i="34" s="1"/>
  <c r="E17" i="34"/>
  <c r="D273" i="34"/>
  <c r="R85" i="24"/>
  <c r="D85" i="34" s="1"/>
  <c r="M33" i="31"/>
  <c r="M77" i="31"/>
  <c r="M10" i="31"/>
  <c r="BH85" i="24"/>
  <c r="D277" i="34" s="1"/>
  <c r="C49" i="34"/>
  <c r="E209" i="34"/>
  <c r="C309" i="34"/>
  <c r="C706" i="24"/>
  <c r="F341" i="34"/>
  <c r="C644" i="24"/>
  <c r="C88" i="15"/>
  <c r="G88" i="15" s="1"/>
  <c r="C40" i="15"/>
  <c r="G40" i="15" s="1"/>
  <c r="M39" i="31"/>
  <c r="E177" i="34"/>
  <c r="AN85" i="24"/>
  <c r="M20" i="31"/>
  <c r="G81" i="34"/>
  <c r="M27" i="31"/>
  <c r="G113" i="34"/>
  <c r="M80" i="31"/>
  <c r="D369" i="34"/>
  <c r="M30" i="31"/>
  <c r="C145" i="34"/>
  <c r="M55" i="31"/>
  <c r="G241" i="34"/>
  <c r="G117" i="34"/>
  <c r="M43" i="31"/>
  <c r="I177" i="34"/>
  <c r="M35" i="31"/>
  <c r="H145" i="34"/>
  <c r="M75" i="31"/>
  <c r="F337" i="34"/>
  <c r="M57" i="31"/>
  <c r="Q85" i="24"/>
  <c r="C682" i="24" s="1"/>
  <c r="N85" i="24"/>
  <c r="G53" i="34" s="1"/>
  <c r="BF85" i="24"/>
  <c r="C629" i="24" s="1"/>
  <c r="AR85" i="24"/>
  <c r="M25" i="31"/>
  <c r="E113" i="34"/>
  <c r="I273" i="34"/>
  <c r="M64" i="31"/>
  <c r="AQ85" i="24"/>
  <c r="C55" i="15" s="1"/>
  <c r="G55" i="15" s="1"/>
  <c r="O85" i="24"/>
  <c r="C696" i="24"/>
  <c r="C149" i="34"/>
  <c r="U85" i="24"/>
  <c r="C686" i="24" s="1"/>
  <c r="C53" i="15"/>
  <c r="G53" i="15" s="1"/>
  <c r="AD85" i="24"/>
  <c r="I117" i="34" s="1"/>
  <c r="BK85" i="24"/>
  <c r="E49" i="34"/>
  <c r="M11" i="31"/>
  <c r="J85" i="24"/>
  <c r="C53" i="34" s="1"/>
  <c r="CC85" i="24"/>
  <c r="D373" i="34" s="1"/>
  <c r="AJ85" i="24"/>
  <c r="C48" i="15" s="1"/>
  <c r="G48" i="15" s="1"/>
  <c r="F273" i="34"/>
  <c r="M61" i="31"/>
  <c r="C617" i="24"/>
  <c r="C74" i="15"/>
  <c r="G74" i="15" s="1"/>
  <c r="C24" i="15"/>
  <c r="G24" i="15" s="1"/>
  <c r="E53" i="34"/>
  <c r="G21" i="34"/>
  <c r="C704" i="24"/>
  <c r="C51" i="15"/>
  <c r="G51" i="15" s="1"/>
  <c r="H17" i="34"/>
  <c r="I17" i="34"/>
  <c r="M8" i="31"/>
  <c r="M23" i="31"/>
  <c r="X85" i="24"/>
  <c r="C84" i="15"/>
  <c r="G84" i="15" s="1"/>
  <c r="H85" i="24"/>
  <c r="H21" i="34" s="1"/>
  <c r="M70" i="31"/>
  <c r="H305" i="34"/>
  <c r="M69" i="31"/>
  <c r="G305" i="34"/>
  <c r="BR85" i="24"/>
  <c r="M60" i="31"/>
  <c r="E273" i="34"/>
  <c r="C113" i="34"/>
  <c r="C688" i="24"/>
  <c r="C66" i="15"/>
  <c r="G66" i="15" s="1"/>
  <c r="BI85" i="24"/>
  <c r="C639" i="24"/>
  <c r="I85" i="24"/>
  <c r="I21" i="34" s="1"/>
  <c r="I309" i="34"/>
  <c r="C35" i="15"/>
  <c r="C83" i="15"/>
  <c r="G83" i="15" s="1"/>
  <c r="D81" i="34"/>
  <c r="C78" i="15"/>
  <c r="G78" i="15" s="1"/>
  <c r="M71" i="31"/>
  <c r="I305" i="34"/>
  <c r="D309" i="34"/>
  <c r="C627" i="24"/>
  <c r="C79" i="15"/>
  <c r="G79" i="15" s="1"/>
  <c r="M44" i="31"/>
  <c r="C209" i="34"/>
  <c r="C625" i="24"/>
  <c r="M18" i="31"/>
  <c r="E81" i="34"/>
  <c r="I213" i="34"/>
  <c r="C618" i="24"/>
  <c r="C702" i="24"/>
  <c r="C633" i="24"/>
  <c r="M19" i="31"/>
  <c r="F81" i="34"/>
  <c r="M50" i="31"/>
  <c r="I209" i="34"/>
  <c r="C646" i="24"/>
  <c r="M45" i="31"/>
  <c r="D209" i="34"/>
  <c r="C49" i="15"/>
  <c r="C685" i="24"/>
  <c r="C67" i="15"/>
  <c r="G67" i="15" s="1"/>
  <c r="F85" i="34"/>
  <c r="C71" i="15"/>
  <c r="G71" i="15" s="1"/>
  <c r="C90" i="15"/>
  <c r="G90" i="15" s="1"/>
  <c r="M72" i="31"/>
  <c r="C337" i="34"/>
  <c r="V85" i="24"/>
  <c r="H81" i="34"/>
  <c r="M21" i="31"/>
  <c r="S85" i="24"/>
  <c r="M68" i="31"/>
  <c r="F305" i="34"/>
  <c r="C672" i="24"/>
  <c r="M76" i="31"/>
  <c r="G337" i="34"/>
  <c r="BY85" i="24"/>
  <c r="M48" i="31"/>
  <c r="G209" i="34"/>
  <c r="BU85" i="24"/>
  <c r="C85" i="15" s="1"/>
  <c r="G85" i="15" s="1"/>
  <c r="E145" i="34"/>
  <c r="AG85" i="24"/>
  <c r="M32" i="31"/>
  <c r="M36" i="31"/>
  <c r="I145" i="34"/>
  <c r="M56" i="31"/>
  <c r="H241" i="34"/>
  <c r="BE85" i="24"/>
  <c r="AS85" i="24"/>
  <c r="C213" i="34" s="1"/>
  <c r="M67" i="31"/>
  <c r="E305" i="34"/>
  <c r="AC85" i="24"/>
  <c r="M28" i="31"/>
  <c r="H113" i="34"/>
  <c r="C623" i="24"/>
  <c r="C632" i="24"/>
  <c r="AT85" i="24"/>
  <c r="D213" i="34" s="1"/>
  <c r="E241" i="34"/>
  <c r="M53" i="31"/>
  <c r="M34" i="31"/>
  <c r="G145" i="34"/>
  <c r="M66" i="31"/>
  <c r="D305" i="34"/>
  <c r="C67" i="24"/>
  <c r="CE52" i="24"/>
  <c r="M73" i="31"/>
  <c r="D337" i="34"/>
  <c r="AW85" i="24"/>
  <c r="C631" i="24" s="1"/>
  <c r="M58" i="31"/>
  <c r="C273" i="34"/>
  <c r="M12" i="31"/>
  <c r="F49" i="34"/>
  <c r="C81" i="15"/>
  <c r="G81" i="15" s="1"/>
  <c r="C691" i="24"/>
  <c r="E117" i="34"/>
  <c r="C624" i="24"/>
  <c r="C621" i="24"/>
  <c r="E309" i="34"/>
  <c r="C678" i="24"/>
  <c r="C25" i="15"/>
  <c r="G25" i="15" s="1"/>
  <c r="C68" i="15"/>
  <c r="G68" i="15" s="1"/>
  <c r="C638" i="24"/>
  <c r="C47" i="15"/>
  <c r="G47" i="15" s="1"/>
  <c r="C642" i="24"/>
  <c r="C86" i="15"/>
  <c r="G86" i="15" s="1"/>
  <c r="C700" i="24"/>
  <c r="I277" i="34"/>
  <c r="G63" i="15"/>
  <c r="H63" i="15" s="1"/>
  <c r="G43" i="15"/>
  <c r="H43" i="15" s="1"/>
  <c r="I43" i="15" s="1"/>
  <c r="C138" i="8"/>
  <c r="D417" i="24"/>
  <c r="E613" i="25"/>
  <c r="D716" i="25"/>
  <c r="E624" i="25"/>
  <c r="C373" i="34" l="1"/>
  <c r="C622" i="24"/>
  <c r="C647" i="24"/>
  <c r="F213" i="34"/>
  <c r="C50" i="15"/>
  <c r="G50" i="15" s="1"/>
  <c r="C39" i="15"/>
  <c r="G39" i="15" s="1"/>
  <c r="F117" i="34"/>
  <c r="H213" i="34"/>
  <c r="C62" i="15"/>
  <c r="C697" i="24"/>
  <c r="C703" i="24"/>
  <c r="C713" i="24"/>
  <c r="I341" i="34"/>
  <c r="D149" i="34"/>
  <c r="G65" i="15"/>
  <c r="C681" i="24"/>
  <c r="C636" i="24"/>
  <c r="F149" i="34"/>
  <c r="C643" i="24"/>
  <c r="C28" i="15"/>
  <c r="E341" i="34"/>
  <c r="C54" i="15"/>
  <c r="G54" i="15" s="1"/>
  <c r="G181" i="34"/>
  <c r="H181" i="34"/>
  <c r="C37" i="15"/>
  <c r="G37" i="15" s="1"/>
  <c r="C669" i="24"/>
  <c r="C16" i="15"/>
  <c r="G16" i="15" s="1"/>
  <c r="C708" i="24"/>
  <c r="C46" i="15"/>
  <c r="G46" i="15" s="1"/>
  <c r="C59" i="15"/>
  <c r="G59" i="15" s="1"/>
  <c r="C72" i="15"/>
  <c r="G72" i="15" s="1"/>
  <c r="C712" i="24"/>
  <c r="C690" i="24"/>
  <c r="C628" i="24"/>
  <c r="H277" i="34"/>
  <c r="C637" i="24"/>
  <c r="C245" i="34"/>
  <c r="G64" i="15"/>
  <c r="C676" i="24"/>
  <c r="C23" i="15"/>
  <c r="G23" i="15" s="1"/>
  <c r="C33" i="15"/>
  <c r="C670" i="24"/>
  <c r="C85" i="34"/>
  <c r="C29" i="15"/>
  <c r="G29" i="15" s="1"/>
  <c r="C17" i="15"/>
  <c r="G17" i="15" s="1"/>
  <c r="C30" i="15"/>
  <c r="H30" i="15" s="1"/>
  <c r="I30" i="15" s="1"/>
  <c r="C683" i="24"/>
  <c r="I245" i="34"/>
  <c r="C42" i="15"/>
  <c r="G42" i="15" s="1"/>
  <c r="C679" i="24"/>
  <c r="C26" i="15"/>
  <c r="G26" i="15" s="1"/>
  <c r="C675" i="24"/>
  <c r="G85" i="34"/>
  <c r="C75" i="15"/>
  <c r="G75" i="15" s="1"/>
  <c r="G277" i="34"/>
  <c r="C635" i="24"/>
  <c r="C56" i="15"/>
  <c r="I181" i="34"/>
  <c r="C709" i="24"/>
  <c r="C93" i="15"/>
  <c r="G93" i="15" s="1"/>
  <c r="E181" i="34"/>
  <c r="C705" i="24"/>
  <c r="C52" i="15"/>
  <c r="G52" i="15" s="1"/>
  <c r="H48" i="15"/>
  <c r="I48" i="15" s="1"/>
  <c r="C22" i="15"/>
  <c r="G22" i="15" s="1"/>
  <c r="C695" i="24"/>
  <c r="H149" i="34"/>
  <c r="C70" i="15"/>
  <c r="G70" i="15" s="1"/>
  <c r="C27" i="15"/>
  <c r="H53" i="34"/>
  <c r="C680" i="24"/>
  <c r="C620" i="24"/>
  <c r="C701" i="24"/>
  <c r="C641" i="24"/>
  <c r="C20" i="15"/>
  <c r="G20" i="15" s="1"/>
  <c r="C21" i="15"/>
  <c r="G21" i="15" s="1"/>
  <c r="C673" i="24"/>
  <c r="G213" i="34"/>
  <c r="G49" i="15"/>
  <c r="H49" i="15" s="1"/>
  <c r="I49" i="15" s="1"/>
  <c r="C710" i="24"/>
  <c r="C341" i="34"/>
  <c r="C57" i="15"/>
  <c r="G57" i="15" s="1"/>
  <c r="C58" i="15"/>
  <c r="G58" i="15" s="1"/>
  <c r="C711" i="24"/>
  <c r="C36" i="15"/>
  <c r="C689" i="24"/>
  <c r="C117" i="34"/>
  <c r="C73" i="15"/>
  <c r="G73" i="15" s="1"/>
  <c r="E277" i="34"/>
  <c r="C634" i="24"/>
  <c r="G309" i="34"/>
  <c r="C626" i="24"/>
  <c r="C82" i="15"/>
  <c r="G82" i="15" s="1"/>
  <c r="G35" i="15"/>
  <c r="H35" i="15" s="1"/>
  <c r="C674" i="24"/>
  <c r="C45" i="15"/>
  <c r="C698" i="24"/>
  <c r="E149" i="34"/>
  <c r="C687" i="24"/>
  <c r="H85" i="34"/>
  <c r="C34" i="15"/>
  <c r="G34" i="15" s="1"/>
  <c r="C684" i="24"/>
  <c r="E85" i="34"/>
  <c r="C31" i="15"/>
  <c r="G31" i="15" s="1"/>
  <c r="C61" i="15"/>
  <c r="H117" i="34"/>
  <c r="C41" i="15"/>
  <c r="C694" i="24"/>
  <c r="C85" i="24"/>
  <c r="M2" i="31"/>
  <c r="CE67" i="24"/>
  <c r="I369" i="34" s="1"/>
  <c r="C17" i="34"/>
  <c r="G341" i="34"/>
  <c r="C89" i="15"/>
  <c r="G89" i="15" s="1"/>
  <c r="C645" i="24"/>
  <c r="C69" i="15"/>
  <c r="H245" i="34"/>
  <c r="C614" i="24"/>
  <c r="C168" i="8"/>
  <c r="D421" i="24"/>
  <c r="E713" i="25"/>
  <c r="M713" i="25" s="1"/>
  <c r="E705" i="25"/>
  <c r="M705" i="25" s="1"/>
  <c r="E697" i="25"/>
  <c r="M697" i="25" s="1"/>
  <c r="E710" i="25"/>
  <c r="M710" i="25" s="1"/>
  <c r="E702" i="25"/>
  <c r="M702" i="25" s="1"/>
  <c r="E707" i="25"/>
  <c r="M707" i="25" s="1"/>
  <c r="E699" i="25"/>
  <c r="M699" i="25" s="1"/>
  <c r="E712" i="25"/>
  <c r="M712" i="25" s="1"/>
  <c r="E704" i="25"/>
  <c r="M704" i="25" s="1"/>
  <c r="E717" i="25"/>
  <c r="E708" i="25"/>
  <c r="M708" i="25" s="1"/>
  <c r="E700" i="25"/>
  <c r="M700" i="25" s="1"/>
  <c r="E706" i="25"/>
  <c r="M706" i="25" s="1"/>
  <c r="E701" i="25"/>
  <c r="M701" i="25" s="1"/>
  <c r="E693" i="25"/>
  <c r="M693" i="25" s="1"/>
  <c r="E685" i="25"/>
  <c r="M685" i="25" s="1"/>
  <c r="E677" i="25"/>
  <c r="M677" i="25" s="1"/>
  <c r="E669" i="25"/>
  <c r="M669" i="25" s="1"/>
  <c r="M716" i="25" s="1"/>
  <c r="E629" i="25"/>
  <c r="E711" i="25"/>
  <c r="M711" i="25" s="1"/>
  <c r="E690" i="25"/>
  <c r="M690" i="25" s="1"/>
  <c r="E682" i="25"/>
  <c r="M682" i="25" s="1"/>
  <c r="E674" i="25"/>
  <c r="M674" i="25" s="1"/>
  <c r="E714" i="25"/>
  <c r="M714" i="25" s="1"/>
  <c r="E709" i="25"/>
  <c r="M709" i="25" s="1"/>
  <c r="E695" i="25"/>
  <c r="M695" i="25" s="1"/>
  <c r="E687" i="25"/>
  <c r="M687" i="25" s="1"/>
  <c r="E679" i="25"/>
  <c r="M679" i="25" s="1"/>
  <c r="E671" i="25"/>
  <c r="M671" i="25" s="1"/>
  <c r="E648" i="25"/>
  <c r="E647" i="25"/>
  <c r="E646" i="25"/>
  <c r="L648" i="25" s="1"/>
  <c r="E630" i="25"/>
  <c r="I630" i="25" s="1"/>
  <c r="E627" i="25"/>
  <c r="H629" i="25" s="1"/>
  <c r="E692" i="25"/>
  <c r="M692" i="25" s="1"/>
  <c r="E684" i="25"/>
  <c r="M684" i="25" s="1"/>
  <c r="E676" i="25"/>
  <c r="M676" i="25" s="1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K645" i="25" s="1"/>
  <c r="E631" i="25"/>
  <c r="J631" i="25" s="1"/>
  <c r="E625" i="25"/>
  <c r="E689" i="25"/>
  <c r="M689" i="25" s="1"/>
  <c r="E681" i="25"/>
  <c r="M681" i="25" s="1"/>
  <c r="E673" i="25"/>
  <c r="M673" i="25" s="1"/>
  <c r="E703" i="25"/>
  <c r="M703" i="25" s="1"/>
  <c r="E678" i="25"/>
  <c r="M678" i="25" s="1"/>
  <c r="E670" i="25"/>
  <c r="M670" i="25" s="1"/>
  <c r="E626" i="25"/>
  <c r="G626" i="25" s="1"/>
  <c r="E688" i="25"/>
  <c r="M688" i="25" s="1"/>
  <c r="E683" i="25"/>
  <c r="M683" i="25" s="1"/>
  <c r="E675" i="25"/>
  <c r="M675" i="25" s="1"/>
  <c r="E628" i="25"/>
  <c r="E691" i="25"/>
  <c r="M691" i="25" s="1"/>
  <c r="E698" i="25"/>
  <c r="M698" i="25" s="1"/>
  <c r="E694" i="25"/>
  <c r="M694" i="25" s="1"/>
  <c r="E686" i="25"/>
  <c r="M686" i="25" s="1"/>
  <c r="E672" i="25"/>
  <c r="M672" i="25" s="1"/>
  <c r="E680" i="25"/>
  <c r="M680" i="25" s="1"/>
  <c r="E696" i="25"/>
  <c r="M696" i="25" s="1"/>
  <c r="H50" i="15" l="1"/>
  <c r="G28" i="15"/>
  <c r="H28" i="15" s="1"/>
  <c r="I28" i="15" s="1"/>
  <c r="H37" i="15"/>
  <c r="I37" i="15" s="1"/>
  <c r="H29" i="15"/>
  <c r="I29" i="15" s="1"/>
  <c r="G33" i="15"/>
  <c r="H33" i="15" s="1"/>
  <c r="I33" i="15" s="1"/>
  <c r="H17" i="15"/>
  <c r="I17" i="15" s="1"/>
  <c r="G30" i="15"/>
  <c r="G27" i="15"/>
  <c r="H27" i="15" s="1"/>
  <c r="G56" i="15"/>
  <c r="H56" i="15" s="1"/>
  <c r="I56" i="15" s="1"/>
  <c r="H22" i="15"/>
  <c r="G36" i="15"/>
  <c r="H36" i="15" s="1"/>
  <c r="I36" i="15" s="1"/>
  <c r="G41" i="15"/>
  <c r="H41" i="15"/>
  <c r="I41" i="15" s="1"/>
  <c r="C21" i="34"/>
  <c r="C15" i="15"/>
  <c r="C668" i="24"/>
  <c r="CE85" i="24"/>
  <c r="D615" i="24"/>
  <c r="C648" i="24"/>
  <c r="M716" i="24" s="1"/>
  <c r="G69" i="15"/>
  <c r="H69" i="15" s="1"/>
  <c r="G45" i="15"/>
  <c r="H45" i="15" s="1"/>
  <c r="I45" i="15" s="1"/>
  <c r="G707" i="25"/>
  <c r="G699" i="25"/>
  <c r="G712" i="25"/>
  <c r="G704" i="25"/>
  <c r="G709" i="25"/>
  <c r="G701" i="25"/>
  <c r="G714" i="25"/>
  <c r="G706" i="25"/>
  <c r="G698" i="25"/>
  <c r="G710" i="25"/>
  <c r="G702" i="25"/>
  <c r="G717" i="25"/>
  <c r="G695" i="25"/>
  <c r="G687" i="25"/>
  <c r="G679" i="25"/>
  <c r="G671" i="25"/>
  <c r="G648" i="25"/>
  <c r="G647" i="25"/>
  <c r="G646" i="25"/>
  <c r="G630" i="25"/>
  <c r="G627" i="25"/>
  <c r="G692" i="25"/>
  <c r="G684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689" i="25"/>
  <c r="G681" i="25"/>
  <c r="G673" i="25"/>
  <c r="G694" i="25"/>
  <c r="G686" i="25"/>
  <c r="G678" i="25"/>
  <c r="G670" i="25"/>
  <c r="G628" i="25"/>
  <c r="G700" i="25"/>
  <c r="G691" i="25"/>
  <c r="G703" i="25"/>
  <c r="G629" i="25"/>
  <c r="G713" i="25"/>
  <c r="G697" i="25"/>
  <c r="G685" i="25"/>
  <c r="G690" i="25"/>
  <c r="G688" i="25"/>
  <c r="G683" i="25"/>
  <c r="G682" i="25"/>
  <c r="G675" i="25"/>
  <c r="G674" i="25"/>
  <c r="G693" i="25"/>
  <c r="G708" i="25"/>
  <c r="G705" i="25"/>
  <c r="G696" i="25"/>
  <c r="G672" i="25"/>
  <c r="G711" i="25"/>
  <c r="G680" i="25"/>
  <c r="G669" i="25"/>
  <c r="G677" i="25"/>
  <c r="J714" i="25"/>
  <c r="J706" i="25"/>
  <c r="J698" i="25"/>
  <c r="J711" i="25"/>
  <c r="J703" i="25"/>
  <c r="J717" i="25"/>
  <c r="J708" i="25"/>
  <c r="J700" i="25"/>
  <c r="J713" i="25"/>
  <c r="J705" i="25"/>
  <c r="J697" i="25"/>
  <c r="J709" i="25"/>
  <c r="J701" i="25"/>
  <c r="J699" i="25"/>
  <c r="J694" i="25"/>
  <c r="J686" i="25"/>
  <c r="J678" i="25"/>
  <c r="J670" i="25"/>
  <c r="J704" i="25"/>
  <c r="J702" i="25"/>
  <c r="J691" i="25"/>
  <c r="J683" i="25"/>
  <c r="J675" i="25"/>
  <c r="J707" i="25"/>
  <c r="J696" i="25"/>
  <c r="J688" i="25"/>
  <c r="J680" i="25"/>
  <c r="J672" i="25"/>
  <c r="J712" i="25"/>
  <c r="J710" i="25"/>
  <c r="J693" i="25"/>
  <c r="J685" i="25"/>
  <c r="J677" i="25"/>
  <c r="J669" i="25"/>
  <c r="J690" i="25"/>
  <c r="J695" i="25"/>
  <c r="J645" i="25"/>
  <c r="J643" i="25"/>
  <c r="J641" i="25"/>
  <c r="J639" i="25"/>
  <c r="J637" i="25"/>
  <c r="J635" i="25"/>
  <c r="J633" i="25"/>
  <c r="J679" i="25"/>
  <c r="J671" i="25"/>
  <c r="J648" i="25"/>
  <c r="J646" i="25"/>
  <c r="J676" i="25"/>
  <c r="J644" i="25"/>
  <c r="J642" i="25"/>
  <c r="J640" i="25"/>
  <c r="J638" i="25"/>
  <c r="J636" i="25"/>
  <c r="J634" i="25"/>
  <c r="J632" i="25"/>
  <c r="J684" i="25"/>
  <c r="J673" i="25"/>
  <c r="J647" i="25"/>
  <c r="J687" i="25"/>
  <c r="J681" i="25"/>
  <c r="J674" i="25"/>
  <c r="J682" i="25"/>
  <c r="J692" i="25"/>
  <c r="J689" i="25"/>
  <c r="K711" i="25"/>
  <c r="K703" i="25"/>
  <c r="K717" i="25"/>
  <c r="K708" i="25"/>
  <c r="K700" i="25"/>
  <c r="K713" i="25"/>
  <c r="K705" i="25"/>
  <c r="K710" i="25"/>
  <c r="K702" i="25"/>
  <c r="K714" i="25"/>
  <c r="K706" i="25"/>
  <c r="K698" i="25"/>
  <c r="K704" i="25"/>
  <c r="K691" i="25"/>
  <c r="K683" i="25"/>
  <c r="K675" i="25"/>
  <c r="K709" i="25"/>
  <c r="K707" i="25"/>
  <c r="K696" i="25"/>
  <c r="K688" i="25"/>
  <c r="K680" i="25"/>
  <c r="K672" i="25"/>
  <c r="K712" i="25"/>
  <c r="K697" i="25"/>
  <c r="K693" i="25"/>
  <c r="K685" i="25"/>
  <c r="K677" i="25"/>
  <c r="K669" i="25"/>
  <c r="K716" i="25" s="1"/>
  <c r="K690" i="25"/>
  <c r="K682" i="25"/>
  <c r="K674" i="25"/>
  <c r="K695" i="25"/>
  <c r="K687" i="25"/>
  <c r="K678" i="25"/>
  <c r="K670" i="25"/>
  <c r="K679" i="25"/>
  <c r="K671" i="25"/>
  <c r="K699" i="25"/>
  <c r="K676" i="25"/>
  <c r="K686" i="25"/>
  <c r="K684" i="25"/>
  <c r="K681" i="25"/>
  <c r="K694" i="25"/>
  <c r="K701" i="25"/>
  <c r="K689" i="25"/>
  <c r="K692" i="25"/>
  <c r="K673" i="25"/>
  <c r="H712" i="25"/>
  <c r="H704" i="25"/>
  <c r="H709" i="25"/>
  <c r="H701" i="25"/>
  <c r="H714" i="25"/>
  <c r="H706" i="25"/>
  <c r="H711" i="25"/>
  <c r="H703" i="25"/>
  <c r="H707" i="25"/>
  <c r="H699" i="25"/>
  <c r="H692" i="25"/>
  <c r="H684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689" i="25"/>
  <c r="H681" i="25"/>
  <c r="H673" i="25"/>
  <c r="H694" i="25"/>
  <c r="H686" i="25"/>
  <c r="H678" i="25"/>
  <c r="H670" i="25"/>
  <c r="H702" i="25"/>
  <c r="H700" i="25"/>
  <c r="H691" i="25"/>
  <c r="H683" i="25"/>
  <c r="H675" i="25"/>
  <c r="H705" i="25"/>
  <c r="H697" i="25"/>
  <c r="H696" i="25"/>
  <c r="H688" i="25"/>
  <c r="H713" i="25"/>
  <c r="H687" i="25"/>
  <c r="H685" i="25"/>
  <c r="H717" i="25"/>
  <c r="H690" i="25"/>
  <c r="H682" i="25"/>
  <c r="H674" i="25"/>
  <c r="H647" i="25"/>
  <c r="H695" i="25"/>
  <c r="H693" i="25"/>
  <c r="H708" i="25"/>
  <c r="H680" i="25"/>
  <c r="H679" i="25"/>
  <c r="H672" i="25"/>
  <c r="H671" i="25"/>
  <c r="H646" i="25"/>
  <c r="H630" i="25"/>
  <c r="H669" i="25"/>
  <c r="H677" i="25"/>
  <c r="H698" i="25"/>
  <c r="H710" i="25"/>
  <c r="H648" i="25"/>
  <c r="C172" i="8"/>
  <c r="D424" i="24"/>
  <c r="C177" i="8" s="1"/>
  <c r="E716" i="25"/>
  <c r="F625" i="25"/>
  <c r="I709" i="25"/>
  <c r="I701" i="25"/>
  <c r="I714" i="25"/>
  <c r="I706" i="25"/>
  <c r="I698" i="25"/>
  <c r="I711" i="25"/>
  <c r="I703" i="25"/>
  <c r="I717" i="25"/>
  <c r="I708" i="25"/>
  <c r="I700" i="25"/>
  <c r="I712" i="25"/>
  <c r="I704" i="25"/>
  <c r="I689" i="25"/>
  <c r="I681" i="25"/>
  <c r="I673" i="25"/>
  <c r="I699" i="25"/>
  <c r="I694" i="25"/>
  <c r="I686" i="25"/>
  <c r="I678" i="25"/>
  <c r="I670" i="25"/>
  <c r="I702" i="25"/>
  <c r="I691" i="25"/>
  <c r="I683" i="25"/>
  <c r="I675" i="25"/>
  <c r="I707" i="25"/>
  <c r="I705" i="25"/>
  <c r="I697" i="25"/>
  <c r="I696" i="25"/>
  <c r="I688" i="25"/>
  <c r="I680" i="25"/>
  <c r="I672" i="25"/>
  <c r="I710" i="25"/>
  <c r="I693" i="25"/>
  <c r="I685" i="25"/>
  <c r="I692" i="25"/>
  <c r="I690" i="25"/>
  <c r="I682" i="25"/>
  <c r="I674" i="25"/>
  <c r="I647" i="25"/>
  <c r="I695" i="25"/>
  <c r="I645" i="25"/>
  <c r="I643" i="25"/>
  <c r="I641" i="25"/>
  <c r="I639" i="25"/>
  <c r="I637" i="25"/>
  <c r="I635" i="25"/>
  <c r="I633" i="25"/>
  <c r="I631" i="25"/>
  <c r="I679" i="25"/>
  <c r="I671" i="25"/>
  <c r="I648" i="25"/>
  <c r="I646" i="25"/>
  <c r="I713" i="25"/>
  <c r="I684" i="25"/>
  <c r="I687" i="25"/>
  <c r="I669" i="25"/>
  <c r="I642" i="25"/>
  <c r="I638" i="25"/>
  <c r="I634" i="25"/>
  <c r="I677" i="25"/>
  <c r="I640" i="25"/>
  <c r="I676" i="25"/>
  <c r="I644" i="25"/>
  <c r="I632" i="25"/>
  <c r="I636" i="25"/>
  <c r="L717" i="25"/>
  <c r="L708" i="25"/>
  <c r="L700" i="25"/>
  <c r="L713" i="25"/>
  <c r="L705" i="25"/>
  <c r="L697" i="25"/>
  <c r="L710" i="25"/>
  <c r="L702" i="25"/>
  <c r="L707" i="25"/>
  <c r="L699" i="25"/>
  <c r="L711" i="25"/>
  <c r="L703" i="25"/>
  <c r="L714" i="25"/>
  <c r="L709" i="25"/>
  <c r="L696" i="25"/>
  <c r="L688" i="25"/>
  <c r="L680" i="25"/>
  <c r="L672" i="25"/>
  <c r="L712" i="25"/>
  <c r="L693" i="25"/>
  <c r="L685" i="25"/>
  <c r="L677" i="25"/>
  <c r="L669" i="25"/>
  <c r="L716" i="25" s="1"/>
  <c r="L690" i="25"/>
  <c r="L682" i="25"/>
  <c r="L674" i="25"/>
  <c r="L695" i="25"/>
  <c r="L687" i="25"/>
  <c r="L679" i="25"/>
  <c r="L671" i="25"/>
  <c r="L698" i="25"/>
  <c r="L692" i="25"/>
  <c r="L684" i="25"/>
  <c r="L706" i="25"/>
  <c r="L683" i="25"/>
  <c r="L675" i="25"/>
  <c r="L676" i="25"/>
  <c r="L691" i="25"/>
  <c r="L686" i="25"/>
  <c r="L689" i="25"/>
  <c r="L694" i="25"/>
  <c r="L670" i="25"/>
  <c r="L678" i="25"/>
  <c r="L701" i="25"/>
  <c r="L704" i="25"/>
  <c r="L681" i="25"/>
  <c r="L673" i="25"/>
  <c r="C715" i="24" l="1"/>
  <c r="D691" i="24"/>
  <c r="D628" i="24"/>
  <c r="D645" i="24"/>
  <c r="D638" i="24"/>
  <c r="D672" i="24"/>
  <c r="D712" i="24"/>
  <c r="D621" i="24"/>
  <c r="D682" i="24"/>
  <c r="D704" i="24"/>
  <c r="D634" i="24"/>
  <c r="D679" i="24"/>
  <c r="D713" i="24"/>
  <c r="D688" i="24"/>
  <c r="D673" i="24"/>
  <c r="D632" i="24"/>
  <c r="D708" i="24"/>
  <c r="D640" i="24"/>
  <c r="D699" i="24"/>
  <c r="D683" i="24"/>
  <c r="D622" i="24"/>
  <c r="D629" i="24"/>
  <c r="D637" i="24"/>
  <c r="D625" i="24"/>
  <c r="D617" i="24"/>
  <c r="D696" i="24"/>
  <c r="D633" i="24"/>
  <c r="D639" i="24"/>
  <c r="D716" i="24"/>
  <c r="D618" i="24"/>
  <c r="D626" i="24"/>
  <c r="D636" i="24"/>
  <c r="D703" i="24"/>
  <c r="D697" i="24"/>
  <c r="D635" i="24"/>
  <c r="D695" i="24"/>
  <c r="D693" i="24"/>
  <c r="D616" i="24"/>
  <c r="D689" i="24"/>
  <c r="D680" i="24"/>
  <c r="D706" i="24"/>
  <c r="D687" i="24"/>
  <c r="D631" i="24"/>
  <c r="D677" i="24"/>
  <c r="D694" i="24"/>
  <c r="D624" i="24"/>
  <c r="D678" i="24"/>
  <c r="D646" i="24"/>
  <c r="D709" i="24"/>
  <c r="D705" i="24"/>
  <c r="D685" i="24"/>
  <c r="D630" i="24"/>
  <c r="D684" i="24"/>
  <c r="D711" i="24"/>
  <c r="D675" i="24"/>
  <c r="D686" i="24"/>
  <c r="D690" i="24"/>
  <c r="D623" i="24"/>
  <c r="D619" i="24"/>
  <c r="D698" i="24"/>
  <c r="D641" i="24"/>
  <c r="D707" i="24"/>
  <c r="D647" i="24"/>
  <c r="D668" i="24"/>
  <c r="D710" i="24"/>
  <c r="D692" i="24"/>
  <c r="D644" i="24"/>
  <c r="D674" i="24"/>
  <c r="D681" i="24"/>
  <c r="D702" i="24"/>
  <c r="D643" i="24"/>
  <c r="D671" i="24"/>
  <c r="D700" i="24"/>
  <c r="D642" i="24"/>
  <c r="D669" i="24"/>
  <c r="D670" i="24"/>
  <c r="D701" i="24"/>
  <c r="D676" i="24"/>
  <c r="D627" i="24"/>
  <c r="D620" i="24"/>
  <c r="I373" i="34"/>
  <c r="C716" i="24"/>
  <c r="G15" i="15"/>
  <c r="H15" i="15" s="1"/>
  <c r="I15" i="15" s="1"/>
  <c r="H716" i="25"/>
  <c r="G716" i="25"/>
  <c r="J716" i="25"/>
  <c r="I716" i="25"/>
  <c r="F710" i="25"/>
  <c r="F702" i="25"/>
  <c r="F707" i="25"/>
  <c r="F699" i="25"/>
  <c r="F712" i="25"/>
  <c r="F704" i="25"/>
  <c r="F709" i="25"/>
  <c r="F701" i="25"/>
  <c r="F713" i="25"/>
  <c r="F705" i="25"/>
  <c r="F697" i="25"/>
  <c r="F711" i="25"/>
  <c r="F690" i="25"/>
  <c r="F682" i="25"/>
  <c r="F674" i="25"/>
  <c r="F717" i="25"/>
  <c r="F714" i="25"/>
  <c r="F695" i="25"/>
  <c r="F687" i="25"/>
  <c r="F679" i="25"/>
  <c r="F671" i="25"/>
  <c r="F648" i="25"/>
  <c r="F647" i="25"/>
  <c r="F646" i="25"/>
  <c r="F630" i="25"/>
  <c r="F627" i="25"/>
  <c r="F692" i="25"/>
  <c r="F684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689" i="25"/>
  <c r="F681" i="25"/>
  <c r="F673" i="25"/>
  <c r="F694" i="25"/>
  <c r="F686" i="25"/>
  <c r="F677" i="25"/>
  <c r="F669" i="25"/>
  <c r="F703" i="25"/>
  <c r="F700" i="25"/>
  <c r="F678" i="25"/>
  <c r="F670" i="25"/>
  <c r="F629" i="25"/>
  <c r="F626" i="25"/>
  <c r="F706" i="25"/>
  <c r="F685" i="25"/>
  <c r="F688" i="25"/>
  <c r="F683" i="25"/>
  <c r="F675" i="25"/>
  <c r="F628" i="25"/>
  <c r="F693" i="25"/>
  <c r="F691" i="25"/>
  <c r="F708" i="25"/>
  <c r="F698" i="25"/>
  <c r="F672" i="25"/>
  <c r="F696" i="25"/>
  <c r="F680" i="25"/>
  <c r="E623" i="24" l="1"/>
  <c r="E612" i="24"/>
  <c r="D715" i="24"/>
  <c r="F716" i="25"/>
  <c r="E680" i="24" l="1"/>
  <c r="E716" i="24"/>
  <c r="E668" i="24"/>
  <c r="E695" i="24"/>
  <c r="E703" i="24"/>
  <c r="E638" i="24"/>
  <c r="E696" i="24"/>
  <c r="E682" i="24"/>
  <c r="E633" i="24"/>
  <c r="E705" i="24"/>
  <c r="E707" i="24"/>
  <c r="E627" i="24"/>
  <c r="E686" i="24"/>
  <c r="E688" i="24"/>
  <c r="E694" i="24"/>
  <c r="E646" i="24"/>
  <c r="E697" i="24"/>
  <c r="E635" i="24"/>
  <c r="E676" i="24"/>
  <c r="E685" i="24"/>
  <c r="E675" i="24"/>
  <c r="E647" i="24"/>
  <c r="E679" i="24"/>
  <c r="E698" i="24"/>
  <c r="E639" i="24"/>
  <c r="E670" i="24"/>
  <c r="E700" i="24"/>
  <c r="E674" i="24"/>
  <c r="E634" i="24"/>
  <c r="E624" i="24"/>
  <c r="F624" i="24" s="1"/>
  <c r="E689" i="24"/>
  <c r="E701" i="24"/>
  <c r="E629" i="24"/>
  <c r="E632" i="24"/>
  <c r="E709" i="24"/>
  <c r="E637" i="24"/>
  <c r="E672" i="24"/>
  <c r="E704" i="24"/>
  <c r="E710" i="24"/>
  <c r="E684" i="24"/>
  <c r="E713" i="24"/>
  <c r="E711" i="24"/>
  <c r="E683" i="24"/>
  <c r="E691" i="24"/>
  <c r="E681" i="24"/>
  <c r="E692" i="24"/>
  <c r="E669" i="24"/>
  <c r="E708" i="24"/>
  <c r="E642" i="24"/>
  <c r="E690" i="24"/>
  <c r="E631" i="24"/>
  <c r="E630" i="24"/>
  <c r="E693" i="24"/>
  <c r="E645" i="24"/>
  <c r="E626" i="24"/>
  <c r="E677" i="24"/>
  <c r="E699" i="24"/>
  <c r="E673" i="24"/>
  <c r="E625" i="24"/>
  <c r="E643" i="24"/>
  <c r="E640" i="24"/>
  <c r="E678" i="24"/>
  <c r="E706" i="24"/>
  <c r="E644" i="24"/>
  <c r="E687" i="24"/>
  <c r="E702" i="24"/>
  <c r="E671" i="24"/>
  <c r="E712" i="24"/>
  <c r="E628" i="24"/>
  <c r="E641" i="24"/>
  <c r="E636" i="24"/>
  <c r="E715" i="24" l="1"/>
  <c r="F692" i="24"/>
  <c r="F642" i="24"/>
  <c r="F672" i="24"/>
  <c r="F673" i="24"/>
  <c r="F639" i="24"/>
  <c r="F646" i="24"/>
  <c r="F697" i="24"/>
  <c r="F677" i="24"/>
  <c r="F691" i="24"/>
  <c r="F631" i="24"/>
  <c r="F709" i="24"/>
  <c r="F678" i="24"/>
  <c r="F641" i="24"/>
  <c r="F708" i="24"/>
  <c r="F695" i="24"/>
  <c r="F647" i="24"/>
  <c r="F685" i="24"/>
  <c r="F681" i="24"/>
  <c r="F637" i="24"/>
  <c r="F699" i="24"/>
  <c r="F635" i="24"/>
  <c r="F711" i="24"/>
  <c r="F632" i="24"/>
  <c r="F676" i="24"/>
  <c r="F701" i="24"/>
  <c r="F670" i="24"/>
  <c r="F640" i="24"/>
  <c r="F707" i="24"/>
  <c r="F671" i="24"/>
  <c r="F625" i="24"/>
  <c r="G625" i="24" s="1"/>
  <c r="F627" i="24"/>
  <c r="F710" i="24"/>
  <c r="F633" i="24"/>
  <c r="F693" i="24"/>
  <c r="F683" i="24"/>
  <c r="F645" i="24"/>
  <c r="F690" i="24"/>
  <c r="F713" i="24"/>
  <c r="F712" i="24"/>
  <c r="F638" i="24"/>
  <c r="F626" i="24"/>
  <c r="F682" i="24"/>
  <c r="F706" i="24"/>
  <c r="F679" i="24"/>
  <c r="F698" i="24"/>
  <c r="F629" i="24"/>
  <c r="F636" i="24"/>
  <c r="F669" i="24"/>
  <c r="F634" i="24"/>
  <c r="F702" i="24"/>
  <c r="F700" i="24"/>
  <c r="F689" i="24"/>
  <c r="F704" i="24"/>
  <c r="F688" i="24"/>
  <c r="F703" i="24"/>
  <c r="F716" i="24"/>
  <c r="F628" i="24"/>
  <c r="F705" i="24"/>
  <c r="F687" i="24"/>
  <c r="F630" i="24"/>
  <c r="F668" i="24"/>
  <c r="F696" i="24"/>
  <c r="F644" i="24"/>
  <c r="F686" i="24"/>
  <c r="F680" i="24"/>
  <c r="F643" i="24"/>
  <c r="F684" i="24"/>
  <c r="F674" i="24"/>
  <c r="F675" i="24"/>
  <c r="F694" i="24"/>
  <c r="G711" i="24" l="1"/>
  <c r="G640" i="24"/>
  <c r="G685" i="24"/>
  <c r="G668" i="24"/>
  <c r="G696" i="24"/>
  <c r="G687" i="24"/>
  <c r="G700" i="24"/>
  <c r="G693" i="24"/>
  <c r="G705" i="24"/>
  <c r="G686" i="24"/>
  <c r="G676" i="24"/>
  <c r="G690" i="24"/>
  <c r="G646" i="24"/>
  <c r="G703" i="24"/>
  <c r="G639" i="24"/>
  <c r="G683" i="24"/>
  <c r="G626" i="24"/>
  <c r="G637" i="24"/>
  <c r="G627" i="24"/>
  <c r="G632" i="24"/>
  <c r="G628" i="24"/>
  <c r="G695" i="24"/>
  <c r="G638" i="24"/>
  <c r="G681" i="24"/>
  <c r="G709" i="24"/>
  <c r="G677" i="24"/>
  <c r="G708" i="24"/>
  <c r="G692" i="24"/>
  <c r="G629" i="24"/>
  <c r="G699" i="24"/>
  <c r="G689" i="24"/>
  <c r="G688" i="24"/>
  <c r="G698" i="24"/>
  <c r="G631" i="24"/>
  <c r="G630" i="24"/>
  <c r="G679" i="24"/>
  <c r="G636" i="24"/>
  <c r="G669" i="24"/>
  <c r="G694" i="24"/>
  <c r="G635" i="24"/>
  <c r="G633" i="24"/>
  <c r="G701" i="24"/>
  <c r="G644" i="24"/>
  <c r="G684" i="24"/>
  <c r="G672" i="24"/>
  <c r="G670" i="24"/>
  <c r="G706" i="24"/>
  <c r="G641" i="24"/>
  <c r="G713" i="24"/>
  <c r="G634" i="24"/>
  <c r="G680" i="24"/>
  <c r="G645" i="24"/>
  <c r="G712" i="24"/>
  <c r="G674" i="24"/>
  <c r="G647" i="24"/>
  <c r="G691" i="24"/>
  <c r="G716" i="24"/>
  <c r="G702" i="24"/>
  <c r="G642" i="24"/>
  <c r="G710" i="24"/>
  <c r="G707" i="24"/>
  <c r="G675" i="24"/>
  <c r="G671" i="24"/>
  <c r="G697" i="24"/>
  <c r="G673" i="24"/>
  <c r="G678" i="24"/>
  <c r="G643" i="24"/>
  <c r="G682" i="24"/>
  <c r="G704" i="24"/>
  <c r="F715" i="24"/>
  <c r="G715" i="24" l="1"/>
  <c r="H628" i="24"/>
  <c r="H637" i="24" l="1"/>
  <c r="H716" i="24"/>
  <c r="H633" i="24"/>
  <c r="H641" i="24"/>
  <c r="H706" i="24"/>
  <c r="H695" i="24"/>
  <c r="H697" i="24"/>
  <c r="H638" i="24"/>
  <c r="H713" i="24"/>
  <c r="H698" i="24"/>
  <c r="H681" i="24"/>
  <c r="H703" i="24"/>
  <c r="H712" i="24"/>
  <c r="H685" i="24"/>
  <c r="H671" i="24"/>
  <c r="H693" i="24"/>
  <c r="H645" i="24"/>
  <c r="H683" i="24"/>
  <c r="H678" i="24"/>
  <c r="H692" i="24"/>
  <c r="H642" i="24"/>
  <c r="H690" i="24"/>
  <c r="H629" i="24"/>
  <c r="H634" i="24"/>
  <c r="H677" i="24"/>
  <c r="H675" i="24"/>
  <c r="H704" i="24"/>
  <c r="H672" i="24"/>
  <c r="H699" i="24"/>
  <c r="H710" i="24"/>
  <c r="H700" i="24"/>
  <c r="H635" i="24"/>
  <c r="H705" i="24"/>
  <c r="H709" i="24"/>
  <c r="H694" i="24"/>
  <c r="H702" i="24"/>
  <c r="H631" i="24"/>
  <c r="H632" i="24"/>
  <c r="H647" i="24"/>
  <c r="H673" i="24"/>
  <c r="H688" i="24"/>
  <c r="H636" i="24"/>
  <c r="H670" i="24"/>
  <c r="H674" i="24"/>
  <c r="H643" i="24"/>
  <c r="H691" i="24"/>
  <c r="H707" i="24"/>
  <c r="H676" i="24"/>
  <c r="H687" i="24"/>
  <c r="H682" i="24"/>
  <c r="H639" i="24"/>
  <c r="H686" i="24"/>
  <c r="H640" i="24"/>
  <c r="H708" i="24"/>
  <c r="H668" i="24"/>
  <c r="H669" i="24"/>
  <c r="H696" i="24"/>
  <c r="H701" i="24"/>
  <c r="H684" i="24"/>
  <c r="H680" i="24"/>
  <c r="H644" i="24"/>
  <c r="H711" i="24"/>
  <c r="H630" i="24"/>
  <c r="H679" i="24"/>
  <c r="H646" i="24"/>
  <c r="H689" i="24"/>
  <c r="H715" i="24" l="1"/>
  <c r="I629" i="24"/>
  <c r="I709" i="24" l="1"/>
  <c r="I638" i="24"/>
  <c r="I695" i="24"/>
  <c r="I683" i="24"/>
  <c r="I673" i="24"/>
  <c r="I685" i="24"/>
  <c r="I639" i="24"/>
  <c r="I716" i="24"/>
  <c r="I632" i="24"/>
  <c r="I691" i="24"/>
  <c r="I712" i="24"/>
  <c r="I670" i="24"/>
  <c r="I682" i="24"/>
  <c r="I635" i="24"/>
  <c r="I645" i="24"/>
  <c r="I689" i="24"/>
  <c r="I701" i="24"/>
  <c r="I630" i="24"/>
  <c r="I688" i="24"/>
  <c r="I672" i="24"/>
  <c r="I675" i="24"/>
  <c r="I679" i="24"/>
  <c r="I684" i="24"/>
  <c r="I708" i="24"/>
  <c r="I706" i="24"/>
  <c r="I713" i="24"/>
  <c r="I637" i="24"/>
  <c r="I671" i="24"/>
  <c r="I700" i="24"/>
  <c r="I669" i="24"/>
  <c r="I643" i="24"/>
  <c r="I681" i="24"/>
  <c r="I646" i="24"/>
  <c r="I686" i="24"/>
  <c r="I697" i="24"/>
  <c r="I707" i="24"/>
  <c r="I694" i="24"/>
  <c r="I644" i="24"/>
  <c r="I676" i="24"/>
  <c r="I634" i="24"/>
  <c r="I692" i="24"/>
  <c r="I636" i="24"/>
  <c r="I647" i="24"/>
  <c r="I642" i="24"/>
  <c r="I677" i="24"/>
  <c r="I704" i="24"/>
  <c r="I710" i="24"/>
  <c r="I711" i="24"/>
  <c r="I641" i="24"/>
  <c r="I698" i="24"/>
  <c r="I668" i="24"/>
  <c r="I633" i="24"/>
  <c r="I640" i="24"/>
  <c r="I678" i="24"/>
  <c r="I631" i="24"/>
  <c r="I703" i="24"/>
  <c r="I699" i="24"/>
  <c r="I674" i="24"/>
  <c r="I693" i="24"/>
  <c r="I680" i="24"/>
  <c r="I705" i="24"/>
  <c r="I702" i="24"/>
  <c r="I687" i="24"/>
  <c r="I696" i="24"/>
  <c r="I690" i="24"/>
  <c r="I715" i="24" l="1"/>
  <c r="J630" i="24"/>
  <c r="J706" i="24" l="1"/>
  <c r="J633" i="24"/>
  <c r="J675" i="24"/>
  <c r="J638" i="24"/>
  <c r="J683" i="24"/>
  <c r="J710" i="24"/>
  <c r="J712" i="24"/>
  <c r="J693" i="24"/>
  <c r="J689" i="24"/>
  <c r="J699" i="24"/>
  <c r="J645" i="24"/>
  <c r="J682" i="24"/>
  <c r="J639" i="24"/>
  <c r="J670" i="24"/>
  <c r="J702" i="24"/>
  <c r="J716" i="24"/>
  <c r="J707" i="24"/>
  <c r="J681" i="24"/>
  <c r="J669" i="24"/>
  <c r="J674" i="24"/>
  <c r="J643" i="24"/>
  <c r="J632" i="24"/>
  <c r="J711" i="24"/>
  <c r="J676" i="24"/>
  <c r="J701" i="24"/>
  <c r="J690" i="24"/>
  <c r="J634" i="24"/>
  <c r="J678" i="24"/>
  <c r="J672" i="24"/>
  <c r="J695" i="24"/>
  <c r="J631" i="24"/>
  <c r="J703" i="24"/>
  <c r="J647" i="24"/>
  <c r="J677" i="24"/>
  <c r="J698" i="24"/>
  <c r="J673" i="24"/>
  <c r="J709" i="24"/>
  <c r="J708" i="24"/>
  <c r="J641" i="24"/>
  <c r="J687" i="24"/>
  <c r="J696" i="24"/>
  <c r="J679" i="24"/>
  <c r="J691" i="24"/>
  <c r="J713" i="24"/>
  <c r="J640" i="24"/>
  <c r="J694" i="24"/>
  <c r="J688" i="24"/>
  <c r="J705" i="24"/>
  <c r="J644" i="24"/>
  <c r="J692" i="24"/>
  <c r="J637" i="24"/>
  <c r="J636" i="24"/>
  <c r="J697" i="24"/>
  <c r="J668" i="24"/>
  <c r="J680" i="24"/>
  <c r="J686" i="24"/>
  <c r="J684" i="24"/>
  <c r="J700" i="24"/>
  <c r="J671" i="24"/>
  <c r="J635" i="24"/>
  <c r="J646" i="24"/>
  <c r="J704" i="24"/>
  <c r="J685" i="24"/>
  <c r="J642" i="24"/>
  <c r="J715" i="24" l="1"/>
  <c r="K644" i="24"/>
  <c r="K683" i="24" s="1"/>
  <c r="L647" i="24"/>
  <c r="L695" i="24" s="1"/>
  <c r="L693" i="24" l="1"/>
  <c r="L708" i="24"/>
  <c r="L671" i="24"/>
  <c r="K677" i="24"/>
  <c r="K701" i="24"/>
  <c r="K687" i="24"/>
  <c r="K689" i="24"/>
  <c r="K704" i="24"/>
  <c r="K692" i="24"/>
  <c r="K710" i="24"/>
  <c r="K695" i="24"/>
  <c r="K671" i="24"/>
  <c r="M671" i="24" s="1"/>
  <c r="F23" i="34" s="1"/>
  <c r="L679" i="24"/>
  <c r="K690" i="24"/>
  <c r="L699" i="24"/>
  <c r="K700" i="24"/>
  <c r="L713" i="24"/>
  <c r="K706" i="24"/>
  <c r="L692" i="24"/>
  <c r="K680" i="24"/>
  <c r="L673" i="24"/>
  <c r="L694" i="24"/>
  <c r="K707" i="24"/>
  <c r="K693" i="24"/>
  <c r="K668" i="24"/>
  <c r="K672" i="24"/>
  <c r="K688" i="24"/>
  <c r="K673" i="24"/>
  <c r="K709" i="24"/>
  <c r="L685" i="24"/>
  <c r="L700" i="24"/>
  <c r="L682" i="24"/>
  <c r="L706" i="24"/>
  <c r="L709" i="24"/>
  <c r="L691" i="24"/>
  <c r="L681" i="24"/>
  <c r="K669" i="24"/>
  <c r="L701" i="24"/>
  <c r="L678" i="24"/>
  <c r="K686" i="24"/>
  <c r="L690" i="24"/>
  <c r="L689" i="24"/>
  <c r="K696" i="24"/>
  <c r="L688" i="24"/>
  <c r="K703" i="24"/>
  <c r="K712" i="24"/>
  <c r="K682" i="24"/>
  <c r="K670" i="24"/>
  <c r="K691" i="24"/>
  <c r="K681" i="24"/>
  <c r="L672" i="24"/>
  <c r="K676" i="24"/>
  <c r="K685" i="24"/>
  <c r="L702" i="24"/>
  <c r="K699" i="24"/>
  <c r="K675" i="24"/>
  <c r="L711" i="24"/>
  <c r="L683" i="24"/>
  <c r="M683" i="24" s="1"/>
  <c r="D87" i="34" s="1"/>
  <c r="L676" i="24"/>
  <c r="K679" i="24"/>
  <c r="K708" i="24"/>
  <c r="M708" i="24" s="1"/>
  <c r="H183" i="34" s="1"/>
  <c r="L677" i="24"/>
  <c r="M677" i="24" s="1"/>
  <c r="E55" i="34" s="1"/>
  <c r="L704" i="24"/>
  <c r="L687" i="24"/>
  <c r="L697" i="24"/>
  <c r="K684" i="24"/>
  <c r="L712" i="24"/>
  <c r="L696" i="24"/>
  <c r="L686" i="24"/>
  <c r="L716" i="24"/>
  <c r="L668" i="24"/>
  <c r="L680" i="24"/>
  <c r="M680" i="24" s="1"/>
  <c r="H55" i="34" s="1"/>
  <c r="K698" i="24"/>
  <c r="K716" i="24"/>
  <c r="L703" i="24"/>
  <c r="L705" i="24"/>
  <c r="L670" i="24"/>
  <c r="K694" i="24"/>
  <c r="M694" i="24" s="1"/>
  <c r="H119" i="34" s="1"/>
  <c r="K674" i="24"/>
  <c r="K713" i="24"/>
  <c r="L674" i="24"/>
  <c r="L698" i="24"/>
  <c r="K705" i="24"/>
  <c r="K711" i="24"/>
  <c r="K678" i="24"/>
  <c r="L669" i="24"/>
  <c r="L675" i="24"/>
  <c r="K697" i="24"/>
  <c r="K702" i="24"/>
  <c r="L710" i="24"/>
  <c r="L707" i="24"/>
  <c r="L684" i="24"/>
  <c r="M695" i="24"/>
  <c r="I119" i="34" s="1"/>
  <c r="M687" i="24" l="1"/>
  <c r="H87" i="34" s="1"/>
  <c r="M704" i="24"/>
  <c r="D183" i="34" s="1"/>
  <c r="M673" i="24"/>
  <c r="H23" i="34" s="1"/>
  <c r="M689" i="24"/>
  <c r="C119" i="34" s="1"/>
  <c r="M701" i="24"/>
  <c r="H151" i="34" s="1"/>
  <c r="M707" i="24"/>
  <c r="G183" i="34" s="1"/>
  <c r="M693" i="24"/>
  <c r="G119" i="34" s="1"/>
  <c r="M710" i="24"/>
  <c r="C215" i="34" s="1"/>
  <c r="M688" i="24"/>
  <c r="I87" i="34" s="1"/>
  <c r="M713" i="24"/>
  <c r="F215" i="34" s="1"/>
  <c r="M706" i="24"/>
  <c r="F183" i="34" s="1"/>
  <c r="M672" i="24"/>
  <c r="G23" i="34" s="1"/>
  <c r="M692" i="24"/>
  <c r="F55" i="34" s="1"/>
  <c r="M709" i="24"/>
  <c r="I183" i="34" s="1"/>
  <c r="M690" i="24"/>
  <c r="D119" i="34" s="1"/>
  <c r="M700" i="24"/>
  <c r="G151" i="34" s="1"/>
  <c r="M699" i="24"/>
  <c r="F151" i="34" s="1"/>
  <c r="M679" i="24"/>
  <c r="G55" i="34" s="1"/>
  <c r="M685" i="24"/>
  <c r="F87" i="34" s="1"/>
  <c r="M670" i="24"/>
  <c r="E23" i="34" s="1"/>
  <c r="M712" i="24"/>
  <c r="E215" i="34" s="1"/>
  <c r="M669" i="24"/>
  <c r="D23" i="34" s="1"/>
  <c r="M678" i="24"/>
  <c r="M668" i="24"/>
  <c r="C23" i="34" s="1"/>
  <c r="M684" i="24"/>
  <c r="E87" i="34" s="1"/>
  <c r="M711" i="24"/>
  <c r="D215" i="34" s="1"/>
  <c r="M686" i="24"/>
  <c r="G87" i="34" s="1"/>
  <c r="M681" i="24"/>
  <c r="I55" i="34" s="1"/>
  <c r="M703" i="24"/>
  <c r="C183" i="34" s="1"/>
  <c r="M682" i="24"/>
  <c r="C87" i="34" s="1"/>
  <c r="M691" i="24"/>
  <c r="M696" i="24"/>
  <c r="C151" i="34" s="1"/>
  <c r="M676" i="24"/>
  <c r="D55" i="34" s="1"/>
  <c r="M702" i="24"/>
  <c r="I151" i="34" s="1"/>
  <c r="M675" i="24"/>
  <c r="C55" i="34" s="1"/>
  <c r="M697" i="24"/>
  <c r="D151" i="34" s="1"/>
  <c r="M698" i="24"/>
  <c r="E151" i="34" s="1"/>
  <c r="M705" i="24"/>
  <c r="E183" i="34" s="1"/>
  <c r="M674" i="24"/>
  <c r="I23" i="34" s="1"/>
  <c r="L715" i="24"/>
  <c r="K715" i="24"/>
  <c r="E119" i="34" l="1"/>
  <c r="F119" i="34"/>
  <c r="M715" i="24"/>
</calcChain>
</file>

<file path=xl/sharedStrings.xml><?xml version="1.0" encoding="utf-8"?>
<sst xmlns="http://schemas.openxmlformats.org/spreadsheetml/2006/main" count="6206" uniqueCount="2115">
  <si>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</si>
  <si>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</si>
  <si>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</si>
  <si>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</si>
  <si>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</si>
  <si>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</si>
  <si>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</si>
  <si>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</si>
  <si>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</si>
  <si>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</si>
  <si>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</si>
  <si>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</si>
  <si>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</si>
  <si>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</si>
  <si>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</si>
  <si>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</si>
  <si>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</si>
  <si>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</si>
  <si>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</si>
  <si>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</si>
  <si>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</si>
  <si>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</si>
  <si>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</si>
  <si>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</si>
  <si>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</si>
  <si>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</si>
  <si>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</si>
  <si>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</si>
  <si>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</si>
  <si>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</si>
  <si>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</si>
  <si>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</si>
  <si>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</si>
  <si>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</si>
  <si>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</si>
  <si>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</si>
  <si>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</si>
  <si>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</si>
  <si>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</si>
  <si>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</si>
  <si>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</si>
  <si>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</si>
  <si>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</si>
  <si>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</si>
  <si>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</si>
  <si>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</si>
  <si>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</si>
  <si>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</si>
  <si>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</si>
  <si>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</si>
  <si>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</si>
  <si>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</si>
  <si>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</si>
  <si>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</si>
  <si>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</si>
  <si>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</si>
  <si>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</si>
  <si>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</si>
  <si>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</si>
  <si>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</si>
  <si>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</si>
  <si>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</si>
  <si>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</si>
  <si>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</si>
  <si>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</si>
  <si>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</si>
  <si>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</si>
  <si>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</si>
  <si>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</si>
  <si>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</si>
  <si>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</si>
  <si>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</si>
  <si>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</si>
  <si>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</si>
  <si>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</si>
  <si>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</si>
  <si>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</si>
  <si>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</si>
  <si>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</si>
  <si>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</si>
  <si>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</si>
  <si>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</si>
  <si>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</si>
  <si>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</si>
  <si>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</si>
  <si>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</si>
  <si>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</si>
  <si>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</si>
  <si>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</si>
  <si>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</si>
  <si>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</si>
  <si>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</si>
  <si>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</si>
  <si>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</si>
  <si>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</si>
  <si>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</si>
  <si>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</si>
  <si>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</si>
  <si>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</si>
  <si>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</si>
  <si>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</si>
  <si>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</si>
  <si>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</si>
  <si>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</si>
  <si>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</si>
  <si>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</si>
  <si>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</si>
  <si>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</si>
  <si>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</si>
  <si>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</si>
  <si>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</si>
  <si>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</si>
  <si>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</si>
  <si>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</si>
  <si>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</si>
  <si>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</si>
  <si>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</si>
  <si>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</si>
  <si>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</si>
  <si>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</si>
  <si>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</si>
  <si>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</si>
  <si>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</si>
  <si>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</si>
  <si>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</si>
  <si>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</si>
  <si>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</si>
  <si>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</si>
  <si>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</si>
  <si>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</si>
  <si>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</si>
  <si>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</si>
  <si>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</si>
  <si>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</si>
  <si>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</si>
  <si>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</si>
  <si>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</si>
  <si>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</si>
  <si>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</si>
  <si>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</si>
  <si>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</si>
  <si>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</si>
  <si>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</si>
  <si>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</si>
  <si>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</si>
  <si>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</si>
  <si>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</si>
  <si>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</si>
  <si>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</si>
  <si>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</si>
  <si>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</si>
  <si>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</si>
  <si>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</si>
  <si>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</si>
  <si>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</si>
  <si>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</si>
  <si>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</si>
  <si>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</si>
  <si>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</si>
  <si>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</si>
  <si>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</si>
  <si>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</si>
  <si>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</si>
  <si>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</si>
  <si>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</si>
  <si>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</si>
  <si>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</si>
  <si>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</si>
  <si>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</si>
  <si>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</si>
  <si>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</si>
  <si>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</si>
  <si>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</si>
  <si>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</si>
  <si>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</si>
  <si>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</si>
  <si>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</si>
  <si>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</si>
  <si>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</si>
  <si>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</si>
  <si>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</si>
  <si>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</si>
  <si>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</si>
  <si>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</si>
  <si>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</si>
  <si>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</si>
  <si>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</si>
  <si>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</si>
  <si>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</si>
  <si>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</si>
  <si>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</si>
  <si>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</si>
  <si>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</si>
  <si>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</si>
  <si>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</si>
  <si>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</si>
  <si>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</si>
  <si>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</si>
  <si>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</si>
  <si>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</si>
  <si>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</si>
  <si>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</si>
  <si>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</si>
  <si>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</si>
  <si>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</si>
  <si>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</si>
  <si>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</si>
  <si>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</si>
  <si>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</si>
  <si>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</si>
  <si>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</si>
  <si>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</si>
  <si>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</si>
  <si>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</si>
  <si>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</si>
  <si>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</si>
  <si>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</si>
  <si>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</si>
  <si>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</si>
  <si>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</si>
  <si>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</si>
  <si>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</si>
  <si>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</si>
  <si>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</si>
  <si>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</si>
  <si>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</si>
  <si>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</si>
  <si>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</si>
  <si>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</si>
  <si>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</si>
  <si>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</si>
  <si>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</si>
  <si>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</si>
  <si>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</si>
  <si>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</si>
  <si>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</si>
  <si>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</si>
  <si>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</si>
  <si>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</si>
  <si>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</si>
  <si>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</si>
  <si>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</si>
  <si>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</si>
  <si>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</si>
  <si>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</si>
  <si>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</si>
  <si>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</si>
  <si>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</si>
  <si>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</si>
  <si>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</si>
  <si>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</si>
  <si>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</si>
  <si>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</si>
  <si>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</si>
  <si>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</si>
  <si>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</si>
  <si>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</si>
  <si>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</si>
  <si>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</si>
  <si>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</si>
  <si>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</si>
  <si>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</si>
  <si>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</si>
  <si>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</si>
  <si>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</si>
  <si>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</si>
  <si>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</si>
  <si>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</si>
  <si>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</si>
  <si>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</si>
  <si>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</si>
  <si>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</si>
  <si>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</si>
  <si>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</si>
  <si>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</si>
  <si>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</si>
  <si>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</si>
  <si>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</si>
  <si>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</si>
  <si>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</si>
  <si>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</si>
  <si>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</si>
  <si>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</si>
  <si>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</si>
  <si>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</si>
  <si>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</si>
  <si>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</si>
  <si>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</si>
  <si>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</si>
  <si>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</si>
  <si>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</si>
  <si>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</si>
  <si>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</si>
  <si>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</si>
  <si>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</si>
  <si>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</si>
  <si>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</si>
  <si>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</si>
  <si>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</si>
  <si>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</si>
  <si>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140</t>
  </si>
  <si>
    <t>Hospital Name</t>
  </si>
  <si>
    <t>Kittitas Valley Healthcare</t>
  </si>
  <si>
    <t>Mailing Address</t>
  </si>
  <si>
    <t>603 South Chestnut Street</t>
  </si>
  <si>
    <t>City</t>
  </si>
  <si>
    <t>Ellensburg</t>
  </si>
  <si>
    <t>State</t>
  </si>
  <si>
    <t>Ellensburg, WA 98926</t>
  </si>
  <si>
    <t>Zip</t>
  </si>
  <si>
    <t>County</t>
  </si>
  <si>
    <t xml:space="preserve">Kittitas  </t>
  </si>
  <si>
    <t>Chief Executive Officer</t>
  </si>
  <si>
    <t>Julie A. Petersen</t>
  </si>
  <si>
    <t>Chief Financial Officer</t>
  </si>
  <si>
    <t>Dale Scott Olander</t>
  </si>
  <si>
    <t>Chair of Governing Board</t>
  </si>
  <si>
    <t>Matthew Altman</t>
  </si>
  <si>
    <t>Telephone Number</t>
  </si>
  <si>
    <t>(509) 962-9841</t>
  </si>
  <si>
    <t>Facsimile Number</t>
  </si>
  <si>
    <t>(509 962-7351</t>
  </si>
  <si>
    <t>Name of Submitter</t>
  </si>
  <si>
    <t>Email of Submitter</t>
  </si>
  <si>
    <t>solander@kvhealthcare.org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</si>
  <si>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</si>
  <si>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</si>
  <si>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</si>
  <si>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</si>
  <si>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</si>
  <si>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</si>
  <si>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</si>
  <si>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</si>
  <si>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</si>
  <si>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</si>
  <si>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</si>
  <si>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</si>
  <si>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</si>
  <si>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</si>
  <si>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</si>
  <si>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</si>
  <si>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</si>
  <si>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</si>
  <si>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</si>
  <si>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</si>
  <si>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</si>
  <si>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</si>
  <si>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</si>
  <si>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</si>
  <si>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</si>
  <si>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</si>
  <si>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</si>
  <si>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</si>
  <si>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</si>
  <si>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</si>
  <si>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</si>
  <si>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</si>
  <si>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</si>
  <si>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</si>
  <si>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</si>
  <si>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</si>
  <si>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</si>
  <si>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</si>
  <si>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</si>
  <si>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</si>
  <si>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</si>
  <si>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</si>
  <si>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</si>
  <si>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</si>
  <si>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</si>
  <si>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</si>
  <si>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</si>
  <si>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</si>
  <si>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</si>
  <si>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</si>
  <si>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</si>
  <si>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</si>
  <si>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</si>
  <si>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</si>
  <si>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</si>
  <si>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</si>
  <si>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</si>
  <si>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</si>
  <si>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</si>
  <si>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</si>
  <si>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</si>
  <si>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</si>
  <si>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</si>
  <si>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</si>
  <si>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</si>
  <si>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</si>
  <si>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</si>
  <si>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</si>
  <si>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</si>
  <si>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</si>
  <si>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</si>
  <si>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</si>
  <si>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</si>
  <si>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</si>
  <si>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</si>
  <si>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</si>
  <si>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</si>
  <si>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</si>
  <si>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</si>
  <si>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</si>
  <si>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</si>
  <si>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</si>
  <si>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</si>
  <si>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</si>
  <si>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</si>
  <si>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</si>
  <si>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</si>
  <si>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</si>
  <si>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</si>
  <si>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</si>
  <si>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</si>
  <si>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</si>
  <si>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</si>
  <si>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</si>
  <si>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</si>
  <si>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</si>
  <si>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</si>
  <si>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</si>
  <si>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</si>
  <si>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</si>
  <si>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</si>
  <si>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</si>
  <si>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</si>
  <si>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</si>
  <si>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</si>
  <si>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</si>
  <si>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</si>
  <si>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</si>
  <si>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</si>
  <si>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</si>
  <si>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</si>
  <si>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</si>
  <si>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</si>
  <si>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</si>
  <si>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</si>
  <si>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</si>
  <si>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</si>
  <si>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</si>
  <si>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</si>
  <si>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</si>
  <si>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</si>
  <si>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</si>
  <si>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</si>
  <si>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</si>
  <si>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</si>
  <si>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</si>
  <si>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</si>
  <si>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</si>
  <si>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</si>
  <si>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</si>
  <si>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</si>
  <si>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</si>
  <si>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</si>
  <si>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</si>
  <si>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</si>
  <si>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</si>
  <si>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</si>
  <si>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</si>
  <si>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</si>
  <si>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</si>
  <si>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</si>
  <si>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</si>
  <si>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</si>
  <si>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</si>
  <si>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</si>
  <si>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</si>
  <si>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</si>
  <si>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</si>
  <si>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</si>
  <si>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</si>
  <si>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</si>
  <si>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</si>
  <si>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</si>
  <si>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</si>
  <si>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</si>
  <si>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</si>
  <si>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</si>
  <si>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</si>
  <si>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</si>
  <si>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</si>
  <si>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</si>
  <si>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</si>
  <si>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</si>
  <si>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</si>
  <si>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</si>
  <si>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</si>
  <si>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</si>
  <si>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</si>
  <si>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</si>
  <si>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</si>
  <si>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</si>
  <si>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</si>
  <si>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</si>
  <si>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</si>
  <si>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</si>
  <si>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</si>
  <si>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</si>
  <si>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</si>
  <si>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</si>
  <si>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</si>
  <si>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</si>
  <si>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</si>
  <si>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</si>
  <si>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</si>
  <si>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</si>
  <si>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</si>
  <si>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</si>
  <si>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</si>
  <si>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</si>
  <si>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</si>
  <si>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</si>
  <si>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</si>
  <si>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</si>
  <si>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</si>
  <si>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</si>
  <si>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</si>
  <si>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</si>
  <si>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</si>
  <si>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</si>
  <si>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</si>
  <si>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</si>
  <si>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</si>
  <si>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</si>
  <si>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</si>
  <si>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</si>
  <si>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</si>
  <si>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</si>
  <si>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</si>
  <si>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</si>
  <si>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</si>
  <si>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</si>
  <si>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</si>
  <si>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</si>
  <si>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</si>
  <si>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</si>
  <si>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</si>
  <si>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</si>
  <si>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</si>
  <si>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</si>
  <si>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</si>
  <si>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</si>
  <si>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</si>
  <si>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</si>
  <si>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</si>
  <si>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</si>
  <si>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</si>
  <si>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</si>
  <si>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</si>
  <si>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</si>
  <si>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</si>
  <si>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</si>
  <si>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</si>
  <si>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</si>
  <si>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</si>
  <si>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</si>
  <si>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</si>
  <si>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</si>
  <si>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</si>
  <si>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</si>
  <si>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</si>
  <si>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</si>
  <si>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</si>
  <si>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</si>
  <si>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</si>
  <si>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</si>
  <si>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</si>
  <si>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</si>
  <si>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</si>
  <si>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</si>
  <si>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</si>
  <si>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</si>
  <si>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</si>
  <si>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</si>
  <si>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</si>
  <si>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</si>
  <si>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</si>
  <si>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</si>
  <si>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</si>
  <si>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</si>
  <si>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</si>
  <si>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</si>
  <si>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</si>
  <si>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</si>
  <si>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</si>
  <si>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</si>
  <si>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</si>
  <si>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</si>
  <si>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</si>
  <si>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</si>
  <si>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</si>
  <si>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</si>
  <si>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</si>
  <si>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</si>
  <si>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</si>
  <si>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</si>
  <si>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</si>
  <si>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</si>
  <si>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</si>
  <si>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</si>
  <si>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</si>
  <si>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</si>
  <si>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</si>
  <si>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</si>
  <si>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</si>
  <si>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</si>
  <si>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</si>
  <si>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</si>
  <si>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</si>
  <si>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</si>
  <si>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</si>
  <si>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</si>
  <si>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</si>
  <si>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</si>
  <si>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</si>
  <si>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</si>
  <si>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</si>
  <si>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</si>
  <si>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</si>
  <si>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</si>
  <si>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</si>
  <si>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</si>
  <si>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</si>
  <si>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</si>
  <si>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</si>
  <si>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</si>
  <si>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</si>
  <si>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</si>
  <si>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</si>
  <si>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</si>
  <si>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</si>
  <si>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</si>
  <si>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</si>
  <si>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</si>
  <si>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</si>
  <si>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</si>
  <si>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</si>
  <si>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</si>
  <si>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</si>
  <si>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</si>
  <si>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</si>
  <si>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</si>
  <si>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</si>
  <si>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</si>
  <si>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</si>
  <si>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</si>
  <si>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</si>
  <si>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</si>
  <si>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</si>
  <si>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</si>
  <si>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</si>
  <si>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</si>
  <si>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</si>
  <si>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</si>
  <si>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</si>
  <si>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</si>
  <si>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</si>
  <si>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</si>
  <si>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</si>
  <si>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</si>
  <si>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</si>
  <si>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</si>
  <si>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</si>
  <si>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</si>
  <si>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</si>
  <si>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</si>
  <si>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</si>
  <si>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</si>
  <si>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</si>
  <si>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</si>
  <si>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</si>
  <si>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</si>
  <si>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</si>
  <si>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</si>
  <si>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</si>
  <si>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</si>
  <si>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</si>
  <si>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</si>
  <si>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</si>
  <si>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</si>
  <si>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</si>
  <si>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</si>
  <si>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</si>
  <si>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</si>
  <si>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</si>
  <si>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</si>
  <si>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</si>
  <si>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</si>
  <si>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</si>
  <si>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</si>
  <si>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</si>
  <si>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</si>
  <si>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</si>
  <si>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</si>
  <si>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</si>
  <si>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</si>
  <si>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</si>
  <si>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</si>
  <si>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</si>
  <si>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</si>
  <si>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</si>
  <si>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</si>
  <si>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</si>
  <si>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</si>
  <si>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</si>
  <si>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</si>
  <si>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</si>
  <si>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</si>
  <si>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</si>
  <si>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</si>
  <si>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</si>
  <si>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</si>
  <si>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</si>
  <si>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</si>
  <si>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</si>
  <si>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</si>
  <si>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</si>
  <si>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</si>
  <si>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</si>
  <si>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</si>
  <si>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</si>
  <si>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</si>
  <si>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</si>
  <si>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</si>
  <si>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</si>
  <si>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</si>
  <si>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</si>
  <si>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</si>
  <si>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</si>
  <si>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</si>
  <si>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</si>
  <si>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</si>
  <si>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</si>
  <si>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</si>
  <si>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</si>
  <si>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</si>
  <si>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</si>
  <si>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</si>
  <si>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</si>
  <si>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</si>
  <si>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</si>
  <si>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</si>
  <si>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</si>
  <si>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</si>
  <si>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</si>
  <si>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</si>
  <si>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</si>
  <si>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</si>
  <si>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</si>
  <si>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</si>
  <si>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</si>
  <si>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</si>
  <si>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</si>
  <si>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</si>
  <si>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</si>
  <si>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</si>
  <si>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</si>
  <si>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</si>
  <si>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</si>
  <si>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</si>
  <si>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</si>
  <si>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</si>
  <si>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</si>
  <si>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</si>
  <si>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</si>
  <si>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</si>
  <si>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</si>
  <si>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</si>
  <si>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</si>
  <si>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</si>
  <si>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</si>
  <si>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</si>
  <si>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</si>
  <si>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</si>
  <si>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</si>
  <si>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</si>
  <si>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</si>
  <si>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</si>
  <si>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</si>
  <si>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</si>
  <si>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</si>
  <si>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</si>
  <si>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</si>
  <si>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</si>
  <si>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</si>
  <si>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</si>
  <si>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</si>
  <si>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</si>
  <si>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</si>
  <si>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</si>
  <si>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</si>
  <si>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</si>
  <si>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</si>
  <si>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</si>
  <si>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</si>
  <si>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</si>
  <si>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</si>
  <si>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</si>
  <si>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</si>
  <si>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</si>
  <si>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</si>
  <si>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</si>
  <si>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</si>
  <si>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</si>
  <si>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</si>
  <si>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</si>
  <si>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</si>
  <si>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</si>
  <si>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</si>
  <si>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</si>
  <si>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</si>
  <si>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</si>
  <si>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</si>
  <si>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</si>
  <si>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</si>
  <si>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</si>
  <si>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</si>
  <si>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</si>
  <si>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</si>
  <si>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</si>
  <si>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</si>
  <si>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</si>
  <si>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</si>
  <si>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</si>
  <si>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</si>
  <si>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</si>
  <si>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</si>
  <si>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</si>
  <si>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</si>
  <si>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</si>
  <si>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</si>
  <si>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</si>
  <si>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</si>
  <si>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</si>
  <si>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</si>
  <si>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</si>
  <si>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</si>
  <si>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</si>
  <si>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</si>
  <si>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</si>
  <si>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</si>
  <si>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</si>
  <si>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</si>
  <si>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</si>
  <si>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</si>
  <si>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</si>
  <si>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</si>
  <si>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</si>
  <si>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</si>
  <si>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</si>
  <si>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</si>
  <si>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</si>
  <si>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</si>
  <si>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</si>
  <si>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</si>
  <si>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</si>
  <si>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</si>
  <si>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</si>
  <si>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</si>
  <si>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</si>
  <si>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</si>
  <si>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</si>
  <si>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</si>
  <si>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</si>
  <si>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</si>
  <si>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</si>
  <si>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</si>
  <si>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</si>
  <si>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</si>
  <si>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</si>
  <si>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</si>
  <si>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</si>
  <si>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</si>
  <si>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</si>
  <si>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</si>
  <si>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</si>
  <si>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</si>
  <si>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</si>
  <si>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</si>
  <si>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</si>
  <si>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</si>
  <si>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</si>
  <si>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</si>
  <si>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</si>
  <si>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</si>
  <si>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</si>
  <si>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</si>
  <si>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</si>
  <si>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</si>
  <si>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</si>
  <si>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</si>
  <si>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</si>
  <si>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</si>
  <si>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</si>
  <si>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</si>
  <si>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</si>
  <si>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</si>
  <si>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</si>
  <si>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</si>
  <si>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</si>
  <si>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</si>
  <si>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</si>
  <si>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</si>
  <si>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</si>
  <si>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</si>
  <si>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</si>
  <si>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</si>
  <si>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</si>
  <si>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</si>
  <si>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</si>
  <si>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</si>
  <si>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</si>
  <si>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</si>
  <si>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</si>
  <si>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</si>
  <si>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</si>
  <si>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</si>
  <si>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</si>
  <si>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</si>
  <si>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</si>
  <si>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</si>
  <si>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</si>
  <si>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</si>
  <si>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</si>
  <si>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</si>
  <si>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</si>
  <si>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</si>
  <si>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</si>
  <si>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</si>
  <si>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</si>
  <si>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</si>
  <si>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</si>
  <si>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</si>
  <si>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</si>
  <si>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</si>
  <si>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</si>
  <si>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</si>
  <si>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</si>
  <si>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</si>
  <si>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</si>
  <si>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</si>
  <si>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</si>
  <si>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</si>
  <si>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</si>
  <si>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</si>
  <si>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</si>
  <si>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</si>
  <si>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</si>
  <si>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</si>
  <si>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</si>
  <si>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</si>
  <si>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</si>
  <si>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</si>
  <si>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</si>
  <si>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</si>
  <si>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</si>
  <si>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</si>
  <si>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</si>
  <si>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</si>
  <si>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</si>
  <si>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</si>
  <si>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</si>
  <si>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</si>
  <si>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</si>
  <si>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</si>
  <si>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</si>
  <si>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</si>
  <si>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</si>
  <si>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</si>
  <si>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</si>
  <si>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</si>
  <si>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</si>
  <si>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</si>
  <si>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</si>
  <si>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</si>
  <si>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</si>
  <si>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</si>
  <si>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</si>
  <si>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</si>
  <si>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</si>
  <si>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</si>
  <si>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</si>
  <si>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</si>
  <si>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</si>
  <si>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</si>
  <si>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</si>
  <si>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</si>
  <si>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</si>
  <si>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</si>
  <si>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</si>
  <si>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</si>
  <si>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</si>
  <si>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</si>
  <si>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</si>
  <si>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</si>
  <si>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</si>
  <si>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</si>
  <si>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</si>
  <si>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</si>
  <si>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</si>
  <si>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</si>
  <si>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</si>
  <si>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</si>
  <si>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</si>
  <si>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</si>
  <si>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</si>
  <si>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</si>
  <si>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</si>
  <si>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</si>
  <si>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</si>
  <si>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</si>
  <si>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</si>
  <si>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</si>
  <si>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</si>
  <si>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</si>
  <si>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</si>
  <si>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</si>
  <si>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</si>
  <si>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</si>
  <si>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</si>
  <si>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</si>
  <si>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</si>
  <si>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</si>
  <si>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</si>
  <si>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</si>
  <si>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</si>
  <si>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</si>
  <si>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</si>
  <si>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</si>
  <si>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</si>
  <si>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</si>
  <si>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</si>
  <si>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</si>
  <si>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</si>
  <si>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</si>
  <si>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</si>
  <si>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</si>
  <si>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</si>
  <si>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</si>
  <si>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</si>
  <si>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</si>
  <si>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</si>
  <si>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</si>
  <si>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</si>
  <si>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</si>
  <si>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</si>
  <si>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</si>
  <si>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</si>
  <si>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</si>
  <si>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</si>
  <si>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</si>
  <si>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</si>
  <si>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</si>
  <si>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</si>
  <si>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</si>
  <si>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</si>
  <si>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</si>
  <si>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</si>
  <si>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</si>
  <si>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</si>
  <si>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</si>
  <si>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</si>
  <si>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</si>
  <si>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</si>
  <si>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</si>
  <si>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</si>
  <si>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</si>
  <si>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</si>
  <si>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</si>
  <si>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</si>
  <si>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</si>
  <si>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</si>
  <si>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</si>
  <si>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</si>
  <si>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</si>
  <si>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</si>
  <si>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</si>
  <si>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</si>
  <si>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</si>
  <si>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</si>
  <si>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</si>
  <si>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</si>
  <si>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</si>
  <si>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</si>
  <si>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</si>
  <si>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</si>
  <si>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</si>
  <si>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</si>
  <si>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</si>
  <si>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</si>
  <si>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</si>
  <si>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</si>
  <si>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</si>
  <si>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</si>
  <si>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</si>
  <si>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</si>
  <si>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</si>
  <si>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</si>
  <si>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</si>
  <si>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</si>
  <si>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</si>
  <si>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</si>
  <si>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</si>
  <si>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</si>
  <si>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</si>
  <si>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</si>
  <si>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</si>
  <si>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</si>
  <si>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</si>
  <si>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</si>
  <si>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</si>
  <si>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</si>
  <si>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</si>
  <si>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</si>
  <si>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</si>
  <si>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</si>
  <si>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</si>
  <si>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</si>
  <si>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</si>
  <si>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</si>
  <si>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</si>
  <si>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</si>
  <si>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</si>
  <si>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</si>
  <si>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</si>
  <si>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</si>
  <si>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</si>
  <si>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</si>
  <si>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</si>
  <si>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</si>
  <si>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</si>
  <si>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</si>
  <si>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</si>
  <si>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</si>
  <si>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</si>
  <si>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</si>
  <si>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</si>
  <si>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</si>
  <si>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</si>
  <si>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</si>
  <si>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</si>
  <si>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</si>
  <si>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</si>
  <si>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</si>
  <si>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</si>
  <si>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</si>
  <si>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</si>
  <si>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</si>
  <si>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</si>
  <si>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</si>
  <si>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</si>
  <si>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</si>
  <si>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</si>
  <si>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</si>
  <si>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</si>
  <si>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</si>
  <si>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</si>
  <si>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</si>
  <si>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</si>
  <si>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</si>
  <si>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</si>
  <si>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</si>
  <si>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</si>
  <si>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</si>
  <si>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</si>
  <si>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</si>
  <si>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</si>
  <si>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</si>
  <si>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</si>
  <si>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</si>
  <si>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</si>
  <si>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</si>
  <si>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</si>
  <si>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</si>
  <si>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</si>
  <si>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</si>
  <si>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</si>
  <si>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</si>
  <si>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</si>
  <si>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</si>
  <si>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</si>
  <si>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</si>
  <si>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</si>
  <si>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</si>
  <si>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</si>
  <si>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</si>
  <si>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</si>
  <si>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</si>
  <si>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</si>
  <si>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</si>
  <si>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</si>
  <si>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</si>
  <si>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</si>
  <si>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</si>
  <si>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</si>
  <si>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</si>
  <si>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</si>
  <si>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</si>
  <si>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</si>
  <si>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</si>
  <si>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</si>
  <si>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</si>
  <si>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</si>
  <si>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</si>
  <si>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</si>
  <si>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</si>
  <si>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</si>
  <si>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</si>
  <si>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</si>
  <si>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</si>
  <si>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</si>
  <si>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</si>
  <si>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</si>
  <si>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</si>
  <si>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</si>
  <si>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</si>
  <si>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</si>
  <si>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</si>
  <si>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</si>
  <si>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</si>
  <si>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</si>
  <si>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</si>
  <si>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</si>
  <si>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</si>
  <si>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</si>
  <si>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</si>
  <si>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</si>
  <si>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</si>
  <si>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</si>
  <si>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</si>
  <si>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</si>
  <si>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</si>
  <si>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</si>
  <si>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</si>
  <si>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</si>
  <si>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</si>
  <si>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</si>
  <si>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</si>
  <si>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</si>
  <si>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</si>
  <si>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</si>
  <si>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</si>
  <si>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</si>
  <si>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</si>
  <si>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</si>
  <si>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</si>
  <si>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</si>
  <si>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</si>
  <si>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</si>
  <si>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</si>
  <si>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</si>
  <si>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</si>
  <si>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</si>
  <si>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</si>
  <si>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</si>
  <si>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</si>
  <si>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</si>
  <si>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</si>
  <si>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</si>
  <si>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</si>
  <si>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</si>
  <si>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</si>
  <si>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</si>
  <si>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</si>
  <si>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</si>
  <si>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</si>
  <si>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</si>
  <si>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</si>
  <si>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</si>
  <si>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</si>
  <si>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</si>
  <si>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</si>
  <si>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</si>
  <si>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</si>
  <si>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</si>
  <si>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</si>
  <si>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</si>
  <si>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</si>
  <si>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</si>
  <si>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</si>
  <si>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</si>
  <si>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</si>
  <si>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</si>
  <si>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</si>
  <si>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</si>
  <si>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</si>
  <si>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</si>
  <si>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</si>
  <si>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</si>
  <si>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</si>
  <si>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</si>
  <si>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</si>
  <si>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</si>
  <si>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</si>
  <si>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</si>
  <si>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</si>
  <si>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</si>
  <si>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</si>
  <si>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</si>
  <si>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</si>
  <si>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</si>
  <si>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</si>
  <si>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</si>
  <si>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</si>
  <si>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</si>
  <si>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</si>
  <si>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</si>
  <si>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</si>
  <si>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</si>
  <si>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</si>
  <si>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</si>
  <si>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</si>
  <si>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</si>
  <si>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</si>
  <si>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</si>
  <si>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</si>
  <si>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</si>
  <si>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</si>
  <si>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</si>
  <si>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</si>
  <si>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</si>
  <si>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</si>
  <si>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</si>
  <si>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</si>
  <si>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</si>
  <si>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</si>
  <si>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</si>
  <si>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</si>
  <si>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</si>
  <si>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</si>
  <si>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</si>
  <si>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</si>
  <si>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</si>
  <si>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</si>
  <si>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</si>
  <si>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</si>
  <si>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</si>
  <si>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</si>
  <si>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</si>
  <si>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</si>
  <si>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</si>
  <si>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</si>
  <si>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</si>
  <si>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</si>
  <si>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</si>
  <si>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</si>
  <si>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</si>
  <si>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</si>
  <si>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</si>
  <si>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</si>
  <si>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</si>
  <si>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</si>
  <si>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</si>
  <si>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</si>
  <si>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</si>
  <si>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</si>
  <si>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</si>
  <si>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12/31/2023</t>
  </si>
  <si>
    <t>Julie Petersen</t>
  </si>
  <si>
    <t>Jason Adler</t>
  </si>
  <si>
    <t>Jeannette Ring, CPA</t>
  </si>
  <si>
    <t>jring@dzacpa.com</t>
  </si>
  <si>
    <t>Code</t>
  </si>
  <si>
    <t>Description</t>
  </si>
  <si>
    <t>Report 12/31/2023</t>
  </si>
  <si>
    <t>6050</t>
  </si>
  <si>
    <t>OTHER REVENUE</t>
  </si>
  <si>
    <t xml:space="preserve">    6050, 5.03</t>
  </si>
  <si>
    <t>Revenue Cycle/IS</t>
  </si>
  <si>
    <t>848000-57003</t>
  </si>
  <si>
    <t>REBATES &amp; REFUNDS-INFORMATION SYSTEMS</t>
  </si>
  <si>
    <t xml:space="preserve">        6050, 5.03 Total</t>
  </si>
  <si>
    <t xml:space="preserve">    6050, 5.04</t>
  </si>
  <si>
    <t>Materials Management</t>
  </si>
  <si>
    <t>842000-57000</t>
  </si>
  <si>
    <t>OTHER OPERATING REVENUE-MATERIALS MANAGEMENT</t>
  </si>
  <si>
    <t>842000-57003</t>
  </si>
  <si>
    <t>REBATES &amp; REFUNDS-MATERIALS MANAGEMENT</t>
  </si>
  <si>
    <t xml:space="preserve">        6050, 5.04 Total</t>
  </si>
  <si>
    <t xml:space="preserve">    6050, 5.05</t>
  </si>
  <si>
    <t>PFS</t>
  </si>
  <si>
    <t>881000-57001</t>
  </si>
  <si>
    <t>INTEREST INCOME ON A/R-NON DEPARTMENTAL</t>
  </si>
  <si>
    <t>888100-57001</t>
  </si>
  <si>
    <t>INTEREST INCOME ON A/R-EMPLOYEE BENEFITS</t>
  </si>
  <si>
    <t xml:space="preserve">        6050, 5.05 Total</t>
  </si>
  <si>
    <t xml:space="preserve">    6050, 5.06</t>
  </si>
  <si>
    <t>A&amp;G - Other</t>
  </si>
  <si>
    <t>866000-57000</t>
  </si>
  <si>
    <t>OTHER OPERATING REVENUE-STUDENT AND VOLUNTEERS</t>
  </si>
  <si>
    <t>866000-59555</t>
  </si>
  <si>
    <t>OTHER NON OPERATING INCOME OR EXPENSE-STUDENT AND VOLUNTEERS</t>
  </si>
  <si>
    <t>870000-57000</t>
  </si>
  <si>
    <t>OTHER OPERATING REVENUE-MEDICAL STAFF</t>
  </si>
  <si>
    <t>881000-57003</t>
  </si>
  <si>
    <t>REBATES &amp; REFUNDS-NON DEPARTMENTAL</t>
  </si>
  <si>
    <t xml:space="preserve">        6050, 5.06 Total</t>
  </si>
  <si>
    <t xml:space="preserve">    6050, 11</t>
  </si>
  <si>
    <t>832000-57000</t>
  </si>
  <si>
    <t>OTHER OPERATING REVENUE-FOOD AND NUTRITION</t>
  </si>
  <si>
    <t>832000-57003</t>
  </si>
  <si>
    <t>REBATES &amp; REFUNDS-FOOD AND NUTRITION</t>
  </si>
  <si>
    <t>832000-57100</t>
  </si>
  <si>
    <t>SALES-FOOD AND NUTRITION</t>
  </si>
  <si>
    <t xml:space="preserve">        6050, 11 Total</t>
  </si>
  <si>
    <t xml:space="preserve">    6050, 16</t>
  </si>
  <si>
    <t>869000-57000</t>
  </si>
  <si>
    <t>OTHER OPERATING REVENUE-HEALTH INFORMATION MANAGEMENT</t>
  </si>
  <si>
    <t xml:space="preserve">        6050, 16 Total</t>
  </si>
  <si>
    <t xml:space="preserve">    6050, 30</t>
  </si>
  <si>
    <t>Adults &amp; Peds</t>
  </si>
  <si>
    <t>610000-57000</t>
  </si>
  <si>
    <t>OTHER OPERATING REVENUE-FAMILY BIRTHING PLACE</t>
  </si>
  <si>
    <t>610005-57000</t>
  </si>
  <si>
    <t>OTHER OPERATING REVENUE-4TH TRIMESTER RESOURCE CENTER</t>
  </si>
  <si>
    <t xml:space="preserve">        6050, 30 Total</t>
  </si>
  <si>
    <t xml:space="preserve">    6050, 54</t>
  </si>
  <si>
    <t>Imaging Service</t>
  </si>
  <si>
    <t>714000-57000</t>
  </si>
  <si>
    <t>OTHER OPERATING REVENUE-IMAGING SERVICE</t>
  </si>
  <si>
    <t>714000-57100</t>
  </si>
  <si>
    <t>SALES-IMAGING SERVICE</t>
  </si>
  <si>
    <t xml:space="preserve">        6050, 54 Total</t>
  </si>
  <si>
    <t xml:space="preserve">    6050, 73</t>
  </si>
  <si>
    <t>717000-57000</t>
  </si>
  <si>
    <t>OTHER OPERATING REVENUE-PHARMACY</t>
  </si>
  <si>
    <t>717000-57003</t>
  </si>
  <si>
    <t>REBATES &amp; REFUNDS-PHARMACY</t>
  </si>
  <si>
    <t xml:space="preserve">        6050, 73 Total</t>
  </si>
  <si>
    <t xml:space="preserve">    6050, 88.01</t>
  </si>
  <si>
    <t>CleElum Fam Med Clinic</t>
  </si>
  <si>
    <t>738100-57003</t>
  </si>
  <si>
    <t>REBATES &amp; REFUNDS-KVH FAMILY MEDICINE CLE ELUM</t>
  </si>
  <si>
    <t xml:space="preserve">        6050, 88.01 Total</t>
  </si>
  <si>
    <t xml:space="preserve">    6050, 90.01</t>
  </si>
  <si>
    <t>Workplace Health</t>
  </si>
  <si>
    <t>738600-57000</t>
  </si>
  <si>
    <t>OTHER OPERATING REVENUE-KVH WORKPLACE HEALTH</t>
  </si>
  <si>
    <t xml:space="preserve">        6050, 90.01 Total</t>
  </si>
  <si>
    <t xml:space="preserve">    6050, AL</t>
  </si>
  <si>
    <t>Allocate</t>
  </si>
  <si>
    <t>881000-57000</t>
  </si>
  <si>
    <t>OTHER OPERATING REVENUE-NON DEPARTMENTAL</t>
  </si>
  <si>
    <t xml:space="preserve">        6050, AL Total</t>
  </si>
  <si>
    <t xml:space="preserve">    6050, EX</t>
  </si>
  <si>
    <t>Exclude</t>
  </si>
  <si>
    <t>717005-57003</t>
  </si>
  <si>
    <t>REBATES &amp; REFUNDS-PHARMACY 340B</t>
  </si>
  <si>
    <t>717200-57003</t>
  </si>
  <si>
    <t>REBATES &amp; REFUNDS-PHARMACY RETAIL</t>
  </si>
  <si>
    <t>721000-57000</t>
  </si>
  <si>
    <t>OTHER OPERATING REVENUE-KVH URGENT CARE CENTER CLE ELUM</t>
  </si>
  <si>
    <t>843015-59041</t>
  </si>
  <si>
    <t>NON OPERATING INTEREST INCOME RIGHT OF USE-MEDICAL ARTS CENTER</t>
  </si>
  <si>
    <t>866005-57000</t>
  </si>
  <si>
    <t>OTHER OPERATING REVENUE-GIFT SHOP</t>
  </si>
  <si>
    <t>881000-57004</t>
  </si>
  <si>
    <t>MEDICAID TRANSFRMTN DEMO (IGT)-NON DEPARTMENTAL</t>
  </si>
  <si>
    <t xml:space="preserve">        6050, EX Total</t>
  </si>
  <si>
    <t xml:space="preserve">    6050, 4</t>
  </si>
  <si>
    <t>4 (created by import)</t>
  </si>
  <si>
    <t>888100-57000</t>
  </si>
  <si>
    <t>OTHER OPERATING REVENUE-EMPLOYEE BENEFITS</t>
  </si>
  <si>
    <t xml:space="preserve">        6050, 4 Total</t>
  </si>
  <si>
    <t xml:space="preserve">    6050, No Subcode</t>
  </si>
  <si>
    <t>881000-59555</t>
  </si>
  <si>
    <t>OTHER NON OPERATING INCOME OR EXPENSE-NON DEPARTMENTAL</t>
  </si>
  <si>
    <t xml:space="preserve">        6050, No Subcode Total</t>
  </si>
  <si>
    <t xml:space="preserve"> </t>
  </si>
  <si>
    <t>6050 Total</t>
  </si>
  <si>
    <t xml:space="preserve">    Other, 6010</t>
  </si>
  <si>
    <t>ICU</t>
  </si>
  <si>
    <t>601000-70120</t>
  </si>
  <si>
    <t>TEMP HOUSING/MISC-ICU/CCU</t>
  </si>
  <si>
    <t>601000-70760</t>
  </si>
  <si>
    <t>DUES &amp; SUBSCRIPTIONS-ICU/CCU</t>
  </si>
  <si>
    <t xml:space="preserve">        Other, 6010 Total</t>
  </si>
  <si>
    <t xml:space="preserve">    Other, 6070</t>
  </si>
  <si>
    <t>607000-70120</t>
  </si>
  <si>
    <t>TEMP HOUSING/MISC-MED/SURG</t>
  </si>
  <si>
    <t>607000-70750</t>
  </si>
  <si>
    <t>EMPLOYEE RECOGNITION-MED/SURG</t>
  </si>
  <si>
    <t>607000-70760</t>
  </si>
  <si>
    <t>DUES &amp; SUBSCRIPTIONS-MED/SURG</t>
  </si>
  <si>
    <t xml:space="preserve">        Other, 6070 Total</t>
  </si>
  <si>
    <t xml:space="preserve">    Other, 7010</t>
  </si>
  <si>
    <t>Labor &amp; Delivery</t>
  </si>
  <si>
    <t>610000-70120</t>
  </si>
  <si>
    <t>TEMP HOUSING/MISC-FAMILY BIRTHING PLACE</t>
  </si>
  <si>
    <t>610000-70330</t>
  </si>
  <si>
    <t>SUPPLIES - FREIGHT-FAMILY BIRTHING PLACE</t>
  </si>
  <si>
    <t>610000-70760</t>
  </si>
  <si>
    <t>DUES &amp; SUBSCRIPTIONS-FAMILY BIRTHING PLACE</t>
  </si>
  <si>
    <t xml:space="preserve">        Other, 7010 Total</t>
  </si>
  <si>
    <t xml:space="preserve">    Other, 7020</t>
  </si>
  <si>
    <t>702000-70120</t>
  </si>
  <si>
    <t>TEMP HOUSING/MISC-SURGICAL SERVICES</t>
  </si>
  <si>
    <t>702000-70330</t>
  </si>
  <si>
    <t>SUPPLIES - FREIGHT-SURGICAL SERVICES</t>
  </si>
  <si>
    <t>702000-70750</t>
  </si>
  <si>
    <t>EMPLOYEE RECOGNITION-SURGICAL SERVICES</t>
  </si>
  <si>
    <t>702000-70755</t>
  </si>
  <si>
    <t>PROMOTION &amp; SPONSORSHIP-SURGICAL SERVICES</t>
  </si>
  <si>
    <t>702000-70760</t>
  </si>
  <si>
    <t>DUES &amp; SUBSCRIPTIONS-SURGICAL SERVICES</t>
  </si>
  <si>
    <t xml:space="preserve">        Other, 7020 Total</t>
  </si>
  <si>
    <t xml:space="preserve">    Other, 7050</t>
  </si>
  <si>
    <t>702900-70760</t>
  </si>
  <si>
    <t>DUES &amp; SUBSCRIPTIONS-STERILE PROCESSING</t>
  </si>
  <si>
    <t xml:space="preserve">        Other, 7050 Total</t>
  </si>
  <si>
    <t xml:space="preserve">    Other, 7070</t>
  </si>
  <si>
    <t>707000-70330</t>
  </si>
  <si>
    <t>SUPPLIES - FREIGHT-LABORATORY</t>
  </si>
  <si>
    <t>707000-70750</t>
  </si>
  <si>
    <t>EMPLOYEE RECOGNITION-LABORATORY</t>
  </si>
  <si>
    <t>707000-70760</t>
  </si>
  <si>
    <t>DUES &amp; SUBSCRIPTIONS-LABORATORY</t>
  </si>
  <si>
    <t xml:space="preserve">        Other, 7070 Total</t>
  </si>
  <si>
    <t xml:space="preserve">    Other, 7120</t>
  </si>
  <si>
    <t>Magnetic Res Imaging</t>
  </si>
  <si>
    <t>712000-70760</t>
  </si>
  <si>
    <t>DUES &amp; SUBSCRIPTIONS-MRI</t>
  </si>
  <si>
    <t xml:space="preserve">        Other, 7120 Total</t>
  </si>
  <si>
    <t xml:space="preserve">    Other, 7140</t>
  </si>
  <si>
    <t>Radiology-Diagnostic</t>
  </si>
  <si>
    <t>714000-70120</t>
  </si>
  <si>
    <t>TEMP HOUSING/MISC-IMAGING SERVICE</t>
  </si>
  <si>
    <t>714900-70760</t>
  </si>
  <si>
    <t>DUES &amp; SUBSCRIPTIONS-MAMMOGRAPHY</t>
  </si>
  <si>
    <t xml:space="preserve">        Other, 7140 Total</t>
  </si>
  <si>
    <t xml:space="preserve">    Other, 7170</t>
  </si>
  <si>
    <t>717000-70330</t>
  </si>
  <si>
    <t>SUPPLIES - FREIGHT-PHARMACY</t>
  </si>
  <si>
    <t>717000-70760</t>
  </si>
  <si>
    <t>DUES &amp; SUBSCRIPTIONS-PHARMACY</t>
  </si>
  <si>
    <t>717005-70760</t>
  </si>
  <si>
    <t>DUES &amp; SUBSCRIPTIONS-PHARMACY 340B</t>
  </si>
  <si>
    <t xml:space="preserve">        Other, 7170 Total</t>
  </si>
  <si>
    <t xml:space="preserve">    Other, 7200</t>
  </si>
  <si>
    <t>PT</t>
  </si>
  <si>
    <t>720000-70760</t>
  </si>
  <si>
    <t>DUES &amp; SUBSCRIPTIONS-PHYSICAL THERAPY</t>
  </si>
  <si>
    <t xml:space="preserve">        Other, 7200 Total</t>
  </si>
  <si>
    <t xml:space="preserve">    Other, 7230</t>
  </si>
  <si>
    <t>ER</t>
  </si>
  <si>
    <t>723000-70120</t>
  </si>
  <si>
    <t>TEMP HOUSING/MISC-EMERGENCY SERVICES</t>
  </si>
  <si>
    <t>723000-70330</t>
  </si>
  <si>
    <t>SUPPLIES - FREIGHT-EMERGENCY SERVICES</t>
  </si>
  <si>
    <t>723000-70750</t>
  </si>
  <si>
    <t>EMPLOYEE RECOGNITION-EMERGENCY SERVICES</t>
  </si>
  <si>
    <t>723000-70760</t>
  </si>
  <si>
    <t>DUES &amp; SUBSCRIPTIONS-EMERGENCY SERVICES</t>
  </si>
  <si>
    <t>723500-70120</t>
  </si>
  <si>
    <t>TEMP HOUSING/MISC-EMERGENCY SERVICE PHYSICIANS</t>
  </si>
  <si>
    <t>723500-70760</t>
  </si>
  <si>
    <t>DUES &amp; SUBSCRIPTIONS-EMERGENCY SERVICE PHYSICIANS</t>
  </si>
  <si>
    <t xml:space="preserve">        Other, 7230 Total</t>
  </si>
  <si>
    <t xml:space="preserve">    Other, 7260</t>
  </si>
  <si>
    <t>721000-70755</t>
  </si>
  <si>
    <t>PROMOTION &amp; SPONSORSHIP-KVH URGENT CARE CENTER CLE ELUM</t>
  </si>
  <si>
    <t>738000-70120</t>
  </si>
  <si>
    <t>TEMP HOUSING/MISC-KVH FAMILY MEDICINE ELLENSBURG</t>
  </si>
  <si>
    <t>738000-70750</t>
  </si>
  <si>
    <t>EMPLOYEE RECOGNITION-KVH FAMILY MEDICINE ELLENSBURG</t>
  </si>
  <si>
    <t>738000-70755</t>
  </si>
  <si>
    <t>PROMOTION &amp; SPONSORSHIP-KVH FAMILY MEDICINE ELLENSBURG</t>
  </si>
  <si>
    <t>738000-70760</t>
  </si>
  <si>
    <t>DUES &amp; SUBSCRIPTIONS-KVH FAMILY MEDICINE ELLENSBURG</t>
  </si>
  <si>
    <t>738000-70780</t>
  </si>
  <si>
    <t>OTHER DIRECT EXPENSE-KVH FAMILY MEDICINE ELLENSBURG</t>
  </si>
  <si>
    <t>738100-70750</t>
  </si>
  <si>
    <t>EMPLOYEE RECOGNITION-KVH FAMILY MEDICINE CLE ELUM</t>
  </si>
  <si>
    <t>738100-70755</t>
  </si>
  <si>
    <t>PROMOTION &amp; SPONSORSHIP-KVH FAMILY MEDICINE CLE ELUM</t>
  </si>
  <si>
    <t>738100-70760</t>
  </si>
  <si>
    <t>DUES &amp; SUBSCRIPTIONS-KVH FAMILY MEDICINE CLE ELUM</t>
  </si>
  <si>
    <t>738150-70120</t>
  </si>
  <si>
    <t>TEMP HOUSING/MISC-KVH PEDIATRICS</t>
  </si>
  <si>
    <t>738150-70750</t>
  </si>
  <si>
    <t>EMPLOYEE RECOGNITION-KVH PEDIATRICS</t>
  </si>
  <si>
    <t>738150-70755</t>
  </si>
  <si>
    <t>PROMOTION &amp; SPONSORSHIP-KVH PEDIATRICS</t>
  </si>
  <si>
    <t>738160-70750</t>
  </si>
  <si>
    <t>EMPLOYEE RECOGNITION-KVH RAPID ACCESS</t>
  </si>
  <si>
    <t>738200-70120</t>
  </si>
  <si>
    <t>TEMP HOUSING/MISC-KVH ADULT MEDICINE</t>
  </si>
  <si>
    <t>738200-70330</t>
  </si>
  <si>
    <t>SUPPLIES - FREIGHT-KVH ADULT MEDICINE</t>
  </si>
  <si>
    <t>738200-70750</t>
  </si>
  <si>
    <t>EMPLOYEE RECOGNITION-KVH ADULT MEDICINE</t>
  </si>
  <si>
    <t>738200-70755</t>
  </si>
  <si>
    <t>PROMOTION &amp; SPONSORSHIP-KVH ADULT MEDICINE</t>
  </si>
  <si>
    <t>738200-70760</t>
  </si>
  <si>
    <t>DUES &amp; SUBSCRIPTIONS-KVH ADULT MEDICINE</t>
  </si>
  <si>
    <t>738300-70120</t>
  </si>
  <si>
    <t>TEMP HOUSING/MISC-KVH WOMENS HEALTH</t>
  </si>
  <si>
    <t>738300-70750</t>
  </si>
  <si>
    <t>EMPLOYEE RECOGNITION-KVH WOMENS HEALTH</t>
  </si>
  <si>
    <t>738300-70755</t>
  </si>
  <si>
    <t>PROMOTION &amp; SPONSORSHIP-KVH WOMENS HEALTH</t>
  </si>
  <si>
    <t>738350-70750</t>
  </si>
  <si>
    <t>EMPLOYEE RECOGNITION-KVH DERMATOLOGY</t>
  </si>
  <si>
    <t>738375-70120</t>
  </si>
  <si>
    <t>TEMP HOUSING/MISC-KVH ENT</t>
  </si>
  <si>
    <t>738375-70330</t>
  </si>
  <si>
    <t>SUPPLIES - FREIGHT-KVH ENT</t>
  </si>
  <si>
    <t>738375-70750</t>
  </si>
  <si>
    <t>EMPLOYEE RECOGNITION-KVH ENT</t>
  </si>
  <si>
    <t>738400-70750</t>
  </si>
  <si>
    <t>EMPLOYEE RECOGNITION-KVH ORTHOPEDICS</t>
  </si>
  <si>
    <t>738400-70755</t>
  </si>
  <si>
    <t>PROMOTION &amp; SPONSORSHIP-KVH ORTHOPEDICS</t>
  </si>
  <si>
    <t>738500-70330</t>
  </si>
  <si>
    <t>SUPPLIES - FREIGHT-KVH GENERAL SURGERY</t>
  </si>
  <si>
    <t>738500-70750</t>
  </si>
  <si>
    <t>EMPLOYEE RECOGNITION-KVH GENERAL SURGERY</t>
  </si>
  <si>
    <t>738500-70760</t>
  </si>
  <si>
    <t>DUES &amp; SUBSCRIPTIONS-KVH GENERAL SURGERY</t>
  </si>
  <si>
    <t>738600-70120</t>
  </si>
  <si>
    <t>TEMP HOUSING/MISC-KVH WORKPLACE HEALTH</t>
  </si>
  <si>
    <t>738600-70750</t>
  </si>
  <si>
    <t>EMPLOYEE RECOGNITION-KVH WORKPLACE HEALTH</t>
  </si>
  <si>
    <t>738600-70755</t>
  </si>
  <si>
    <t>PROMOTION &amp; SPONSORSHIP-KVH WORKPLACE HEALTH</t>
  </si>
  <si>
    <t>861100-70750</t>
  </si>
  <si>
    <t>EMPLOYEE RECOGNITION-CLINIC ADMINISTRATION</t>
  </si>
  <si>
    <t>861100-70760</t>
  </si>
  <si>
    <t>DUES &amp; SUBSCRIPTIONS-CLINIC ADMINISTRATION</t>
  </si>
  <si>
    <t>861100-70780</t>
  </si>
  <si>
    <t>OTHER DIRECT EXPENSE-CLINIC ADMINISTRATION</t>
  </si>
  <si>
    <t xml:space="preserve">        Other, 7260 Total</t>
  </si>
  <si>
    <t xml:space="preserve">    Other, 7310</t>
  </si>
  <si>
    <t>OT</t>
  </si>
  <si>
    <t>720200-70760</t>
  </si>
  <si>
    <t>DUES &amp; SUBSCRIPTIONS-OCCUPATIONAL THERAPY</t>
  </si>
  <si>
    <t xml:space="preserve">        Other, 7310 Total</t>
  </si>
  <si>
    <t xml:space="preserve">    Other, 7320</t>
  </si>
  <si>
    <t>720300-70760</t>
  </si>
  <si>
    <t>DUES &amp; SUBSCRIPTIONS-SPEECH THERAPY</t>
  </si>
  <si>
    <t xml:space="preserve">        Other, 7320 Total</t>
  </si>
  <si>
    <t xml:space="preserve">    Other, 7400</t>
  </si>
  <si>
    <t>740000-70120</t>
  </si>
  <si>
    <t>TEMP HOUSING/MISC-HOME HEALTH SERVICES</t>
  </si>
  <si>
    <t>740000-70330</t>
  </si>
  <si>
    <t>SUPPLIES - FREIGHT-HOME HEALTH SERVICES</t>
  </si>
  <si>
    <t>740000-70750</t>
  </si>
  <si>
    <t>EMPLOYEE RECOGNITION-HOME HEALTH SERVICES</t>
  </si>
  <si>
    <t>740000-70760</t>
  </si>
  <si>
    <t>DUES &amp; SUBSCRIPTIONS-HOME HEALTH SERVICES</t>
  </si>
  <si>
    <t>740100-70755</t>
  </si>
  <si>
    <t>PROMOTION &amp; SPONSORSHIP-HOSPICE</t>
  </si>
  <si>
    <t>740100-70760</t>
  </si>
  <si>
    <t>DUES &amp; SUBSCRIPTIONS-HOSPICE</t>
  </si>
  <si>
    <t xml:space="preserve">        Other, 7400 Total</t>
  </si>
  <si>
    <t xml:space="preserve">    Other, 8320</t>
  </si>
  <si>
    <t>726500-70760</t>
  </si>
  <si>
    <t>DUES &amp; SUBSCRIPTIONS-DIETARY EDUCATION</t>
  </si>
  <si>
    <t>832000-70750</t>
  </si>
  <si>
    <t>EMPLOYEE RECOGNITION-FOOD AND NUTRITION</t>
  </si>
  <si>
    <t xml:space="preserve">        Other, 8320 Total</t>
  </si>
  <si>
    <t xml:space="preserve">    Other, 8420</t>
  </si>
  <si>
    <t>842000-70330</t>
  </si>
  <si>
    <t>SUPPLIES - FREIGHT-MATERIALS MANAGEMENT</t>
  </si>
  <si>
    <t>842000-70750</t>
  </si>
  <si>
    <t>EMPLOYEE RECOGNITION-MATERIALS MANAGEMENT</t>
  </si>
  <si>
    <t>842000-70780</t>
  </si>
  <si>
    <t>OTHER DIRECT EXPENSE-MATERIALS MANAGEMENT</t>
  </si>
  <si>
    <t xml:space="preserve">        Other, 8420 Total</t>
  </si>
  <si>
    <t xml:space="preserve">    Other, 8430</t>
  </si>
  <si>
    <t>843000-70330</t>
  </si>
  <si>
    <t>SUPPLIES - FREIGHT-ENGINEERING</t>
  </si>
  <si>
    <t>843000-70755</t>
  </si>
  <si>
    <t>PROMOTION &amp; SPONSORSHIP-ENGINEERING</t>
  </si>
  <si>
    <t>843000-70760</t>
  </si>
  <si>
    <t>DUES &amp; SUBSCRIPTIONS-ENGINEERING</t>
  </si>
  <si>
    <t xml:space="preserve">        Other, 8430 Total</t>
  </si>
  <si>
    <t xml:space="preserve">    Other, 8480</t>
  </si>
  <si>
    <t>848000-70750</t>
  </si>
  <si>
    <t>EMPLOYEE RECOGNITION-INFORMATION SYSTEMS</t>
  </si>
  <si>
    <t xml:space="preserve">        Other, 8480 Total</t>
  </si>
  <si>
    <t xml:space="preserve">    Other, 8510</t>
  </si>
  <si>
    <t>851000-70750</t>
  </si>
  <si>
    <t>EMPLOYEE RECOGNITION-FISCAL SERVICES</t>
  </si>
  <si>
    <t>851000-70760</t>
  </si>
  <si>
    <t>DUES &amp; SUBSCRIPTIONS-FISCAL SERVICES</t>
  </si>
  <si>
    <t xml:space="preserve">        Other, 8510 Total</t>
  </si>
  <si>
    <t xml:space="preserve">    Other, 8530</t>
  </si>
  <si>
    <t>854000-70750</t>
  </si>
  <si>
    <t>EMPLOYEE RECOGNITION-REVENUE CYCLE MANAGEMENT</t>
  </si>
  <si>
    <t xml:space="preserve">        Other, 8530 Total</t>
  </si>
  <si>
    <t>853000-70750</t>
  </si>
  <si>
    <t>EMPLOYEE RECOGNITION-PATIENT ACCESS SERVICES</t>
  </si>
  <si>
    <t xml:space="preserve">    Other, 8610</t>
  </si>
  <si>
    <t>Hospital Admin</t>
  </si>
  <si>
    <t>861000-70750</t>
  </si>
  <si>
    <t>EMPLOYEE RECOGNITION-ADMINISTRATION</t>
  </si>
  <si>
    <t>861000-70755</t>
  </si>
  <si>
    <t>PROMOTION &amp; SPONSORSHIP-ADMINISTRATION</t>
  </si>
  <si>
    <t>861000-70760</t>
  </si>
  <si>
    <t>DUES &amp; SUBSCRIPTIONS-ADMINISTRATION</t>
  </si>
  <si>
    <t>861000-70780</t>
  </si>
  <si>
    <t>OTHER DIRECT EXPENSE-ADMINISTRATION</t>
  </si>
  <si>
    <t xml:space="preserve">        Other, 8610 Total</t>
  </si>
  <si>
    <t xml:space="preserve">    Other, 8620</t>
  </si>
  <si>
    <t>Employee Health</t>
  </si>
  <si>
    <t>862000-70750</t>
  </si>
  <si>
    <t>EMPLOYEE RECOGNITION-EMPLOYEE HEALTH</t>
  </si>
  <si>
    <t>862000-70760</t>
  </si>
  <si>
    <t>DUES &amp; SUBSCRIPTIONS-EMPLOYEE HEALTH</t>
  </si>
  <si>
    <t xml:space="preserve">        Other, 8620 Total</t>
  </si>
  <si>
    <t xml:space="preserve">    Other, 8630</t>
  </si>
  <si>
    <t>863000-70750</t>
  </si>
  <si>
    <t>EMPLOYEE RECOGNITION-COMMUNITY RELATIONS</t>
  </si>
  <si>
    <t>863000-70755</t>
  </si>
  <si>
    <t>PROMOTION &amp; SPONSORSHIP-COMMUNITY RELATIONS</t>
  </si>
  <si>
    <t>863000-70760</t>
  </si>
  <si>
    <t>DUES &amp; SUBSCRIPTIONS-COMMUNITY RELATIONS</t>
  </si>
  <si>
    <t xml:space="preserve">        Other, 8630 Total</t>
  </si>
  <si>
    <t xml:space="preserve">    Other, 8650</t>
  </si>
  <si>
    <t>865000-70750</t>
  </si>
  <si>
    <t>EMPLOYEE RECOGNITION-HUMAN RESOURCES</t>
  </si>
  <si>
    <t>865000-70755</t>
  </si>
  <si>
    <t>PROMOTION &amp; SPONSORSHIP-HUMAN RESOURCES</t>
  </si>
  <si>
    <t>865000-70760</t>
  </si>
  <si>
    <t>DUES &amp; SUBSCRIPTIONS-HUMAN RESOURCES</t>
  </si>
  <si>
    <t>865000-70780</t>
  </si>
  <si>
    <t>OTHER DIRECT EXPENSE-HUMAN RESOURCES</t>
  </si>
  <si>
    <t>874000-70750</t>
  </si>
  <si>
    <t>EMPLOYEE RECOGNITION-STAFF DEVELOPMENT</t>
  </si>
  <si>
    <t>874000-70755</t>
  </si>
  <si>
    <t>PROMOTION &amp; SPONSORSHIP-STAFF DEVELOPMENT</t>
  </si>
  <si>
    <t>874000-70760</t>
  </si>
  <si>
    <t>DUES &amp; SUBSCRIPTIONS-STAFF DEVELOPMENT</t>
  </si>
  <si>
    <t xml:space="preserve">        Other, 8650 Total</t>
  </si>
  <si>
    <t xml:space="preserve">    Other, 8690</t>
  </si>
  <si>
    <t>869000-70750</t>
  </si>
  <si>
    <t>EMPLOYEE RECOGNITION-HEALTH INFORMATION MANAGEMENT</t>
  </si>
  <si>
    <t>869000-70755</t>
  </si>
  <si>
    <t>PROMOTION &amp; SPONSORSHIP-HEALTH INFORMATION MANAGEMENT</t>
  </si>
  <si>
    <t>869000-70760</t>
  </si>
  <si>
    <t>DUES &amp; SUBSCRIPTIONS-HEALTH INFORMATION MANAGEMENT</t>
  </si>
  <si>
    <t xml:space="preserve">        Other, 8690 Total</t>
  </si>
  <si>
    <t xml:space="preserve">    Other, 8700</t>
  </si>
  <si>
    <t>870000-70120</t>
  </si>
  <si>
    <t>TEMP HOUSING/MISC-MEDICAL STAFF</t>
  </si>
  <si>
    <t>870000-70750</t>
  </si>
  <si>
    <t>EMPLOYEE RECOGNITION-MEDICAL STAFF</t>
  </si>
  <si>
    <t>870000-70755</t>
  </si>
  <si>
    <t>PROMOTION &amp; SPONSORSHIP-MEDICAL STAFF</t>
  </si>
  <si>
    <t>870000-70760</t>
  </si>
  <si>
    <t>DUES &amp; SUBSCRIPTIONS-MEDICAL STAFF</t>
  </si>
  <si>
    <t xml:space="preserve">        Other, 8700 Total</t>
  </si>
  <si>
    <t xml:space="preserve">    Other, 8710</t>
  </si>
  <si>
    <t>Utilization Management</t>
  </si>
  <si>
    <t>871000-70750</t>
  </si>
  <si>
    <t>EMPLOYEE RECOGNITION-QUALITY</t>
  </si>
  <si>
    <t>871000-70755</t>
  </si>
  <si>
    <t>PROMOTION &amp; SPONSORSHIP-QUALITY</t>
  </si>
  <si>
    <t>871000-70760</t>
  </si>
  <si>
    <t>DUES &amp; SUBSCRIPTIONS-QUALITY</t>
  </si>
  <si>
    <t>871000-70780</t>
  </si>
  <si>
    <t>OTHER DIRECT EXPENSE-QUALITY</t>
  </si>
  <si>
    <t xml:space="preserve">        Other, 8710 Total</t>
  </si>
  <si>
    <t xml:space="preserve">    Other, 8720</t>
  </si>
  <si>
    <t>Nursing Admin</t>
  </si>
  <si>
    <t>872000-70750</t>
  </si>
  <si>
    <t>EMPLOYEE RECOGNITION-PATIENT CARE SERVICES</t>
  </si>
  <si>
    <t>872000-70755</t>
  </si>
  <si>
    <t>PROMOTION &amp; SPONSORSHIP-PATIENT CARE SERVICES</t>
  </si>
  <si>
    <t>872000-70760</t>
  </si>
  <si>
    <t>DUES &amp; SUBSCRIPTIONS-PATIENT CARE SERVICES</t>
  </si>
  <si>
    <t>872100-70120</t>
  </si>
  <si>
    <t>TEMP HOUSING/MISC-HOUSE SUPERVISOR</t>
  </si>
  <si>
    <t>872100-70760</t>
  </si>
  <si>
    <t>DUES &amp; SUBSCRIPTIONS-HOUSE SUPERVISOR</t>
  </si>
  <si>
    <t xml:space="preserve">        Other, 8720 Total</t>
  </si>
  <si>
    <t xml:space="preserve">    Other, 8790</t>
  </si>
  <si>
    <t>Other Admin Services</t>
  </si>
  <si>
    <t>866000-70750</t>
  </si>
  <si>
    <t>EMPLOYEE RECOGNITION-STUDENT AND VOLUNTEERS</t>
  </si>
  <si>
    <t>875001-59101</t>
  </si>
  <si>
    <t>NON OPERATING GRANTS EXPENSES-WA RURAL HEALTH COLLAB</t>
  </si>
  <si>
    <t>881000-59590</t>
  </si>
  <si>
    <t>EXTRAORDINARY EVENT-NON DEPARTMENTAL</t>
  </si>
  <si>
    <t>888100-70750</t>
  </si>
  <si>
    <t>EMPLOYEE RECOGNITION-EMPLOYEE BENEFITS</t>
  </si>
  <si>
    <t xml:space="preserve">        Other, 8790 Total</t>
  </si>
  <si>
    <t>There was an increase of $70,000 in supplies. Cafeteria expenses were also lumped into Dietary in the CY since there was no clear distinction in the accounts between them.</t>
  </si>
  <si>
    <t>We allocated expenses between nursery and L&amp;D differently in FY23 as compared to FY22.</t>
  </si>
  <si>
    <t>601000-70700</t>
  </si>
  <si>
    <t>TRAVEL &amp; EDUCATION-ICU/CCU</t>
  </si>
  <si>
    <t>601000-70705</t>
  </si>
  <si>
    <t>MILEAGE-ICU/CCU</t>
  </si>
  <si>
    <t>607000-70700</t>
  </si>
  <si>
    <t>TRAVEL &amp; EDUCATION-MED/SURG</t>
  </si>
  <si>
    <t>607000-70705</t>
  </si>
  <si>
    <t>MILEAGE-MED/SURG</t>
  </si>
  <si>
    <t>607000-70775</t>
  </si>
  <si>
    <t>RECRUITMENT-MED/SURG</t>
  </si>
  <si>
    <t>607000-70780</t>
  </si>
  <si>
    <t>OTHER DIRECT EXPENSE-MED/SURG</t>
  </si>
  <si>
    <t>607500-70120</t>
  </si>
  <si>
    <t>TEMP HOUSING/MISC-HOSPITALIST</t>
  </si>
  <si>
    <t>871500-70705</t>
  </si>
  <si>
    <t>MILEAGE-CASE MANAGEMENT</t>
  </si>
  <si>
    <t>610000-70700</t>
  </si>
  <si>
    <t>TRAVEL &amp; EDUCATION-FAMILY BIRTHING PLACE</t>
  </si>
  <si>
    <t>610000-70755</t>
  </si>
  <si>
    <t>PROMOTION &amp; SPONSORSHIP-FAMILY BIRTHING PLACE</t>
  </si>
  <si>
    <t>610000-70775</t>
  </si>
  <si>
    <t>RECRUITMENT-FAMILY BIRTHING PLACE</t>
  </si>
  <si>
    <t>610005-70700</t>
  </si>
  <si>
    <t>TRAVEL &amp; EDUCATION-4TH TRIMESTER RESOURCE CENTER</t>
  </si>
  <si>
    <t>702000-70700</t>
  </si>
  <si>
    <t>TRAVEL &amp; EDUCATION-SURGICAL SERVICES</t>
  </si>
  <si>
    <t xml:space="preserve">    Other, 7030</t>
  </si>
  <si>
    <t>702700-70702</t>
  </si>
  <si>
    <t>CONTINUED MEDICAL EDUCATION CME AND DUES-WOUND CARE</t>
  </si>
  <si>
    <t>702800-70700</t>
  </si>
  <si>
    <t>TRAVEL &amp; EDUCATION-SURGICAL OUTPATIENT</t>
  </si>
  <si>
    <t>702800-70702</t>
  </si>
  <si>
    <t>CONTINUED MEDICAL EDUCATION CME AND DUES-SURGICAL OUTPATIENT</t>
  </si>
  <si>
    <t>702800-70780</t>
  </si>
  <si>
    <t>OTHER DIRECT EXPENSE-SURGICAL OUTPATIENT</t>
  </si>
  <si>
    <t xml:space="preserve">        Other, 7030 Total</t>
  </si>
  <si>
    <t>702900-70330</t>
  </si>
  <si>
    <t>SUPPLIES - FREIGHT-STERILE PROCESSING</t>
  </si>
  <si>
    <t>702900-70700</t>
  </si>
  <si>
    <t>TRAVEL &amp; EDUCATION-STERILE PROCESSING</t>
  </si>
  <si>
    <t>707000-70700</t>
  </si>
  <si>
    <t>TRAVEL &amp; EDUCATION-LABORATORY</t>
  </si>
  <si>
    <t>707000-70705</t>
  </si>
  <si>
    <t>MILEAGE-LABORATORY</t>
  </si>
  <si>
    <t xml:space="preserve">    Other, 7130</t>
  </si>
  <si>
    <t>713000-70700</t>
  </si>
  <si>
    <t>TRAVEL &amp; EDUCATION-CT SCAN</t>
  </si>
  <si>
    <t>713000-70705</t>
  </si>
  <si>
    <t>MILEAGE-CT SCAN</t>
  </si>
  <si>
    <t xml:space="preserve">        Other, 7130 Total</t>
  </si>
  <si>
    <t>714000-70330</t>
  </si>
  <si>
    <t>SUPPLIES - FREIGHT-IMAGING SERVICE</t>
  </si>
  <si>
    <t>714000-70700</t>
  </si>
  <si>
    <t>TRAVEL &amp; EDUCATION-IMAGING SERVICE</t>
  </si>
  <si>
    <t>714000-70750</t>
  </si>
  <si>
    <t>EMPLOYEE RECOGNITION-IMAGING SERVICE</t>
  </si>
  <si>
    <t>714000-70760</t>
  </si>
  <si>
    <t>DUES &amp; SUBSCRIPTIONS-IMAGING SERVICE</t>
  </si>
  <si>
    <t>714300-70700</t>
  </si>
  <si>
    <t>TRAVEL &amp; EDUCATION-ULTRASOUND</t>
  </si>
  <si>
    <t>714900-70700</t>
  </si>
  <si>
    <t>TRAVEL &amp; EDUCATION-MAMMOGRAPHY</t>
  </si>
  <si>
    <t>717000-70700</t>
  </si>
  <si>
    <t>TRAVEL &amp; EDUCATION-PHARMACY</t>
  </si>
  <si>
    <t>717000-70705</t>
  </si>
  <si>
    <t>MILEAGE-PHARMACY</t>
  </si>
  <si>
    <t xml:space="preserve">    Other, 7180</t>
  </si>
  <si>
    <t>RT</t>
  </si>
  <si>
    <t>714200-70700</t>
  </si>
  <si>
    <t>TRAVEL &amp; EDUCATION-ECHOCARDIOGRAM</t>
  </si>
  <si>
    <t>714200-70750</t>
  </si>
  <si>
    <t>EMPLOYEE RECOGNITION-ECHOCARDIOGRAM</t>
  </si>
  <si>
    <t>718000-70700</t>
  </si>
  <si>
    <t>TRAVEL &amp; EDUCATION-CARDIOPULMONARY</t>
  </si>
  <si>
    <t>718000-70760</t>
  </si>
  <si>
    <t>DUES &amp; SUBSCRIPTIONS-CARDIOPULMONARY</t>
  </si>
  <si>
    <t xml:space="preserve">        Other, 7180 Total</t>
  </si>
  <si>
    <t>720000-70700</t>
  </si>
  <si>
    <t>TRAVEL &amp; EDUCATION-PHYSICAL THERAPY</t>
  </si>
  <si>
    <t>720000-70705</t>
  </si>
  <si>
    <t>MILEAGE-PHYSICAL THERAPY</t>
  </si>
  <si>
    <t>720100-70700</t>
  </si>
  <si>
    <t>TRAVEL &amp; EDUCATION-PHYSICAL THERAPY CLE ELUM</t>
  </si>
  <si>
    <t>723000-70700</t>
  </si>
  <si>
    <t>TRAVEL &amp; EDUCATION-EMERGENCY SERVICES</t>
  </si>
  <si>
    <t>723500-70700</t>
  </si>
  <si>
    <t>TRAVEL &amp; EDUCATION-EMERGENCY SERVICE PHYSICIANS</t>
  </si>
  <si>
    <t>723500-70702</t>
  </si>
  <si>
    <t>CONTINUED MEDICAL EDUCATION CME AND DUES-EMERGENCY SERVICE PHYSICIANS</t>
  </si>
  <si>
    <t>721000-70700</t>
  </si>
  <si>
    <t>TRAVEL &amp; EDUCATION-KVH URGENT CARE CENTER CLE ELUM</t>
  </si>
  <si>
    <t>721000-70705</t>
  </si>
  <si>
    <t>MILEAGE-KVH URGENT CARE CENTER CLE ELUM</t>
  </si>
  <si>
    <t>721000-70760</t>
  </si>
  <si>
    <t>DUES &amp; SUBSCRIPTIONS-KVH URGENT CARE CENTER CLE ELUM</t>
  </si>
  <si>
    <t>726500-70700</t>
  </si>
  <si>
    <t>TRAVEL &amp; EDUCATION-DIETARY EDUCATION</t>
  </si>
  <si>
    <t>726500-70705</t>
  </si>
  <si>
    <t>MILEAGE-DIETARY EDUCATION</t>
  </si>
  <si>
    <t>738000-70330</t>
  </si>
  <si>
    <t>SUPPLIES - FREIGHT-KVH FAMILY MEDICINE ELLENSBURG</t>
  </si>
  <si>
    <t>738000-70700</t>
  </si>
  <si>
    <t>TRAVEL &amp; EDUCATION-KVH FAMILY MEDICINE ELLENSBURG</t>
  </si>
  <si>
    <t>738000-70702</t>
  </si>
  <si>
    <t>CONTINUED MEDICAL EDUCATION CME AND DUES-KVH FAMILY MEDICINE ELLENSBURG</t>
  </si>
  <si>
    <t>738000-70705</t>
  </si>
  <si>
    <t>MILEAGE-KVH FAMILY MEDICINE ELLENSBURG</t>
  </si>
  <si>
    <t>738000-70775</t>
  </si>
  <si>
    <t>RECRUITMENT-KVH FAMILY MEDICINE ELLENSBURG</t>
  </si>
  <si>
    <t>738100-70330</t>
  </si>
  <si>
    <t>SUPPLIES - FREIGHT-KVH FAMILY MEDICINE CLE ELUM</t>
  </si>
  <si>
    <t>738100-70700</t>
  </si>
  <si>
    <t>TRAVEL &amp; EDUCATION-KVH FAMILY MEDICINE CLE ELUM</t>
  </si>
  <si>
    <t>738100-70702</t>
  </si>
  <si>
    <t>CONTINUED MEDICAL EDUCATION CME AND DUES-KVH FAMILY MEDICINE CLE ELUM</t>
  </si>
  <si>
    <t>738100-70705</t>
  </si>
  <si>
    <t>MILEAGE-KVH FAMILY MEDICINE CLE ELUM</t>
  </si>
  <si>
    <t>738100-70780</t>
  </si>
  <si>
    <t>OTHER DIRECT EXPENSE-KVH FAMILY MEDICINE CLE ELUM</t>
  </si>
  <si>
    <t>738150-70330</t>
  </si>
  <si>
    <t>SUPPLIES - FREIGHT-KVH PEDIATRICS</t>
  </si>
  <si>
    <t>738150-70700</t>
  </si>
  <si>
    <t>TRAVEL &amp; EDUCATION-KVH PEDIATRICS</t>
  </si>
  <si>
    <t>738150-70702</t>
  </si>
  <si>
    <t>CONTINUED MEDICAL EDUCATION CME AND DUES-KVH PEDIATRICS</t>
  </si>
  <si>
    <t>738150-70760</t>
  </si>
  <si>
    <t>DUES &amp; SUBSCRIPTIONS-KVH PEDIATRICS</t>
  </si>
  <si>
    <t>738160-70700</t>
  </si>
  <si>
    <t>TRAVEL &amp; EDUCATION-KVH RAPID ACCESS</t>
  </si>
  <si>
    <t>738160-70705</t>
  </si>
  <si>
    <t>MILEAGE-KVH RAPID ACCESS</t>
  </si>
  <si>
    <t>738200-70700</t>
  </si>
  <si>
    <t>TRAVEL &amp; EDUCATION-KVH ADULT MEDICINE</t>
  </si>
  <si>
    <t>738200-70702</t>
  </si>
  <si>
    <t>CONTINUED MEDICAL EDUCATION CME AND DUES-KVH ADULT MEDICINE</t>
  </si>
  <si>
    <t>738200-70705</t>
  </si>
  <si>
    <t>MILEAGE-KVH ADULT MEDICINE</t>
  </si>
  <si>
    <t>738300-70330</t>
  </si>
  <si>
    <t>SUPPLIES - FREIGHT-KVH WOMENS HEALTH</t>
  </si>
  <si>
    <t>738300-70700</t>
  </si>
  <si>
    <t>TRAVEL &amp; EDUCATION-KVH WOMENS HEALTH</t>
  </si>
  <si>
    <t>738300-70702</t>
  </si>
  <si>
    <t>CONTINUED MEDICAL EDUCATION CME AND DUES-KVH WOMENS HEALTH</t>
  </si>
  <si>
    <t>738300-70705</t>
  </si>
  <si>
    <t>MILEAGE-KVH WOMENS HEALTH</t>
  </si>
  <si>
    <t>738300-70760</t>
  </si>
  <si>
    <t>DUES &amp; SUBSCRIPTIONS-KVH WOMENS HEALTH</t>
  </si>
  <si>
    <t>738300-70775</t>
  </si>
  <si>
    <t>RECRUITMENT-KVH WOMENS HEALTH</t>
  </si>
  <si>
    <t>738300-70780</t>
  </si>
  <si>
    <t>OTHER DIRECT EXPENSE-KVH WOMENS HEALTH</t>
  </si>
  <si>
    <t>738350-70120</t>
  </si>
  <si>
    <t>TEMP HOUSING/MISC-KVH DERMATOLOGY</t>
  </si>
  <si>
    <t>738350-70700</t>
  </si>
  <si>
    <t>TRAVEL &amp; EDUCATION-KVH DERMATOLOGY</t>
  </si>
  <si>
    <t>738350-70702</t>
  </si>
  <si>
    <t>CONTINUED MEDICAL EDUCATION CME AND DUES-KVH DERMATOLOGY</t>
  </si>
  <si>
    <t>738350-70760</t>
  </si>
  <si>
    <t>DUES &amp; SUBSCRIPTIONS-KVH DERMATOLOGY</t>
  </si>
  <si>
    <t>738350-70775</t>
  </si>
  <si>
    <t>RECRUITMENT-KVH DERMATOLOGY</t>
  </si>
  <si>
    <t>738375-70700</t>
  </si>
  <si>
    <t>TRAVEL &amp; EDUCATION-KVH ENT</t>
  </si>
  <si>
    <t>738375-70705</t>
  </si>
  <si>
    <t>MILEAGE-KVH ENT</t>
  </si>
  <si>
    <t>738400-70330</t>
  </si>
  <si>
    <t>SUPPLIES - FREIGHT-KVH ORTHOPEDICS</t>
  </si>
  <si>
    <t>738400-70700</t>
  </si>
  <si>
    <t>TRAVEL &amp; EDUCATION-KVH ORTHOPEDICS</t>
  </si>
  <si>
    <t>738400-70702</t>
  </si>
  <si>
    <t>CONTINUED MEDICAL EDUCATION CME AND DUES-KVH ORTHOPEDICS</t>
  </si>
  <si>
    <t>738400-70705</t>
  </si>
  <si>
    <t>MILEAGE-KVH ORTHOPEDICS</t>
  </si>
  <si>
    <t>738500-70700</t>
  </si>
  <si>
    <t>TRAVEL &amp; EDUCATION-KVH GENERAL SURGERY</t>
  </si>
  <si>
    <t>738500-70702</t>
  </si>
  <si>
    <t>CONTINUED MEDICAL EDUCATION CME AND DUES-KVH GENERAL SURGERY</t>
  </si>
  <si>
    <t>738500-70705</t>
  </si>
  <si>
    <t>MILEAGE-KVH GENERAL SURGERY</t>
  </si>
  <si>
    <t>738500-70755</t>
  </si>
  <si>
    <t>PROMOTION &amp; SPONSORSHIP-KVH GENERAL SURGERY</t>
  </si>
  <si>
    <t>738600-70330</t>
  </si>
  <si>
    <t>SUPPLIES - FREIGHT-KVH WORKPLACE HEALTH</t>
  </si>
  <si>
    <t>738600-70700</t>
  </si>
  <si>
    <t>TRAVEL &amp; EDUCATION-KVH WORKPLACE HEALTH</t>
  </si>
  <si>
    <t>738600-70702</t>
  </si>
  <si>
    <t>CONTINUED MEDICAL EDUCATION CME AND DUES-KVH WORKPLACE HEALTH</t>
  </si>
  <si>
    <t>738600-70705</t>
  </si>
  <si>
    <t>MILEAGE-KVH WORKPLACE HEALTH</t>
  </si>
  <si>
    <t>738600-70780</t>
  </si>
  <si>
    <t>OTHER DIRECT EXPENSE-KVH WORKPLACE HEALTH</t>
  </si>
  <si>
    <t>843015-70780</t>
  </si>
  <si>
    <t>OTHER DIRECT EXPENSE-MEDICAL ARTS CENTER</t>
  </si>
  <si>
    <t>861100-70700</t>
  </si>
  <si>
    <t>TRAVEL &amp; EDUCATION-CLINIC ADMINISTRATION</t>
  </si>
  <si>
    <t>720200-70700</t>
  </si>
  <si>
    <t>TRAVEL &amp; EDUCATION-OCCUPATIONAL THERAPY</t>
  </si>
  <si>
    <t>720300-70705</t>
  </si>
  <si>
    <t>MILEAGE-SPEECH THERAPY</t>
  </si>
  <si>
    <t>740000-70700</t>
  </si>
  <si>
    <t>TRAVEL &amp; EDUCATION-HOME HEALTH SERVICES</t>
  </si>
  <si>
    <t>740000-70705</t>
  </si>
  <si>
    <t>MILEAGE-HOME HEALTH SERVICES</t>
  </si>
  <si>
    <t>740100-70700</t>
  </si>
  <si>
    <t>TRAVEL &amp; EDUCATION-HOSPICE</t>
  </si>
  <si>
    <t>740100-70705</t>
  </si>
  <si>
    <t>MILEAGE-HOSPICE</t>
  </si>
  <si>
    <t>832000-70700</t>
  </si>
  <si>
    <t>TRAVEL &amp; EDUCATION-FOOD AND NUTRITION</t>
  </si>
  <si>
    <t>832000-70705</t>
  </si>
  <si>
    <t>MILEAGE-FOOD AND NUTRITION</t>
  </si>
  <si>
    <t>832000-70760</t>
  </si>
  <si>
    <t>DUES &amp; SUBSCRIPTIONS-FOOD AND NUTRITION</t>
  </si>
  <si>
    <t xml:space="preserve">    Other, 8360</t>
  </si>
  <si>
    <t>836000-70700</t>
  </si>
  <si>
    <t>TRAVEL &amp; EDUCATION-SOCIAL SERVICE</t>
  </si>
  <si>
    <t>836000-70760</t>
  </si>
  <si>
    <t>DUES &amp; SUBSCRIPTIONS-SOCIAL SERVICE</t>
  </si>
  <si>
    <t xml:space="preserve">        Other, 8360 Total</t>
  </si>
  <si>
    <t>842000-70700</t>
  </si>
  <si>
    <t>TRAVEL &amp; EDUCATION-MATERIALS MANAGEMENT</t>
  </si>
  <si>
    <t>842000-70705</t>
  </si>
  <si>
    <t>MILEAGE-MATERIALS MANAGEMENT</t>
  </si>
  <si>
    <t>843000-70700</t>
  </si>
  <si>
    <t>TRAVEL &amp; EDUCATION-ENGINEERING</t>
  </si>
  <si>
    <t>843000-70705</t>
  </si>
  <si>
    <t>MILEAGE-ENGINEERING</t>
  </si>
  <si>
    <t xml:space="preserve">    Other, 8460</t>
  </si>
  <si>
    <t>846000-70700</t>
  </si>
  <si>
    <t>TRAVEL &amp; EDUCATION-ENVIRONMENTAL SERVICES</t>
  </si>
  <si>
    <t>846000-70705</t>
  </si>
  <si>
    <t>MILEAGE-ENVIRONMENTAL SERVICES</t>
  </si>
  <si>
    <t xml:space="preserve">        Other, 8460 Total</t>
  </si>
  <si>
    <t>848000-70330</t>
  </si>
  <si>
    <t>SUPPLIES - FREIGHT-INFORMATION SYSTEMS</t>
  </si>
  <si>
    <t>848000-70700</t>
  </si>
  <si>
    <t>TRAVEL &amp; EDUCATION-INFORMATION SYSTEMS</t>
  </si>
  <si>
    <t>848000-70705</t>
  </si>
  <si>
    <t>MILEAGE-INFORMATION SYSTEMS</t>
  </si>
  <si>
    <t>851000-70700</t>
  </si>
  <si>
    <t>TRAVEL &amp; EDUCATION-FISCAL SERVICES</t>
  </si>
  <si>
    <t>851000-70705</t>
  </si>
  <si>
    <t>MILEAGE-FISCAL SERVICES</t>
  </si>
  <si>
    <t>853000-70700</t>
  </si>
  <si>
    <t>TRAVEL &amp; EDUCATION-PATIENT ACCESS SERVICES</t>
  </si>
  <si>
    <t>853000-70705</t>
  </si>
  <si>
    <t>MILEAGE-PATIENT ACCESS SERVICES</t>
  </si>
  <si>
    <t>854000-70700</t>
  </si>
  <si>
    <t>TRAVEL &amp; EDUCATION-REVENUE CYCLE MANAGEMENT</t>
  </si>
  <si>
    <t>854000-70705</t>
  </si>
  <si>
    <t>MILEAGE-REVENUE CYCLE MANAGEMENT</t>
  </si>
  <si>
    <t>861000-70330</t>
  </si>
  <si>
    <t>SUPPLIES - FREIGHT-ADMINISTRATION</t>
  </si>
  <si>
    <t>861000-70700</t>
  </si>
  <si>
    <t>TRAVEL &amp; EDUCATION-ADMINISTRATION</t>
  </si>
  <si>
    <t>861000-70702</t>
  </si>
  <si>
    <t>CONTINUED MEDICAL EDUCATION CME AND DUES-ADMINISTRATION</t>
  </si>
  <si>
    <t>861000-70705</t>
  </si>
  <si>
    <t>MILEAGE-ADMINISTRATION</t>
  </si>
  <si>
    <t>861000-70775</t>
  </si>
  <si>
    <t>RECRUITMENT-ADMINISTRATION</t>
  </si>
  <si>
    <t>861200-70700</t>
  </si>
  <si>
    <t>TRAVEL &amp; EDUCATION-BOARD OF COMMISSIONERS</t>
  </si>
  <si>
    <t>861200-70705</t>
  </si>
  <si>
    <t>MILEAGE-BOARD OF COMMISSIONERS</t>
  </si>
  <si>
    <t>862000-70700</t>
  </si>
  <si>
    <t>TRAVEL &amp; EDUCATION-EMPLOYEE HEALTH</t>
  </si>
  <si>
    <t>862000-70705</t>
  </si>
  <si>
    <t>MILEAGE-EMPLOYEE HEALTH</t>
  </si>
  <si>
    <t>862000-70755</t>
  </si>
  <si>
    <t>PROMOTION &amp; SPONSORSHIP-EMPLOYEE HEALTH</t>
  </si>
  <si>
    <t>863000-70330</t>
  </si>
  <si>
    <t>SUPPLIES - FREIGHT-COMMUNITY RELATIONS</t>
  </si>
  <si>
    <t>863000-70700</t>
  </si>
  <si>
    <t>TRAVEL &amp; EDUCATION-COMMUNITY RELATIONS</t>
  </si>
  <si>
    <t>863000-70705</t>
  </si>
  <si>
    <t>MILEAGE-COMMUNITY RELATIONS</t>
  </si>
  <si>
    <t>863000-70775</t>
  </si>
  <si>
    <t>RECRUITMENT-COMMUNITY RELATIONS</t>
  </si>
  <si>
    <t>865000-70330</t>
  </si>
  <si>
    <t>SUPPLIES - FREIGHT-HUMAN RESOURCES</t>
  </si>
  <si>
    <t>865000-70700</t>
  </si>
  <si>
    <t>TRAVEL &amp; EDUCATION-HUMAN RESOURCES</t>
  </si>
  <si>
    <t>865000-70705</t>
  </si>
  <si>
    <t>MILEAGE-HUMAN RESOURCES</t>
  </si>
  <si>
    <t>865000-70775</t>
  </si>
  <si>
    <t>RECRUITMENT-HUMAN RESOURCES</t>
  </si>
  <si>
    <t>874000-70330</t>
  </si>
  <si>
    <t>SUPPLIES - FREIGHT-STAFF DEVELOPMENT</t>
  </si>
  <si>
    <t>874000-70700</t>
  </si>
  <si>
    <t>TRAVEL &amp; EDUCATION-STAFF DEVELOPMENT</t>
  </si>
  <si>
    <t>874000-70705</t>
  </si>
  <si>
    <t>MILEAGE-STAFF DEVELOPMENT</t>
  </si>
  <si>
    <t>869000-70700</t>
  </si>
  <si>
    <t>TRAVEL &amp; EDUCATION-HEALTH INFORMATION MANAGEMENT</t>
  </si>
  <si>
    <t>870000-70700</t>
  </si>
  <si>
    <t>TRAVEL &amp; EDUCATION-MEDICAL STAFF</t>
  </si>
  <si>
    <t>870000-70702</t>
  </si>
  <si>
    <t>CONTINUED MEDICAL EDUCATION CME AND DUES-MEDICAL STAFF</t>
  </si>
  <si>
    <t>870000-70775</t>
  </si>
  <si>
    <t>RECRUITMENT-MEDICAL STAFF</t>
  </si>
  <si>
    <t>871000-70330</t>
  </si>
  <si>
    <t>SUPPLIES - FREIGHT-QUALITY</t>
  </si>
  <si>
    <t>871000-70700</t>
  </si>
  <si>
    <t>TRAVEL &amp; EDUCATION-QUALITY</t>
  </si>
  <si>
    <t>872000-70700</t>
  </si>
  <si>
    <t>TRAVEL &amp; EDUCATION-PATIENT CARE SERVICES</t>
  </si>
  <si>
    <t>872000-70705</t>
  </si>
  <si>
    <t>MILEAGE-PATIENT CARE SERVICES</t>
  </si>
  <si>
    <t>872100-70700</t>
  </si>
  <si>
    <t>TRAVEL &amp; EDUCATION-HOUSE SUPERVISOR</t>
  </si>
  <si>
    <t>866000-70705</t>
  </si>
  <si>
    <t>MILEAGE-STUDENT AND VOLUNTEERS</t>
  </si>
  <si>
    <t>881000-59035</t>
  </si>
  <si>
    <t>NON-OPERATING BOND ISSUE COST-NON DEPARTMENTAL</t>
  </si>
  <si>
    <t>Included training and recruitment as well.</t>
  </si>
  <si>
    <t>Julie Petersen, Chief Executive Officer</t>
  </si>
  <si>
    <t>Matt Altman, President, KVH Board of Commissioners</t>
  </si>
  <si>
    <r>
      <rPr>
        <b/>
        <sz val="11"/>
        <rFont val="Calibri"/>
        <family val="2"/>
        <scheme val="minor"/>
      </rPr>
      <t xml:space="preserve">E2SHB 1272 Requirements: </t>
    </r>
    <r>
      <rPr>
        <sz val="1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</si>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</sst>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  <numFmt numFmtId="170" formatCode="_(* #,##0.00_);_(* \(#,##0.00\);_(* 0.00_);_(@_)"/>
    <numFmt numFmtId="171" formatCode="_(* #,##0_);_(* \(#,##0\);_(* &quot;-&quot;??_);_(@_)"/>
  </numFmts>
  <fonts count="7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color indexed="12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u/>
      <sz val="8"/>
      <color indexed="12"/>
      <name val="Arial"/>
      <family val="2"/>
    </font>
    <font>
      <sz val="18"/>
      <name val="Arial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6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1"/>
      <color indexed="63"/>
      <name val="Calibri"/>
      <family val="2"/>
      <scheme val="minor"/>
    </font>
    <font>
      <b/>
      <sz val="11"/>
      <color rgb="FF000000"/>
      <name val="Calibri"/>
      <family val="2"/>
    </font>
    <font>
      <u val="singleAccounting"/>
      <sz val="11"/>
      <color rgb="FF000000"/>
      <name val="Calibri"/>
      <family val="2"/>
    </font>
    <font>
      <b/>
      <u val="doubleAccounting"/>
      <sz val="11"/>
      <color rgb="FF000000"/>
      <name val="Calibri"/>
      <family val="2"/>
    </font>
    <font>
      <sz val="12"/>
      <color rgb="FFFF0000"/>
      <name val="Courier"/>
      <family val="3"/>
    </font>
    <font>
      <sz val="11"/>
      <color rgb="FFFF0000"/>
      <name val="Calibri"/>
      <family val="2"/>
    </font>
    <font>
      <i/>
      <sz val="11"/>
      <color rgb="FFFF0000"/>
      <name val="Calibri"/>
      <family val="2"/>
    </font>
    <font>
      <sz val="9"/>
      <name val="Calibri"/>
      <family val="2"/>
      <scheme val="minor"/>
    </font>
    <font>
      <u/>
      <sz val="11"/>
      <color rgb="FF0000FF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 style="double">
        <color indexed="24"/>
      </top>
      <bottom/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5">
    <xf numFmtId="37" fontId="0" fillId="0" borderId="0"/>
    <xf numFmtId="43" fontId="7" fillId="0" borderId="0"/>
    <xf numFmtId="0" fontId="8" fillId="0" borderId="0">
      <alignment vertical="top"/>
      <protection locked="0"/>
    </xf>
    <xf numFmtId="0" fontId="10" fillId="0" borderId="0"/>
    <xf numFmtId="9" fontId="7" fillId="0" borderId="0"/>
    <xf numFmtId="0" fontId="3" fillId="0" borderId="0"/>
    <xf numFmtId="37" fontId="27" fillId="0" borderId="0"/>
    <xf numFmtId="43" fontId="7" fillId="0" borderId="0"/>
    <xf numFmtId="9" fontId="7" fillId="0" borderId="0"/>
    <xf numFmtId="37" fontId="27" fillId="0" borderId="0"/>
    <xf numFmtId="0" fontId="47" fillId="0" borderId="0" applyBorder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48" fillId="0" borderId="0" applyNumberForma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46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46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46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46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46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46" fillId="31" borderId="0" applyNumberFormat="0" applyBorder="0" applyAlignment="0" applyProtection="0"/>
    <xf numFmtId="0" fontId="3" fillId="31" borderId="0" applyNumberFormat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4" fillId="32" borderId="0" applyNumberFormat="0" applyBorder="0" applyAlignment="0" applyProtection="0"/>
    <xf numFmtId="0" fontId="52" fillId="32" borderId="0" applyNumberFormat="0" applyBorder="0" applyAlignment="0" applyProtection="0"/>
    <xf numFmtId="0" fontId="44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 applyBorder="0"/>
    <xf numFmtId="0" fontId="3" fillId="0" borderId="0"/>
    <xf numFmtId="0" fontId="3" fillId="0" borderId="0"/>
    <xf numFmtId="0" fontId="3" fillId="0" borderId="0"/>
    <xf numFmtId="0" fontId="50" fillId="0" borderId="0"/>
    <xf numFmtId="0" fontId="50" fillId="0" borderId="0"/>
    <xf numFmtId="0" fontId="7" fillId="0" borderId="0"/>
    <xf numFmtId="0" fontId="7" fillId="0" borderId="0"/>
    <xf numFmtId="169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5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3" fillId="0" borderId="0"/>
    <xf numFmtId="0" fontId="50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3" fillId="0" borderId="0"/>
    <xf numFmtId="0" fontId="53" fillId="0" borderId="0" applyNumberFormat="0" applyFill="0" applyBorder="0" applyAlignment="0" applyProtection="0"/>
    <xf numFmtId="0" fontId="52" fillId="32" borderId="0" applyNumberFormat="0" applyBorder="0" applyAlignment="0" applyProtection="0"/>
    <xf numFmtId="0" fontId="3" fillId="10" borderId="43" applyNumberFormat="0" applyFont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3" fillId="0" borderId="0">
      <alignment vertical="top"/>
    </xf>
    <xf numFmtId="0" fontId="3" fillId="0" borderId="0" applyNumberFormat="0" applyFill="0" applyBorder="0" applyProtection="0"/>
    <xf numFmtId="0" fontId="3" fillId="0" borderId="0" applyFont="0" applyFill="0" applyBorder="0" applyProtection="0"/>
    <xf numFmtId="4" fontId="3" fillId="0" borderId="0" applyFont="0" applyFill="0" applyBorder="0" applyProtection="0"/>
    <xf numFmtId="0" fontId="40" fillId="0" borderId="41" applyNumberFormat="0" applyFill="0" applyAlignment="0" applyProtection="0"/>
    <xf numFmtId="5" fontId="3" fillId="0" borderId="0" applyFont="0" applyFill="0" applyBorder="0" applyProtection="0"/>
    <xf numFmtId="0" fontId="3" fillId="0" borderId="0" applyNumberFormat="0" applyFill="0" applyBorder="0" applyProtection="0"/>
    <xf numFmtId="3" fontId="3" fillId="0" borderId="0" applyFont="0" applyFill="0" applyBorder="0" applyProtection="0"/>
    <xf numFmtId="2" fontId="3" fillId="0" borderId="0" applyFont="0" applyFill="0" applyBorder="0" applyProtection="0"/>
    <xf numFmtId="169" fontId="51" fillId="0" borderId="0"/>
    <xf numFmtId="0" fontId="41" fillId="0" borderId="45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46" applyNumberFormat="0" applyFont="0" applyFill="0" applyProtection="0"/>
    <xf numFmtId="0" fontId="31" fillId="0" borderId="44" applyNumberFormat="0" applyFill="0" applyAlignment="0" applyProtection="0"/>
    <xf numFmtId="0" fontId="3" fillId="0" borderId="0">
      <alignment vertical="top"/>
    </xf>
    <xf numFmtId="43" fontId="7" fillId="0" borderId="0" applyFont="0" applyFill="0" applyBorder="0" applyAlignment="0" applyProtection="0"/>
    <xf numFmtId="0" fontId="54" fillId="0" borderId="0" applyNumberFormat="0" applyFill="0" applyBorder="0"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3" fontId="7" fillId="0" borderId="0" applyFont="0" applyFill="0" applyBorder="0" applyProtection="0"/>
    <xf numFmtId="5" fontId="7" fillId="0" borderId="0" applyFont="0" applyFill="0" applyBorder="0" applyProtection="0"/>
    <xf numFmtId="0" fontId="7" fillId="0" borderId="0" applyFont="0" applyFill="0" applyBorder="0" applyProtection="0"/>
    <xf numFmtId="2" fontId="7" fillId="0" borderId="0" applyFont="0" applyFill="0" applyBorder="0" applyProtection="0"/>
    <xf numFmtId="0" fontId="55" fillId="0" borderId="0" applyNumberFormat="0" applyFill="0" applyBorder="0" applyProtection="0"/>
    <xf numFmtId="0" fontId="26" fillId="0" borderId="0" applyNumberFormat="0" applyFill="0" applyBorder="0" applyProtection="0"/>
    <xf numFmtId="0" fontId="7" fillId="0" borderId="46" applyNumberFormat="0" applyFont="0" applyFill="0" applyProtection="0"/>
    <xf numFmtId="0" fontId="7" fillId="0" borderId="0"/>
    <xf numFmtId="9" fontId="7" fillId="0" borderId="0" applyFont="0" applyFill="0" applyBorder="0" applyAlignment="0" applyProtection="0"/>
    <xf numFmtId="0" fontId="3" fillId="45" borderId="0" applyNumberFormat="0" applyBorder="0" applyAlignment="0" applyProtection="0"/>
    <xf numFmtId="0" fontId="3" fillId="2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3" borderId="0" applyNumberFormat="0" applyBorder="0" applyAlignment="0" applyProtection="0"/>
    <xf numFmtId="0" fontId="46" fillId="48" borderId="0" applyNumberFormat="0" applyBorder="0" applyAlignment="0" applyProtection="0"/>
    <xf numFmtId="0" fontId="3" fillId="49" borderId="0" applyNumberFormat="0" applyBorder="0" applyAlignment="0" applyProtection="0"/>
    <xf numFmtId="0" fontId="46" fillId="50" borderId="0" applyNumberFormat="0" applyBorder="0" applyAlignment="0" applyProtection="0"/>
    <xf numFmtId="0" fontId="3" fillId="3" borderId="0" applyNumberFormat="0" applyBorder="0" applyAlignment="0" applyProtection="0"/>
    <xf numFmtId="0" fontId="46" fillId="2" borderId="0" applyNumberFormat="0" applyBorder="0" applyAlignment="0" applyProtection="0"/>
    <xf numFmtId="0" fontId="3" fillId="46" borderId="0" applyNumberFormat="0" applyBorder="0" applyAlignment="0" applyProtection="0"/>
    <xf numFmtId="0" fontId="46" fillId="48" borderId="0" applyNumberFormat="0" applyBorder="0" applyAlignment="0" applyProtection="0"/>
    <xf numFmtId="0" fontId="60" fillId="0" borderId="47" applyNumberFormat="0" applyFill="0" applyAlignment="0" applyProtection="0"/>
    <xf numFmtId="5" fontId="7" fillId="0" borderId="0" applyFont="0" applyFill="0" applyBorder="0" applyProtection="0"/>
    <xf numFmtId="43" fontId="21" fillId="0" borderId="0" applyFont="0" applyFill="0" applyBorder="0" applyAlignment="0" applyProtection="0"/>
    <xf numFmtId="0" fontId="46" fillId="50" borderId="0" applyNumberFormat="0" applyBorder="0" applyAlignment="0" applyProtection="0"/>
    <xf numFmtId="0" fontId="55" fillId="0" borderId="0" applyNumberFormat="0" applyFill="0" applyBorder="0" applyProtection="0"/>
    <xf numFmtId="44" fontId="59" fillId="0" borderId="0" applyFont="0" applyFill="0" applyBorder="0" applyProtection="0"/>
    <xf numFmtId="0" fontId="46" fillId="51" borderId="0" applyNumberFormat="0" applyBorder="0" applyAlignment="0" applyProtection="0"/>
    <xf numFmtId="0" fontId="42" fillId="49" borderId="0" applyNumberFormat="0" applyBorder="0" applyAlignment="0" applyProtection="0"/>
    <xf numFmtId="3" fontId="7" fillId="0" borderId="0" applyFont="0" applyFill="0" applyBorder="0" applyProtection="0"/>
    <xf numFmtId="0" fontId="45" fillId="52" borderId="48" applyNumberFormat="0" applyAlignment="0" applyProtection="0"/>
    <xf numFmtId="0" fontId="46" fillId="53" borderId="0" applyNumberFormat="0" applyBorder="0" applyAlignment="0" applyProtection="0"/>
    <xf numFmtId="2" fontId="7" fillId="0" borderId="0" applyFont="0" applyFill="0" applyBorder="0" applyProtection="0"/>
    <xf numFmtId="0" fontId="62" fillId="47" borderId="42" applyNumberFormat="0" applyAlignment="0" applyProtection="0"/>
    <xf numFmtId="0" fontId="46" fillId="54" borderId="0" applyNumberFormat="0" applyBorder="0" applyAlignment="0" applyProtection="0"/>
    <xf numFmtId="43" fontId="59" fillId="0" borderId="0" applyFont="0" applyFill="0" applyBorder="0" applyProtection="0"/>
    <xf numFmtId="0" fontId="43" fillId="45" borderId="0" applyNumberFormat="0" applyBorder="0" applyAlignment="0" applyProtection="0"/>
    <xf numFmtId="0" fontId="46" fillId="55" borderId="0" applyNumberFormat="0" applyBorder="0" applyAlignment="0" applyProtection="0"/>
    <xf numFmtId="0" fontId="7" fillId="0" borderId="0" applyFont="0" applyFill="0" applyBorder="0" applyProtection="0"/>
    <xf numFmtId="43" fontId="59" fillId="0" borderId="0" applyFont="0" applyFill="0" applyBorder="0" applyAlignment="0" applyProtection="0"/>
    <xf numFmtId="0" fontId="46" fillId="56" borderId="0" applyNumberFormat="0" applyBorder="0" applyAlignment="0" applyProtection="0"/>
    <xf numFmtId="0" fontId="46" fillId="57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0" fontId="7" fillId="0" borderId="0"/>
    <xf numFmtId="0" fontId="46" fillId="60" borderId="0" applyNumberFormat="0" applyBorder="0" applyAlignment="0" applyProtection="0"/>
    <xf numFmtId="0" fontId="26" fillId="0" borderId="0" applyNumberFormat="0" applyFill="0" applyBorder="0" applyProtection="0"/>
    <xf numFmtId="0" fontId="61" fillId="0" borderId="49" applyNumberFormat="0" applyFill="0" applyAlignment="0" applyProtection="0"/>
    <xf numFmtId="0" fontId="56" fillId="0" borderId="50" applyNumberFormat="0" applyFill="0" applyAlignment="0" applyProtection="0"/>
    <xf numFmtId="0" fontId="56" fillId="0" borderId="0" applyNumberFormat="0" applyFill="0" applyBorder="0" applyAlignment="0" applyProtection="0"/>
    <xf numFmtId="0" fontId="63" fillId="47" borderId="42" applyNumberFormat="0" applyAlignment="0" applyProtection="0"/>
    <xf numFmtId="0" fontId="57" fillId="0" borderId="51" applyNumberFormat="0" applyFill="0" applyAlignment="0" applyProtection="0"/>
    <xf numFmtId="0" fontId="64" fillId="32" borderId="0" applyNumberFormat="0" applyBorder="0" applyAlignment="0" applyProtection="0"/>
    <xf numFmtId="0" fontId="3" fillId="0" borderId="0"/>
    <xf numFmtId="0" fontId="59" fillId="0" borderId="0">
      <alignment vertical="top"/>
    </xf>
    <xf numFmtId="0" fontId="59" fillId="0" borderId="0">
      <alignment vertical="top"/>
    </xf>
    <xf numFmtId="0" fontId="21" fillId="10" borderId="43" applyNumberFormat="0" applyFont="0" applyAlignment="0" applyProtection="0"/>
    <xf numFmtId="0" fontId="65" fillId="47" borderId="52" applyNumberFormat="0" applyAlignment="0" applyProtection="0"/>
    <xf numFmtId="9" fontId="2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7" fillId="0" borderId="46" applyNumberFormat="0" applyFont="0" applyFill="0" applyProtection="0"/>
    <xf numFmtId="0" fontId="31" fillId="0" borderId="53" applyNumberFormat="0" applyFill="0" applyAlignment="0" applyProtection="0"/>
    <xf numFmtId="0" fontId="40" fillId="0" borderId="41" applyNumberFormat="0" applyFill="0" applyAlignment="0" applyProtection="0"/>
    <xf numFmtId="0" fontId="41" fillId="0" borderId="45" applyNumberFormat="0" applyFill="0" applyAlignment="0" applyProtection="0"/>
    <xf numFmtId="0" fontId="3" fillId="10" borderId="43" applyNumberFormat="0" applyFont="0" applyAlignment="0" applyProtection="0"/>
    <xf numFmtId="0" fontId="31" fillId="0" borderId="44" applyNumberFormat="0" applyFill="0" applyAlignment="0" applyProtection="0"/>
    <xf numFmtId="0" fontId="3" fillId="36" borderId="0" applyNumberFormat="0" applyBorder="0" applyAlignment="0" applyProtection="0"/>
    <xf numFmtId="0" fontId="3" fillId="41" borderId="0" applyNumberFormat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3" fillId="0" borderId="0" applyFont="0" applyFill="0" applyBorder="0" applyAlignment="0" applyProtection="0"/>
    <xf numFmtId="0" fontId="50" fillId="0" borderId="0"/>
    <xf numFmtId="169" fontId="51" fillId="0" borderId="0"/>
    <xf numFmtId="9" fontId="3" fillId="0" borderId="0" applyFont="0" applyFill="0" applyBorder="0" applyAlignment="0" applyProtection="0"/>
    <xf numFmtId="0" fontId="50" fillId="0" borderId="0"/>
    <xf numFmtId="0" fontId="3" fillId="0" borderId="0"/>
    <xf numFmtId="0" fontId="3" fillId="0" borderId="0"/>
    <xf numFmtId="43" fontId="50" fillId="0" borderId="0" applyFont="0" applyFill="0" applyBorder="0" applyAlignment="0" applyProtection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0" fillId="0" borderId="0"/>
    <xf numFmtId="0" fontId="39" fillId="0" borderId="0" applyNumberFormat="0" applyFill="0" applyBorder="0" applyAlignment="0" applyProtection="0"/>
    <xf numFmtId="0" fontId="44" fillId="3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52" fillId="32" borderId="0" applyNumberFormat="0" applyBorder="0" applyAlignment="0" applyProtection="0"/>
    <xf numFmtId="0" fontId="47" fillId="0" borderId="0" applyBorder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0" fillId="0" borderId="0"/>
    <xf numFmtId="44" fontId="7" fillId="0" borderId="0" applyFont="0" applyFill="0" applyBorder="0" applyAlignment="0" applyProtection="0"/>
    <xf numFmtId="0" fontId="7" fillId="0" borderId="0"/>
    <xf numFmtId="0" fontId="5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0" fontId="3" fillId="10" borderId="43" applyNumberFormat="0" applyFont="0" applyAlignment="0" applyProtection="0"/>
    <xf numFmtId="0" fontId="3" fillId="36" borderId="0" applyNumberFormat="0" applyBorder="0" applyAlignment="0" applyProtection="0"/>
    <xf numFmtId="0" fontId="3" fillId="4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0" borderId="43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26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27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2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29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3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0" borderId="43" applyNumberFormat="0" applyFont="0" applyAlignment="0" applyProtection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0" borderId="0"/>
    <xf numFmtId="0" fontId="3" fillId="10" borderId="43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43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9" fontId="3" fillId="0" borderId="0" applyFont="0" applyFill="0" applyBorder="0" applyAlignment="0" applyProtection="0"/>
    <xf numFmtId="0" fontId="3" fillId="10" borderId="43" applyNumberFormat="0" applyFont="0" applyAlignment="0" applyProtection="0"/>
    <xf numFmtId="43" fontId="3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0" borderId="43" applyNumberFormat="0" applyFont="0" applyAlignment="0" applyProtection="0"/>
    <xf numFmtId="0" fontId="2" fillId="0" borderId="0">
      <alignment vertical="top"/>
    </xf>
    <xf numFmtId="0" fontId="2" fillId="0" borderId="0" applyNumberFormat="0" applyFill="0" applyBorder="0" applyProtection="0"/>
    <xf numFmtId="0" fontId="2" fillId="0" borderId="0" applyFont="0" applyFill="0" applyBorder="0" applyProtection="0"/>
    <xf numFmtId="4" fontId="2" fillId="0" borderId="0" applyFont="0" applyFill="0" applyBorder="0" applyProtection="0"/>
    <xf numFmtId="5" fontId="2" fillId="0" borderId="0" applyFont="0" applyFill="0" applyBorder="0" applyProtection="0"/>
    <xf numFmtId="0" fontId="2" fillId="0" borderId="0" applyNumberFormat="0" applyFill="0" applyBorder="0" applyProtection="0"/>
    <xf numFmtId="3" fontId="2" fillId="0" borderId="0" applyFont="0" applyFill="0" applyBorder="0" applyProtection="0"/>
    <xf numFmtId="2" fontId="2" fillId="0" borderId="0" applyFont="0" applyFill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46" applyNumberFormat="0" applyFont="0" applyFill="0" applyProtection="0"/>
    <xf numFmtId="0" fontId="2" fillId="0" borderId="0">
      <alignment vertical="top"/>
    </xf>
    <xf numFmtId="0" fontId="2" fillId="45" borderId="0" applyNumberFormat="0" applyBorder="0" applyAlignment="0" applyProtection="0"/>
    <xf numFmtId="0" fontId="2" fillId="2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3" borderId="0" applyNumberFormat="0" applyBorder="0" applyAlignment="0" applyProtection="0"/>
    <xf numFmtId="0" fontId="2" fillId="49" borderId="0" applyNumberFormat="0" applyBorder="0" applyAlignment="0" applyProtection="0"/>
    <xf numFmtId="0" fontId="2" fillId="3" borderId="0" applyNumberFormat="0" applyBorder="0" applyAlignment="0" applyProtection="0"/>
    <xf numFmtId="0" fontId="2" fillId="46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0" borderId="0"/>
    <xf numFmtId="0" fontId="2" fillId="10" borderId="43" applyNumberFormat="0" applyFont="0" applyAlignment="0" applyProtection="0"/>
    <xf numFmtId="0" fontId="2" fillId="36" borderId="0" applyNumberFormat="0" applyBorder="0" applyAlignment="0" applyProtection="0"/>
    <xf numFmtId="0" fontId="2" fillId="41" borderId="0" applyNumberFormat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0" borderId="43" applyNumberFormat="0" applyFont="0" applyAlignment="0" applyProtection="0"/>
    <xf numFmtId="0" fontId="2" fillId="36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0" borderId="43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26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27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2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29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3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0" borderId="43" applyNumberFormat="0" applyFont="0" applyAlignment="0" applyProtection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0" borderId="0"/>
    <xf numFmtId="0" fontId="2" fillId="10" borderId="43" applyNumberFormat="0" applyFont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43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0" fontId="2" fillId="10" borderId="43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91">
    <xf numFmtId="37" fontId="0" fillId="0" borderId="0" xfId="0"/>
    <xf numFmtId="37" fontId="9" fillId="0" borderId="0" xfId="0" applyFont="1"/>
    <xf numFmtId="37" fontId="9" fillId="0" borderId="0" xfId="0" applyFont="1" applyAlignment="1">
      <alignment horizontal="left"/>
    </xf>
    <xf numFmtId="1" fontId="9" fillId="0" borderId="0" xfId="0" applyNumberFormat="1" applyFont="1" applyAlignment="1">
      <alignment horizontal="center"/>
    </xf>
    <xf numFmtId="37" fontId="9" fillId="0" borderId="0" xfId="0" applyFont="1" applyAlignment="1">
      <alignment horizontal="center"/>
    </xf>
    <xf numFmtId="37" fontId="9" fillId="0" borderId="0" xfId="0" quotePrefix="1" applyFont="1" applyAlignment="1">
      <alignment horizontal="center"/>
    </xf>
    <xf numFmtId="10" fontId="9" fillId="0" borderId="0" xfId="0" applyNumberFormat="1" applyFont="1"/>
    <xf numFmtId="49" fontId="9" fillId="0" borderId="0" xfId="0" quotePrefix="1" applyNumberFormat="1" applyFont="1"/>
    <xf numFmtId="37" fontId="11" fillId="0" borderId="0" xfId="0" applyFont="1" applyAlignment="1" applyProtection="1">
      <alignment horizontal="center"/>
      <protection locked="0"/>
    </xf>
    <xf numFmtId="37" fontId="12" fillId="0" borderId="0" xfId="0" applyFont="1"/>
    <xf numFmtId="37" fontId="13" fillId="0" borderId="0" xfId="0" applyFont="1" applyAlignment="1">
      <alignment horizontal="center"/>
    </xf>
    <xf numFmtId="37" fontId="13" fillId="0" borderId="0" xfId="0" applyFont="1"/>
    <xf numFmtId="37" fontId="13" fillId="0" borderId="0" xfId="0" applyFont="1" applyAlignment="1">
      <alignment horizontal="left"/>
    </xf>
    <xf numFmtId="38" fontId="13" fillId="0" borderId="0" xfId="0" applyNumberFormat="1" applyFont="1"/>
    <xf numFmtId="37" fontId="13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3" fillId="3" borderId="0" xfId="0" applyFont="1" applyFill="1"/>
    <xf numFmtId="38" fontId="13" fillId="3" borderId="0" xfId="0" applyNumberFormat="1" applyFont="1" applyFill="1" applyAlignment="1">
      <alignment horizontal="center"/>
    </xf>
    <xf numFmtId="37" fontId="13" fillId="3" borderId="0" xfId="0" applyFont="1" applyFill="1" applyAlignment="1">
      <alignment horizontal="center"/>
    </xf>
    <xf numFmtId="37" fontId="13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3" fillId="3" borderId="0" xfId="0" quotePrefix="1" applyFont="1" applyFill="1"/>
    <xf numFmtId="37" fontId="13" fillId="3" borderId="0" xfId="0" quotePrefix="1" applyFont="1" applyFill="1" applyAlignment="1">
      <alignment horizontal="left"/>
    </xf>
    <xf numFmtId="38" fontId="13" fillId="3" borderId="0" xfId="0" applyNumberFormat="1" applyFont="1" applyFill="1"/>
    <xf numFmtId="165" fontId="13" fillId="3" borderId="0" xfId="0" applyNumberFormat="1" applyFont="1" applyFill="1" applyAlignment="1">
      <alignment horizontal="center"/>
    </xf>
    <xf numFmtId="37" fontId="13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3" fillId="7" borderId="0" xfId="0" applyFont="1" applyFill="1"/>
    <xf numFmtId="37" fontId="13" fillId="7" borderId="0" xfId="0" quotePrefix="1" applyFont="1" applyFill="1" applyAlignment="1">
      <alignment horizontal="left" indent="1"/>
    </xf>
    <xf numFmtId="43" fontId="13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3" fillId="3" borderId="0" xfId="1" quotePrefix="1" applyNumberFormat="1" applyFont="1" applyFill="1" applyAlignment="1">
      <alignment horizontal="fill"/>
    </xf>
    <xf numFmtId="39" fontId="13" fillId="3" borderId="0" xfId="0" applyNumberFormat="1" applyFont="1" applyFill="1"/>
    <xf numFmtId="37" fontId="13" fillId="3" borderId="0" xfId="0" applyFont="1" applyFill="1" applyAlignment="1">
      <alignment horizontal="centerContinuous"/>
    </xf>
    <xf numFmtId="37" fontId="13" fillId="7" borderId="0" xfId="0" quotePrefix="1" applyFont="1" applyFill="1" applyAlignment="1">
      <alignment horizontal="left"/>
    </xf>
    <xf numFmtId="37" fontId="13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3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3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3" fillId="3" borderId="0" xfId="0" applyNumberFormat="1" applyFont="1" applyFill="1" applyAlignment="1">
      <alignment horizontal="right"/>
    </xf>
    <xf numFmtId="37" fontId="13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3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3" fillId="7" borderId="0" xfId="0" applyFont="1" applyFill="1" applyAlignment="1">
      <alignment horizontal="left" indent="1"/>
    </xf>
    <xf numFmtId="10" fontId="13" fillId="0" borderId="0" xfId="4" applyNumberFormat="1" applyFont="1"/>
    <xf numFmtId="37" fontId="13" fillId="7" borderId="0" xfId="0" applyFont="1" applyFill="1" applyAlignment="1">
      <alignment horizontal="left" indent="2"/>
    </xf>
    <xf numFmtId="37" fontId="13" fillId="7" borderId="0" xfId="0" quotePrefix="1" applyFont="1" applyFill="1" applyAlignment="1">
      <alignment horizontal="left" indent="2"/>
    </xf>
    <xf numFmtId="39" fontId="13" fillId="0" borderId="0" xfId="0" applyNumberFormat="1" applyFont="1"/>
    <xf numFmtId="10" fontId="13" fillId="0" borderId="0" xfId="0" applyNumberFormat="1" applyFont="1"/>
    <xf numFmtId="1" fontId="13" fillId="0" borderId="0" xfId="0" applyNumberFormat="1" applyFont="1" applyAlignment="1">
      <alignment horizontal="center"/>
    </xf>
    <xf numFmtId="37" fontId="13" fillId="0" borderId="0" xfId="0" applyFont="1" applyAlignment="1">
      <alignment horizontal="right"/>
    </xf>
    <xf numFmtId="37" fontId="16" fillId="0" borderId="0" xfId="0" applyFont="1"/>
    <xf numFmtId="37" fontId="11" fillId="0" borderId="0" xfId="0" applyFont="1" applyAlignment="1">
      <alignment horizontal="center"/>
    </xf>
    <xf numFmtId="37" fontId="13" fillId="0" borderId="0" xfId="0" quotePrefix="1" applyFont="1"/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9" fillId="0" borderId="0" xfId="0" quotePrefix="1" applyFont="1" applyAlignment="1">
      <alignment horizontal="right"/>
    </xf>
    <xf numFmtId="37" fontId="9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9" fillId="0" borderId="6" xfId="0" applyFont="1" applyBorder="1"/>
    <xf numFmtId="37" fontId="9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9" fillId="0" borderId="13" xfId="0" applyFont="1" applyBorder="1"/>
    <xf numFmtId="37" fontId="9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9" fillId="0" borderId="8" xfId="0" applyFont="1" applyBorder="1" applyAlignment="1">
      <alignment horizontal="centerContinuous"/>
    </xf>
    <xf numFmtId="37" fontId="9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9" fillId="0" borderId="4" xfId="0" applyFont="1" applyBorder="1"/>
    <xf numFmtId="37" fontId="21" fillId="0" borderId="8" xfId="0" quotePrefix="1" applyFont="1" applyBorder="1" applyAlignment="1">
      <alignment horizontal="left"/>
    </xf>
    <xf numFmtId="37" fontId="9" fillId="0" borderId="2" xfId="0" applyFont="1" applyBorder="1"/>
    <xf numFmtId="37" fontId="9" fillId="0" borderId="3" xfId="0" applyFont="1" applyBorder="1"/>
    <xf numFmtId="37" fontId="21" fillId="0" borderId="0" xfId="0" applyFont="1" applyAlignment="1">
      <alignment horizontal="left"/>
    </xf>
    <xf numFmtId="37" fontId="9" fillId="2" borderId="0" xfId="0" applyFont="1" applyFill="1"/>
    <xf numFmtId="37" fontId="9" fillId="2" borderId="4" xfId="0" applyFont="1" applyFill="1" applyBorder="1"/>
    <xf numFmtId="37" fontId="9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9" fillId="2" borderId="12" xfId="0" applyFont="1" applyFill="1" applyBorder="1"/>
    <xf numFmtId="37" fontId="9" fillId="2" borderId="10" xfId="0" applyFont="1" applyFill="1" applyBorder="1"/>
    <xf numFmtId="37" fontId="13" fillId="0" borderId="0" xfId="0" quotePrefix="1" applyFont="1" applyAlignment="1">
      <alignment horizontal="right"/>
    </xf>
    <xf numFmtId="37" fontId="13" fillId="0" borderId="16" xfId="0" applyFont="1" applyBorder="1"/>
    <xf numFmtId="37" fontId="13" fillId="0" borderId="17" xfId="0" applyFont="1" applyBorder="1"/>
    <xf numFmtId="37" fontId="13" fillId="0" borderId="18" xfId="0" applyFont="1" applyBorder="1"/>
    <xf numFmtId="37" fontId="13" fillId="0" borderId="19" xfId="0" applyFont="1" applyBorder="1"/>
    <xf numFmtId="37" fontId="13" fillId="0" borderId="20" xfId="0" applyFont="1" applyBorder="1"/>
    <xf numFmtId="37" fontId="13" fillId="0" borderId="21" xfId="0" applyFont="1" applyBorder="1"/>
    <xf numFmtId="37" fontId="13" fillId="0" borderId="22" xfId="0" applyFont="1" applyBorder="1"/>
    <xf numFmtId="37" fontId="13" fillId="0" borderId="23" xfId="0" applyFont="1" applyBorder="1"/>
    <xf numFmtId="37" fontId="13" fillId="0" borderId="17" xfId="0" applyFont="1" applyBorder="1" applyAlignment="1">
      <alignment horizontal="center"/>
    </xf>
    <xf numFmtId="37" fontId="13" fillId="0" borderId="17" xfId="0" applyFont="1" applyBorder="1" applyAlignment="1">
      <alignment horizontal="right"/>
    </xf>
    <xf numFmtId="37" fontId="13" fillId="0" borderId="24" xfId="0" applyFont="1" applyBorder="1"/>
    <xf numFmtId="37" fontId="13" fillId="0" borderId="8" xfId="0" applyFont="1" applyBorder="1"/>
    <xf numFmtId="37" fontId="13" fillId="0" borderId="8" xfId="0" applyFont="1" applyBorder="1" applyAlignment="1">
      <alignment horizontal="center"/>
    </xf>
    <xf numFmtId="37" fontId="13" fillId="0" borderId="25" xfId="0" applyFont="1" applyBorder="1"/>
    <xf numFmtId="37" fontId="13" fillId="0" borderId="26" xfId="0" applyFont="1" applyBorder="1"/>
    <xf numFmtId="37" fontId="13" fillId="0" borderId="6" xfId="0" applyFont="1" applyBorder="1"/>
    <xf numFmtId="37" fontId="13" fillId="0" borderId="27" xfId="0" applyFont="1" applyBorder="1"/>
    <xf numFmtId="37" fontId="13" fillId="0" borderId="28" xfId="0" quotePrefix="1" applyFont="1" applyBorder="1" applyAlignment="1">
      <alignment horizontal="left"/>
    </xf>
    <xf numFmtId="37" fontId="13" fillId="0" borderId="12" xfId="0" applyFont="1" applyBorder="1"/>
    <xf numFmtId="37" fontId="13" fillId="0" borderId="29" xfId="0" applyFont="1" applyBorder="1"/>
    <xf numFmtId="37" fontId="13" fillId="0" borderId="28" xfId="0" applyFont="1" applyBorder="1" applyAlignment="1">
      <alignment horizontal="center"/>
    </xf>
    <xf numFmtId="37" fontId="13" fillId="0" borderId="30" xfId="0" applyFont="1" applyBorder="1"/>
    <xf numFmtId="37" fontId="13" fillId="0" borderId="31" xfId="0" applyFont="1" applyBorder="1"/>
    <xf numFmtId="37" fontId="13" fillId="0" borderId="31" xfId="0" applyFont="1" applyBorder="1" applyAlignment="1">
      <alignment horizontal="center"/>
    </xf>
    <xf numFmtId="37" fontId="13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9" fillId="0" borderId="6" xfId="0" applyFont="1" applyBorder="1" applyAlignment="1">
      <alignment horizontal="centerContinuous"/>
    </xf>
    <xf numFmtId="37" fontId="9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9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9" fillId="0" borderId="12" xfId="0" applyFont="1" applyBorder="1"/>
    <xf numFmtId="37" fontId="9" fillId="0" borderId="7" xfId="0" applyFont="1" applyBorder="1"/>
    <xf numFmtId="37" fontId="9" fillId="0" borderId="15" xfId="0" applyFont="1" applyBorder="1"/>
    <xf numFmtId="37" fontId="21" fillId="0" borderId="12" xfId="0" quotePrefix="1" applyFont="1" applyBorder="1" applyAlignment="1">
      <alignment horizontal="left"/>
    </xf>
    <xf numFmtId="37" fontId="9" fillId="0" borderId="12" xfId="0" quotePrefix="1" applyFont="1" applyBorder="1"/>
    <xf numFmtId="37" fontId="9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9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9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9" fillId="0" borderId="14" xfId="0" applyFont="1" applyBorder="1"/>
    <xf numFmtId="37" fontId="22" fillId="0" borderId="0" xfId="0" applyFont="1" applyAlignment="1">
      <alignment horizontal="centerContinuous"/>
    </xf>
    <xf numFmtId="37" fontId="13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6" fillId="0" borderId="2" xfId="0" applyFont="1" applyBorder="1"/>
    <xf numFmtId="37" fontId="6" fillId="0" borderId="2" xfId="0" quotePrefix="1" applyFont="1" applyBorder="1"/>
    <xf numFmtId="37" fontId="6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3" fillId="0" borderId="14" xfId="0" applyFont="1" applyBorder="1"/>
    <xf numFmtId="37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/>
    </xf>
    <xf numFmtId="2" fontId="13" fillId="0" borderId="0" xfId="0" applyNumberFormat="1" applyFont="1"/>
    <xf numFmtId="37" fontId="24" fillId="0" borderId="0" xfId="0" applyFont="1"/>
    <xf numFmtId="43" fontId="13" fillId="7" borderId="0" xfId="1" applyFont="1" applyFill="1"/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13" fillId="3" borderId="0" xfId="0" quotePrefix="1" applyNumberFormat="1" applyFont="1" applyFill="1" applyAlignment="1">
      <alignment horizontal="left"/>
    </xf>
    <xf numFmtId="2" fontId="13" fillId="3" borderId="0" xfId="0" applyNumberFormat="1" applyFont="1" applyFill="1"/>
    <xf numFmtId="2" fontId="13" fillId="3" borderId="0" xfId="0" quotePrefix="1" applyNumberFormat="1" applyFont="1" applyFill="1" applyAlignment="1">
      <alignment horizontal="fill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13" fillId="7" borderId="0" xfId="0" quotePrefix="1" applyFont="1" applyFill="1" applyAlignment="1">
      <alignment horizontal="fill"/>
    </xf>
    <xf numFmtId="38" fontId="13" fillId="7" borderId="0" xfId="0" applyNumberFormat="1" applyFont="1" applyFill="1"/>
    <xf numFmtId="39" fontId="13" fillId="7" borderId="0" xfId="0" applyNumberFormat="1" applyFont="1" applyFill="1"/>
    <xf numFmtId="2" fontId="13" fillId="7" borderId="0" xfId="0" applyNumberFormat="1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9" fillId="0" borderId="0" xfId="0" applyFont="1" applyAlignment="1">
      <alignment vertical="center"/>
    </xf>
    <xf numFmtId="37" fontId="9" fillId="0" borderId="1" xfId="0" applyFont="1" applyBorder="1" applyAlignment="1">
      <alignment vertical="center"/>
    </xf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3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3" fillId="3" borderId="0" xfId="0" quotePrefix="1" applyNumberFormat="1" applyFont="1" applyFill="1" applyAlignment="1">
      <alignment horizontal="fill"/>
    </xf>
    <xf numFmtId="39" fontId="13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14" fillId="0" borderId="0" xfId="2" applyFont="1">
      <alignment vertical="top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0" fontId="8" fillId="0" borderId="0" xfId="2">
      <alignment vertical="top"/>
      <protection locked="0"/>
    </xf>
    <xf numFmtId="38" fontId="15" fillId="4" borderId="14" xfId="0" quotePrefix="1" applyNumberFormat="1" applyFont="1" applyFill="1" applyBorder="1" applyProtection="1">
      <protection locked="0"/>
    </xf>
    <xf numFmtId="37" fontId="5" fillId="12" borderId="0" xfId="0" applyFont="1" applyFill="1"/>
    <xf numFmtId="38" fontId="5" fillId="12" borderId="0" xfId="0" applyNumberFormat="1" applyFont="1" applyFill="1"/>
    <xf numFmtId="37" fontId="5" fillId="12" borderId="0" xfId="0" quotePrefix="1" applyFont="1" applyFill="1" applyAlignment="1">
      <alignment horizontal="left"/>
    </xf>
    <xf numFmtId="37" fontId="5" fillId="12" borderId="33" xfId="0" applyFont="1" applyFill="1" applyBorder="1"/>
    <xf numFmtId="38" fontId="5" fillId="12" borderId="33" xfId="0" applyNumberFormat="1" applyFont="1" applyFill="1" applyBorder="1"/>
    <xf numFmtId="37" fontId="5" fillId="12" borderId="34" xfId="0" applyFont="1" applyFill="1" applyBorder="1"/>
    <xf numFmtId="38" fontId="5" fillId="12" borderId="34" xfId="0" applyNumberFormat="1" applyFont="1" applyFill="1" applyBorder="1"/>
    <xf numFmtId="37" fontId="31" fillId="12" borderId="35" xfId="0" quotePrefix="1" applyFont="1" applyFill="1" applyBorder="1" applyAlignment="1">
      <alignment horizontal="left"/>
    </xf>
    <xf numFmtId="37" fontId="5" fillId="12" borderId="36" xfId="0" quotePrefix="1" applyFont="1" applyFill="1" applyBorder="1" applyAlignment="1">
      <alignment vertical="center" readingOrder="1"/>
    </xf>
    <xf numFmtId="37" fontId="4" fillId="12" borderId="36" xfId="0" quotePrefix="1" applyFont="1" applyFill="1" applyBorder="1"/>
    <xf numFmtId="37" fontId="5" fillId="12" borderId="36" xfId="0" applyFont="1" applyFill="1" applyBorder="1" applyAlignment="1">
      <alignment vertical="center" readingOrder="1"/>
    </xf>
    <xf numFmtId="37" fontId="4" fillId="12" borderId="37" xfId="0" quotePrefix="1" applyFont="1" applyFill="1" applyBorder="1"/>
    <xf numFmtId="37" fontId="5" fillId="12" borderId="38" xfId="0" applyFont="1" applyFill="1" applyBorder="1"/>
    <xf numFmtId="37" fontId="5" fillId="12" borderId="39" xfId="0" applyFont="1" applyFill="1" applyBorder="1"/>
    <xf numFmtId="37" fontId="5" fillId="12" borderId="40" xfId="0" applyFont="1" applyFill="1" applyBorder="1"/>
    <xf numFmtId="37" fontId="32" fillId="0" borderId="0" xfId="0" applyFont="1"/>
    <xf numFmtId="37" fontId="13" fillId="11" borderId="0" xfId="0" applyFont="1" applyFill="1" applyProtection="1">
      <protection locked="0"/>
    </xf>
    <xf numFmtId="37" fontId="33" fillId="0" borderId="0" xfId="0" applyFont="1"/>
    <xf numFmtId="37" fontId="34" fillId="0" borderId="0" xfId="0" applyFont="1"/>
    <xf numFmtId="37" fontId="35" fillId="0" borderId="0" xfId="0" applyFont="1"/>
    <xf numFmtId="37" fontId="36" fillId="0" borderId="0" xfId="0" applyFont="1"/>
    <xf numFmtId="37" fontId="26" fillId="0" borderId="0" xfId="0" applyFont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1" xfId="0" applyFont="1" applyBorder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2" fontId="13" fillId="0" borderId="0" xfId="0" applyNumberFormat="1" applyFont="1" applyAlignment="1">
      <alignment horizontal="right"/>
    </xf>
    <xf numFmtId="37" fontId="15" fillId="13" borderId="1" xfId="0" applyFont="1" applyFill="1" applyBorder="1" applyProtection="1">
      <protection locked="0"/>
    </xf>
    <xf numFmtId="37" fontId="15" fillId="13" borderId="1" xfId="0" quotePrefix="1" applyFont="1" applyFill="1" applyBorder="1" applyProtection="1">
      <protection locked="0"/>
    </xf>
    <xf numFmtId="37" fontId="13" fillId="13" borderId="0" xfId="0" applyFont="1" applyFill="1"/>
    <xf numFmtId="37" fontId="15" fillId="13" borderId="1" xfId="1" quotePrefix="1" applyNumberFormat="1" applyFont="1" applyFill="1" applyBorder="1" applyProtection="1">
      <protection locked="0"/>
    </xf>
    <xf numFmtId="2" fontId="15" fillId="13" borderId="1" xfId="4" quotePrefix="1" applyNumberFormat="1" applyFont="1" applyFill="1" applyBorder="1" applyProtection="1">
      <protection locked="0"/>
    </xf>
    <xf numFmtId="2" fontId="13" fillId="13" borderId="0" xfId="0" applyNumberFormat="1" applyFont="1" applyFill="1"/>
    <xf numFmtId="37" fontId="15" fillId="13" borderId="1" xfId="4" quotePrefix="1" applyNumberFormat="1" applyFont="1" applyFill="1" applyBorder="1" applyProtection="1">
      <protection locked="0"/>
    </xf>
    <xf numFmtId="37" fontId="15" fillId="12" borderId="1" xfId="0" quotePrefix="1" applyFont="1" applyFill="1" applyBorder="1" applyProtection="1">
      <protection locked="0"/>
    </xf>
    <xf numFmtId="167" fontId="15" fillId="12" borderId="1" xfId="0" quotePrefix="1" applyNumberFormat="1" applyFont="1" applyFill="1" applyBorder="1" applyProtection="1">
      <protection locked="0"/>
    </xf>
    <xf numFmtId="38" fontId="15" fillId="12" borderId="8" xfId="0" applyNumberFormat="1" applyFont="1" applyFill="1" applyBorder="1" applyProtection="1">
      <protection locked="0"/>
    </xf>
    <xf numFmtId="38" fontId="15" fillId="12" borderId="2" xfId="0" applyNumberFormat="1" applyFont="1" applyFill="1" applyBorder="1" applyProtection="1">
      <protection locked="0"/>
    </xf>
    <xf numFmtId="38" fontId="15" fillId="12" borderId="1" xfId="0" quotePrefix="1" applyNumberFormat="1" applyFont="1" applyFill="1" applyBorder="1" applyAlignment="1" applyProtection="1">
      <alignment horizontal="left"/>
      <protection locked="0"/>
    </xf>
    <xf numFmtId="38" fontId="15" fillId="12" borderId="14" xfId="0" applyNumberFormat="1" applyFont="1" applyFill="1" applyBorder="1" applyProtection="1">
      <protection locked="0"/>
    </xf>
    <xf numFmtId="38" fontId="15" fillId="12" borderId="14" xfId="0" quotePrefix="1" applyNumberFormat="1" applyFont="1" applyFill="1" applyBorder="1" applyProtection="1">
      <protection locked="0"/>
    </xf>
    <xf numFmtId="166" fontId="15" fillId="12" borderId="14" xfId="0" applyNumberFormat="1" applyFont="1" applyFill="1" applyBorder="1" applyAlignment="1" applyProtection="1">
      <alignment horizontal="left"/>
      <protection locked="0"/>
    </xf>
    <xf numFmtId="168" fontId="15" fillId="12" borderId="1" xfId="0" quotePrefix="1" applyNumberFormat="1" applyFont="1" applyFill="1" applyBorder="1" applyAlignment="1" applyProtection="1">
      <alignment horizontal="left"/>
      <protection locked="0"/>
    </xf>
    <xf numFmtId="38" fontId="15" fillId="12" borderId="1" xfId="0" applyNumberFormat="1" applyFont="1" applyFill="1" applyBorder="1" applyProtection="1">
      <protection locked="0"/>
    </xf>
    <xf numFmtId="38" fontId="15" fillId="12" borderId="1" xfId="0" applyNumberFormat="1" applyFont="1" applyFill="1" applyBorder="1" applyAlignment="1" applyProtection="1">
      <alignment horizontal="right"/>
      <protection locked="0"/>
    </xf>
    <xf numFmtId="37" fontId="15" fillId="12" borderId="1" xfId="0" applyFont="1" applyFill="1" applyBorder="1" applyProtection="1">
      <protection locked="0"/>
    </xf>
    <xf numFmtId="38" fontId="15" fillId="13" borderId="1" xfId="0" applyNumberFormat="1" applyFont="1" applyFill="1" applyBorder="1" applyProtection="1">
      <protection locked="0"/>
    </xf>
    <xf numFmtId="37" fontId="49" fillId="13" borderId="1" xfId="6" applyFont="1" applyFill="1" applyBorder="1" applyProtection="1">
      <protection locked="0"/>
    </xf>
    <xf numFmtId="37" fontId="49" fillId="13" borderId="1" xfId="6" quotePrefix="1" applyFont="1" applyFill="1" applyBorder="1" applyProtection="1">
      <protection locked="0"/>
    </xf>
    <xf numFmtId="37" fontId="49" fillId="13" borderId="1" xfId="7" quotePrefix="1" applyNumberFormat="1" applyFont="1" applyFill="1" applyBorder="1" applyProtection="1">
      <protection locked="0"/>
    </xf>
    <xf numFmtId="2" fontId="49" fillId="13" borderId="1" xfId="6" quotePrefix="1" applyNumberFormat="1" applyFont="1" applyFill="1" applyBorder="1" applyProtection="1">
      <protection locked="0"/>
    </xf>
    <xf numFmtId="2" fontId="49" fillId="13" borderId="1" xfId="7" quotePrefix="1" applyNumberFormat="1" applyFont="1" applyFill="1" applyBorder="1" applyProtection="1">
      <protection locked="0"/>
    </xf>
    <xf numFmtId="37" fontId="49" fillId="0" borderId="1" xfId="6" quotePrefix="1" applyFont="1" applyBorder="1" applyProtection="1">
      <protection locked="0"/>
    </xf>
    <xf numFmtId="37" fontId="49" fillId="0" borderId="1" xfId="7" quotePrefix="1" applyNumberFormat="1" applyFont="1" applyBorder="1" applyProtection="1">
      <protection locked="0"/>
    </xf>
    <xf numFmtId="37" fontId="49" fillId="13" borderId="1" xfId="7" applyNumberFormat="1" applyFont="1" applyFill="1" applyBorder="1" applyProtection="1">
      <protection locked="0"/>
    </xf>
    <xf numFmtId="2" fontId="49" fillId="13" borderId="1" xfId="7" applyNumberFormat="1" applyFont="1" applyFill="1" applyBorder="1" applyProtection="1">
      <protection locked="0"/>
    </xf>
    <xf numFmtId="2" fontId="49" fillId="13" borderId="1" xfId="8" quotePrefix="1" applyNumberFormat="1" applyFont="1" applyFill="1" applyBorder="1" applyProtection="1">
      <protection locked="0"/>
    </xf>
    <xf numFmtId="1" fontId="49" fillId="13" borderId="1" xfId="6" quotePrefix="1" applyNumberFormat="1" applyFont="1" applyFill="1" applyBorder="1" applyProtection="1">
      <protection locked="0"/>
    </xf>
    <xf numFmtId="37" fontId="70" fillId="0" borderId="0" xfId="0" applyFont="1" applyAlignment="1">
      <alignment vertical="center" wrapText="1"/>
    </xf>
    <xf numFmtId="49" fontId="66" fillId="0" borderId="34" xfId="361" applyNumberFormat="1" applyFont="1" applyBorder="1"/>
    <xf numFmtId="37" fontId="69" fillId="0" borderId="0" xfId="0" applyFont="1"/>
    <xf numFmtId="37" fontId="49" fillId="13" borderId="1" xfId="8" quotePrefix="1" applyNumberFormat="1" applyFont="1" applyFill="1" applyBorder="1" applyProtection="1">
      <protection locked="0"/>
    </xf>
    <xf numFmtId="37" fontId="49" fillId="12" borderId="1" xfId="6" quotePrefix="1" applyFont="1" applyFill="1" applyBorder="1" applyProtection="1">
      <protection locked="0"/>
    </xf>
    <xf numFmtId="38" fontId="49" fillId="12" borderId="14" xfId="6" applyNumberFormat="1" applyFont="1" applyFill="1" applyBorder="1" applyProtection="1">
      <protection locked="0"/>
    </xf>
    <xf numFmtId="49" fontId="49" fillId="12" borderId="1" xfId="6" quotePrefix="1" applyNumberFormat="1" applyFont="1" applyFill="1" applyBorder="1" applyProtection="1">
      <protection locked="0"/>
    </xf>
    <xf numFmtId="0" fontId="8" fillId="13" borderId="0" xfId="2" applyFill="1">
      <alignment vertical="top"/>
      <protection locked="0"/>
    </xf>
    <xf numFmtId="38" fontId="15" fillId="4" borderId="14" xfId="3711" applyNumberFormat="1" applyFont="1" applyFill="1" applyBorder="1" applyProtection="1">
      <protection locked="0"/>
    </xf>
    <xf numFmtId="38" fontId="15" fillId="12" borderId="1" xfId="6" applyNumberFormat="1" applyFont="1" applyFill="1" applyBorder="1" applyProtection="1">
      <protection locked="0"/>
    </xf>
    <xf numFmtId="37" fontId="15" fillId="12" borderId="1" xfId="6" applyFont="1" applyFill="1" applyBorder="1" applyProtection="1">
      <protection locked="0"/>
    </xf>
    <xf numFmtId="38" fontId="15" fillId="0" borderId="1" xfId="6" applyNumberFormat="1" applyFont="1" applyBorder="1" applyProtection="1">
      <protection locked="0"/>
    </xf>
    <xf numFmtId="37" fontId="15" fillId="0" borderId="1" xfId="6" applyFont="1" applyBorder="1" applyProtection="1">
      <protection locked="0"/>
    </xf>
    <xf numFmtId="38" fontId="15" fillId="12" borderId="1" xfId="9" applyNumberFormat="1" applyFont="1" applyFill="1" applyBorder="1" applyProtection="1">
      <protection locked="0"/>
    </xf>
    <xf numFmtId="37" fontId="13" fillId="12" borderId="0" xfId="6" applyFont="1" applyFill="1" applyProtection="1">
      <protection locked="0"/>
    </xf>
    <xf numFmtId="38" fontId="15" fillId="12" borderId="1" xfId="6" applyNumberFormat="1" applyFont="1" applyFill="1" applyBorder="1" applyAlignment="1" applyProtection="1">
      <alignment horizontal="center"/>
      <protection locked="0"/>
    </xf>
    <xf numFmtId="38" fontId="15" fillId="12" borderId="1" xfId="6" applyNumberFormat="1" applyFont="1" applyFill="1" applyBorder="1" applyAlignment="1" applyProtection="1">
      <alignment horizontal="right"/>
      <protection locked="0"/>
    </xf>
    <xf numFmtId="38" fontId="15" fillId="13" borderId="1" xfId="6" applyNumberFormat="1" applyFont="1" applyFill="1" applyBorder="1" applyProtection="1">
      <protection locked="0"/>
    </xf>
    <xf numFmtId="170" fontId="67" fillId="0" borderId="0" xfId="10" applyNumberFormat="1" applyFont="1"/>
    <xf numFmtId="170" fontId="47" fillId="0" borderId="0" xfId="10" applyNumberFormat="1"/>
    <xf numFmtId="170" fontId="68" fillId="0" borderId="0" xfId="10" applyNumberFormat="1" applyFont="1"/>
    <xf numFmtId="170" fontId="66" fillId="0" borderId="0" xfId="10" applyNumberFormat="1" applyFont="1"/>
    <xf numFmtId="49" fontId="66" fillId="0" borderId="34" xfId="10" applyNumberFormat="1" applyFont="1" applyBorder="1"/>
    <xf numFmtId="49" fontId="66" fillId="0" borderId="0" xfId="10" applyNumberFormat="1" applyFont="1"/>
    <xf numFmtId="49" fontId="47" fillId="0" borderId="0" xfId="10" applyNumberFormat="1"/>
    <xf numFmtId="171" fontId="7" fillId="0" borderId="0" xfId="1" applyNumberFormat="1"/>
    <xf numFmtId="37" fontId="70" fillId="0" borderId="0" xfId="0" applyFont="1" applyAlignment="1">
      <alignment vertical="center"/>
    </xf>
    <xf numFmtId="37" fontId="71" fillId="0" borderId="0" xfId="0" applyFont="1" applyAlignment="1">
      <alignment horizontal="left" indent="1"/>
    </xf>
    <xf numFmtId="49" fontId="47" fillId="0" borderId="0" xfId="361" applyNumberFormat="1" applyAlignment="1">
      <alignment wrapText="1"/>
    </xf>
    <xf numFmtId="170" fontId="47" fillId="0" borderId="0" xfId="361" applyNumberFormat="1" applyAlignment="1">
      <alignment wrapText="1"/>
    </xf>
    <xf numFmtId="170" fontId="67" fillId="0" borderId="0" xfId="361" applyNumberFormat="1" applyFont="1" applyAlignment="1">
      <alignment wrapText="1"/>
    </xf>
    <xf numFmtId="37" fontId="15" fillId="3" borderId="0" xfId="0" applyFont="1" applyFill="1" applyAlignment="1">
      <alignment horizontal="center" vertical="center"/>
    </xf>
    <xf numFmtId="37" fontId="72" fillId="0" borderId="0" xfId="0" applyFont="1"/>
    <xf numFmtId="37" fontId="13" fillId="0" borderId="0" xfId="0" applyFont="1" applyFill="1" applyBorder="1"/>
    <xf numFmtId="37" fontId="17" fillId="0" borderId="0" xfId="0" applyFont="1" applyFill="1" applyBorder="1" applyAlignment="1">
      <alignment vertical="center" readingOrder="1"/>
    </xf>
    <xf numFmtId="37" fontId="31" fillId="0" borderId="0" xfId="0" quotePrefix="1" applyFont="1" applyFill="1" applyBorder="1" applyAlignment="1">
      <alignment horizontal="left"/>
    </xf>
    <xf numFmtId="37" fontId="5" fillId="0" borderId="0" xfId="0" applyFont="1" applyFill="1" applyBorder="1"/>
    <xf numFmtId="38" fontId="5" fillId="0" borderId="0" xfId="0" applyNumberFormat="1" applyFont="1" applyFill="1" applyBorder="1"/>
    <xf numFmtId="37" fontId="5" fillId="0" borderId="0" xfId="0" quotePrefix="1" applyFont="1" applyFill="1" applyBorder="1" applyAlignment="1">
      <alignment vertical="center" readingOrder="1"/>
    </xf>
    <xf numFmtId="37" fontId="5" fillId="0" borderId="0" xfId="0" quotePrefix="1" applyFont="1" applyFill="1" applyBorder="1" applyAlignment="1">
      <alignment horizontal="left"/>
    </xf>
    <xf numFmtId="37" fontId="4" fillId="0" borderId="0" xfId="0" quotePrefix="1" applyFont="1" applyFill="1" applyBorder="1"/>
    <xf numFmtId="37" fontId="5" fillId="0" borderId="0" xfId="0" applyFont="1" applyFill="1" applyBorder="1" applyAlignment="1">
      <alignment vertical="center" readingOrder="1"/>
    </xf>
    <xf numFmtId="38" fontId="13" fillId="0" borderId="0" xfId="0" applyNumberFormat="1" applyFont="1" applyFill="1" applyBorder="1"/>
    <xf numFmtId="37" fontId="73" fillId="0" borderId="0" xfId="0" applyFont="1" applyAlignment="1">
      <alignment horizontal="left" vertical="center" wrapText="1"/>
    </xf>
  </cellXfs>
  <cellStyles count="3825">
    <cellStyle name="20% - Accent1 2" xfId="28" xr:uid="{3699764F-B0FC-40C5-A9CA-6E69ABDFC020}"/>
    <cellStyle name="20% - Accent1 2 2" xfId="29" xr:uid="{43B665FF-FF54-438B-B73A-778AD1D12A15}"/>
    <cellStyle name="20% - Accent1 2 2 2" xfId="30" xr:uid="{E191D9D1-EFB4-4D90-94FE-39B77A6E3B1D}"/>
    <cellStyle name="20% - Accent1 2 2 2 2" xfId="31" xr:uid="{B3EADF3F-8831-4BF7-8ECB-31AFDC645CA7}"/>
    <cellStyle name="20% - Accent1 2 2 2 2 2" xfId="543" xr:uid="{B18376BD-B90C-4C5A-88F0-A5F152DC203B}"/>
    <cellStyle name="20% - Accent1 2 2 2 2 2 2" xfId="1922" xr:uid="{84386C2E-CA31-4F87-A4EA-9497D38F525E}"/>
    <cellStyle name="20% - Accent1 2 2 2 2 2 2 2" xfId="3713" xr:uid="{099B1728-9AB6-42E6-85E8-C81F49204DCF}"/>
    <cellStyle name="20% - Accent1 2 2 2 2 2 3" xfId="2440" xr:uid="{875C4FC2-DD05-4905-AAD9-5C754DC491D3}"/>
    <cellStyle name="20% - Accent1 2 2 2 2 3" xfId="1489" xr:uid="{1F4F9261-13FA-4D7F-9F6C-3DA018242AB0}"/>
    <cellStyle name="20% - Accent1 2 2 2 2 3 2" xfId="3283" xr:uid="{5940C114-BC7C-4972-B240-7C7A5685FB4F}"/>
    <cellStyle name="20% - Accent1 2 2 2 2 4" xfId="2014" xr:uid="{FFE1160E-07E0-4D35-B983-DC6B298B1B62}"/>
    <cellStyle name="20% - Accent1 2 2 2 3" xfId="542" xr:uid="{EA3899CD-2CE9-4647-9095-6DDF7052E8EC}"/>
    <cellStyle name="20% - Accent1 2 2 2 3 2" xfId="1691" xr:uid="{F33E2BDB-2636-4875-B2D4-B91ACF991CAD}"/>
    <cellStyle name="20% - Accent1 2 2 2 3 2 2" xfId="3482" xr:uid="{27811B93-37DF-40AA-AA1C-0E8E368B4165}"/>
    <cellStyle name="20% - Accent1 2 2 2 3 3" xfId="2439" xr:uid="{28337F4F-5D55-49FF-A130-4F9B0E21B4F7}"/>
    <cellStyle name="20% - Accent1 2 2 2 4" xfId="1247" xr:uid="{5AD84EC2-35E2-48BF-A289-F99A6A13076D}"/>
    <cellStyle name="20% - Accent1 2 2 2 4 2" xfId="3062" xr:uid="{0E153724-0232-4ED6-B452-122E6F58A48B}"/>
    <cellStyle name="20% - Accent1 2 2 2 5" xfId="2013" xr:uid="{E6D251D9-9E9B-40D6-9CD8-BD5F7E77EF7C}"/>
    <cellStyle name="20% - Accent1 2 2 3" xfId="32" xr:uid="{ABB3456E-7550-48CB-9F06-FF86530F10CE}"/>
    <cellStyle name="20% - Accent1 2 2 3 2" xfId="544" xr:uid="{1BB4C289-F2DC-487B-B56A-18FA8BEFB46B}"/>
    <cellStyle name="20% - Accent1 2 2 3 2 2" xfId="1852" xr:uid="{3B8E5D96-E0C1-44AF-B45E-63A78714A99B}"/>
    <cellStyle name="20% - Accent1 2 2 3 2 2 2" xfId="3643" xr:uid="{6F0D21E5-6038-4648-9B32-F8EFD0A07F45}"/>
    <cellStyle name="20% - Accent1 2 2 3 2 3" xfId="2441" xr:uid="{7317EFDE-0C09-4E36-BDE1-E61E22C7152A}"/>
    <cellStyle name="20% - Accent1 2 2 3 3" xfId="1419" xr:uid="{7378777E-7172-4795-B2D7-C2CC43AC58BE}"/>
    <cellStyle name="20% - Accent1 2 2 3 3 2" xfId="3213" xr:uid="{480FA004-FB50-4ECC-9A8E-1607CF03562B}"/>
    <cellStyle name="20% - Accent1 2 2 3 4" xfId="2015" xr:uid="{2E3B8748-94FB-4354-AF2F-51BC3C69C0AF}"/>
    <cellStyle name="20% - Accent1 2 2 4" xfId="541" xr:uid="{27B2546A-F437-4DBF-9C05-3146E6FCC4FA}"/>
    <cellStyle name="20% - Accent1 2 2 4 2" xfId="1621" xr:uid="{6B4CDD51-4C9F-4F1B-88E9-9110DDDA5F7C}"/>
    <cellStyle name="20% - Accent1 2 2 4 2 2" xfId="3412" xr:uid="{5AC0F447-A6BF-4FA5-885E-16955A9D0209}"/>
    <cellStyle name="20% - Accent1 2 2 4 3" xfId="2438" xr:uid="{9FC338C7-311B-44E5-AD73-FB51701A473A}"/>
    <cellStyle name="20% - Accent1 2 2 5" xfId="1177" xr:uid="{35F0F491-A4BC-42B3-843F-5806A8897E57}"/>
    <cellStyle name="20% - Accent1 2 2 5 2" xfId="2992" xr:uid="{5202ABE3-C28A-4687-8246-539A47F8789E}"/>
    <cellStyle name="20% - Accent1 2 2 6" xfId="2012" xr:uid="{D663911F-8356-4DA9-8DB7-82309C37FC29}"/>
    <cellStyle name="20% - Accent1 2 3" xfId="33" xr:uid="{E20B2944-1FA2-4577-8A81-3C7CB03DF3BB}"/>
    <cellStyle name="20% - Accent1 2 3 2" xfId="34" xr:uid="{8E13D901-0816-421E-876F-9808A0FB7FAC}"/>
    <cellStyle name="20% - Accent1 2 3 2 2" xfId="546" xr:uid="{86F76308-B587-4D30-8E3B-F5D996E0BBB3}"/>
    <cellStyle name="20% - Accent1 2 3 2 2 2" xfId="1957" xr:uid="{F118A505-936C-47B2-90E2-DDB592162C8F}"/>
    <cellStyle name="20% - Accent1 2 3 2 2 2 2" xfId="3748" xr:uid="{424C5D47-93B0-4417-ACB5-BD0C28FD5807}"/>
    <cellStyle name="20% - Accent1 2 3 2 2 3" xfId="2443" xr:uid="{31CCBBAC-5FF1-46F3-8D36-56E25220A321}"/>
    <cellStyle name="20% - Accent1 2 3 2 3" xfId="1524" xr:uid="{62F0E8F3-E984-4617-8FCB-145F8DECFEF7}"/>
    <cellStyle name="20% - Accent1 2 3 2 3 2" xfId="3318" xr:uid="{10D4339A-6127-4752-8321-1B3C6DCDBC50}"/>
    <cellStyle name="20% - Accent1 2 3 2 4" xfId="2017" xr:uid="{CBF47524-4548-4618-A8DE-A1C8B24CD26F}"/>
    <cellStyle name="20% - Accent1 2 3 3" xfId="545" xr:uid="{020C6AA1-556B-4394-A256-4D136ED2B6ED}"/>
    <cellStyle name="20% - Accent1 2 3 3 2" xfId="1726" xr:uid="{5D98974F-1E0C-4E6D-A2E5-237999C9D0AF}"/>
    <cellStyle name="20% - Accent1 2 3 3 2 2" xfId="3517" xr:uid="{DD9EDE56-8F04-4EA2-92EF-0149B785FFD7}"/>
    <cellStyle name="20% - Accent1 2 3 3 3" xfId="2442" xr:uid="{111A70C4-9A2E-4530-BBE2-05A6796275DD}"/>
    <cellStyle name="20% - Accent1 2 3 4" xfId="1282" xr:uid="{D9FC668A-644B-425E-B966-7E64FB262AFF}"/>
    <cellStyle name="20% - Accent1 2 3 4 2" xfId="3097" xr:uid="{A68A86FD-F423-4123-A712-CEBBDBF58B81}"/>
    <cellStyle name="20% - Accent1 2 3 5" xfId="2016" xr:uid="{5A122865-4377-45D6-9784-83CEC34FFA4E}"/>
    <cellStyle name="20% - Accent1 2 4" xfId="35" xr:uid="{6BD5010D-D924-4DE7-B7EF-18F3B3785961}"/>
    <cellStyle name="20% - Accent1 2 4 2" xfId="36" xr:uid="{D03A694F-7AFA-4862-88EE-46519889727E}"/>
    <cellStyle name="20% - Accent1 2 4 2 2" xfId="548" xr:uid="{0076A74B-5A0F-4F71-A276-41C015661C99}"/>
    <cellStyle name="20% - Accent1 2 4 2 2 2" xfId="1887" xr:uid="{96FA2088-DA0C-4A4B-9361-826808E4A6FE}"/>
    <cellStyle name="20% - Accent1 2 4 2 2 2 2" xfId="3678" xr:uid="{793D44A0-78F7-4CEC-8492-E71AAA2877C0}"/>
    <cellStyle name="20% - Accent1 2 4 2 2 3" xfId="2445" xr:uid="{8713BB09-1FE5-4BD6-95EE-F21DF53E63D3}"/>
    <cellStyle name="20% - Accent1 2 4 2 3" xfId="1454" xr:uid="{9A9BF469-42F2-4B58-9405-023F76AEABD3}"/>
    <cellStyle name="20% - Accent1 2 4 2 3 2" xfId="3248" xr:uid="{3BE1D447-F1E3-4660-AEC7-0F220CEC9536}"/>
    <cellStyle name="20% - Accent1 2 4 2 4" xfId="2019" xr:uid="{213ACFEE-E1D3-4C42-BE2F-C000F2930784}"/>
    <cellStyle name="20% - Accent1 2 4 3" xfId="547" xr:uid="{EBEB26B6-F940-4257-B27A-A2B7EC334868}"/>
    <cellStyle name="20% - Accent1 2 4 3 2" xfId="1656" xr:uid="{E6C5896C-B1D0-4C59-82D4-F9BA2347A7D1}"/>
    <cellStyle name="20% - Accent1 2 4 3 2 2" xfId="3447" xr:uid="{DE7F1F46-5925-40EC-A826-D8EA39E63828}"/>
    <cellStyle name="20% - Accent1 2 4 3 3" xfId="2444" xr:uid="{42F2C749-039B-486B-9B35-5DDBDA9E0415}"/>
    <cellStyle name="20% - Accent1 2 4 4" xfId="1212" xr:uid="{9C280BAD-46E4-4B05-BB35-2696D6EA967B}"/>
    <cellStyle name="20% - Accent1 2 4 4 2" xfId="3027" xr:uid="{66BDE541-B6B2-4475-A55D-A7DD540D3D83}"/>
    <cellStyle name="20% - Accent1 2 4 5" xfId="2018" xr:uid="{F2F2F817-2F13-47D1-93F4-C4512F13C7A0}"/>
    <cellStyle name="20% - Accent1 2 5" xfId="37" xr:uid="{F49D76D7-A0A6-4AE7-8466-C17BED9605A5}"/>
    <cellStyle name="20% - Accent1 2 5 2" xfId="549" xr:uid="{263A9F95-5DFB-4BF2-8B5E-40244F53E30F}"/>
    <cellStyle name="20% - Accent1 2 5 2 2" xfId="1776" xr:uid="{0070AF69-BE07-47D3-BFA0-4DECFE9EAA32}"/>
    <cellStyle name="20% - Accent1 2 5 2 2 2" xfId="3567" xr:uid="{DEE4CEA5-095A-43D6-A89A-CE420C94DCB4}"/>
    <cellStyle name="20% - Accent1 2 5 2 3" xfId="2446" xr:uid="{3452ED24-73E0-4F7C-98F5-41D74923A828}"/>
    <cellStyle name="20% - Accent1 2 5 3" xfId="1155" xr:uid="{5F6C61B3-8FB4-4EA3-BE21-19F076756C28}"/>
    <cellStyle name="20% - Accent1 2 5 3 2" xfId="2971" xr:uid="{41FCD49C-D625-4B9E-B9BA-5347395D8E6E}"/>
    <cellStyle name="20% - Accent1 2 5 4" xfId="2020" xr:uid="{27F71CAD-F8A4-460F-9C6D-EF410B4946B8}"/>
    <cellStyle name="20% - Accent1 2 6" xfId="38" xr:uid="{A46B8C85-86B3-4405-A910-D22D6252E58F}"/>
    <cellStyle name="20% - Accent1 2 6 2" xfId="550" xr:uid="{28DD38AE-4099-47D1-9F98-7E5CA8C500B6}"/>
    <cellStyle name="20% - Accent1 2 6 2 2" xfId="1817" xr:uid="{96099B9C-7E60-4E21-8984-EA6F6DAB063A}"/>
    <cellStyle name="20% - Accent1 2 6 2 2 2" xfId="3608" xr:uid="{03432B31-B45E-4EB2-9A69-FFE293F387AA}"/>
    <cellStyle name="20% - Accent1 2 6 2 3" xfId="2447" xr:uid="{AB70FFA0-6F50-4C5D-BB85-44868FDCB402}"/>
    <cellStyle name="20% - Accent1 2 6 3" xfId="1385" xr:uid="{F083289F-2D9B-47C9-9620-B651CF58FE8B}"/>
    <cellStyle name="20% - Accent1 2 6 3 2" xfId="3179" xr:uid="{70E211C9-BFED-41EE-B093-44623F982EC1}"/>
    <cellStyle name="20% - Accent1 2 6 4" xfId="2021" xr:uid="{3561C65C-73D1-44C9-84FE-18B76BA5226F}"/>
    <cellStyle name="20% - Accent1 2 7" xfId="540" xr:uid="{AAB73ADA-F391-4313-B5DB-BF4D31F2B336}"/>
    <cellStyle name="20% - Accent1 2 7 2" xfId="1586" xr:uid="{381D9921-5C81-437C-B5A2-2381DC033ECC}"/>
    <cellStyle name="20% - Accent1 2 7 2 2" xfId="3377" xr:uid="{1E2C6D70-347F-4D9F-B80E-4B783B64747C}"/>
    <cellStyle name="20% - Accent1 2 7 3" xfId="2437" xr:uid="{728EAE76-D04B-4DD2-84F3-7C60B8597274}"/>
    <cellStyle name="20% - Accent1 2 8" xfId="1098" xr:uid="{0F0C5B4A-BDB0-4880-8462-C40BD7B36439}"/>
    <cellStyle name="20% - Accent1 2 8 2" xfId="2941" xr:uid="{BFB1416F-1F79-4243-9E63-0C26268708AB}"/>
    <cellStyle name="20% - Accent1 2 9" xfId="2011" xr:uid="{FC05813E-032B-4822-A85F-C61B98AD8747}"/>
    <cellStyle name="20% - Accent1 3" xfId="39" xr:uid="{EA6D7849-30DB-4D05-979A-292A12246A07}"/>
    <cellStyle name="20% - Accent1 3 2" xfId="40" xr:uid="{3970F09E-D072-4A72-BE31-F62843749894}"/>
    <cellStyle name="20% - Accent1 3 2 2" xfId="41" xr:uid="{2D6A8087-77E0-435F-9229-D4465F226E52}"/>
    <cellStyle name="20% - Accent1 3 2 2 2" xfId="553" xr:uid="{AA99F31F-DC5B-4685-BF90-6435392CED58}"/>
    <cellStyle name="20% - Accent1 3 2 2 2 2" xfId="1903" xr:uid="{0AA9320B-79EA-412D-9200-BA10347CE00A}"/>
    <cellStyle name="20% - Accent1 3 2 2 2 2 2" xfId="3694" xr:uid="{266F3D83-5AEF-48D8-96EA-0AF46D8AED40}"/>
    <cellStyle name="20% - Accent1 3 2 2 2 3" xfId="2450" xr:uid="{42D55A4B-C350-4CC2-B5CC-8101F640B0F0}"/>
    <cellStyle name="20% - Accent1 3 2 2 3" xfId="1470" xr:uid="{FE2DBB0A-FA0E-4225-A200-91465649F139}"/>
    <cellStyle name="20% - Accent1 3 2 2 3 2" xfId="3264" xr:uid="{AF410730-62B5-447A-8C60-CCAFD1C156CE}"/>
    <cellStyle name="20% - Accent1 3 2 2 4" xfId="2024" xr:uid="{B5E555B1-E0A4-4EC3-ADEF-B39065D9F1EC}"/>
    <cellStyle name="20% - Accent1 3 2 3" xfId="552" xr:uid="{17D65C15-E542-47B8-95FD-DE2792BEE31C}"/>
    <cellStyle name="20% - Accent1 3 2 3 2" xfId="1672" xr:uid="{8A183212-3921-47E0-AEB1-7A717CB198F1}"/>
    <cellStyle name="20% - Accent1 3 2 3 2 2" xfId="3463" xr:uid="{12219F21-A500-49CC-AF69-4C4A30CBCE51}"/>
    <cellStyle name="20% - Accent1 3 2 3 3" xfId="2449" xr:uid="{71116546-BAC1-4738-A62A-D8AFDEDEAF0D}"/>
    <cellStyle name="20% - Accent1 3 2 4" xfId="1228" xr:uid="{BA472942-96BF-45C8-A812-0A1D79B7E43A}"/>
    <cellStyle name="20% - Accent1 3 2 4 2" xfId="3043" xr:uid="{01A85289-AA15-4524-91C7-79FECB817DAE}"/>
    <cellStyle name="20% - Accent1 3 2 5" xfId="2023" xr:uid="{224AC1E9-EE4C-4055-8C50-8E1CD219AF5E}"/>
    <cellStyle name="20% - Accent1 3 3" xfId="42" xr:uid="{B5B5B43D-BAF7-45F6-9E8D-289883A030C9}"/>
    <cellStyle name="20% - Accent1 3 3 2" xfId="554" xr:uid="{5BB24F90-C113-4007-8B25-89D4B1FA7A4B}"/>
    <cellStyle name="20% - Accent1 3 3 2 2" xfId="1833" xr:uid="{C82152B2-2162-4F72-A9D4-BF8A307AEAA8}"/>
    <cellStyle name="20% - Accent1 3 3 2 2 2" xfId="3624" xr:uid="{617035C8-2572-40BC-B77E-C2118F7B2DE6}"/>
    <cellStyle name="20% - Accent1 3 3 2 3" xfId="2451" xr:uid="{D00E7FA7-C497-41B7-AE8F-27E0CA05F2CF}"/>
    <cellStyle name="20% - Accent1 3 3 3" xfId="1400" xr:uid="{4671FD92-BD67-458E-B0A3-4CED4777C0A3}"/>
    <cellStyle name="20% - Accent1 3 3 3 2" xfId="3194" xr:uid="{9B2210A1-F7CF-416C-9034-784582A0FC78}"/>
    <cellStyle name="20% - Accent1 3 3 4" xfId="2025" xr:uid="{0DFB8BDB-4FFE-4BDD-9842-9C72E321FE1B}"/>
    <cellStyle name="20% - Accent1 3 4" xfId="551" xr:uid="{274BC900-DBDD-4403-B664-64DD5E92F545}"/>
    <cellStyle name="20% - Accent1 3 4 2" xfId="1602" xr:uid="{DC95F3A3-9F7D-445B-AE66-1518ED9A07C4}"/>
    <cellStyle name="20% - Accent1 3 4 2 2" xfId="3393" xr:uid="{817024E0-7E71-4299-9B80-366DB949C2B1}"/>
    <cellStyle name="20% - Accent1 3 4 3" xfId="2448" xr:uid="{6AED4469-5BB2-4574-A228-322E3FD00994}"/>
    <cellStyle name="20% - Accent1 3 5" xfId="1127" xr:uid="{F2AEF81A-D851-4162-91F7-38D0FF64E78B}"/>
    <cellStyle name="20% - Accent1 3 5 2" xfId="2950" xr:uid="{F43B3B1F-BF34-4660-8117-A27FF5ACB18B}"/>
    <cellStyle name="20% - Accent1 3 6" xfId="2022" xr:uid="{158366F4-6585-40D4-B3CE-AF92D8526602}"/>
    <cellStyle name="20% - Accent1 4" xfId="43" xr:uid="{974DC969-8C23-4451-90A1-F9DEEFE8FFE5}"/>
    <cellStyle name="20% - Accent1 4 2" xfId="44" xr:uid="{06E4A3F0-5BD1-4967-A555-FB72C07FE8FD}"/>
    <cellStyle name="20% - Accent1 4 2 2" xfId="556" xr:uid="{518D875C-650C-4300-945E-B9E611C62F81}"/>
    <cellStyle name="20% - Accent1 4 2 2 2" xfId="1938" xr:uid="{CEF32348-7F61-441E-869E-D4A764B5B8FD}"/>
    <cellStyle name="20% - Accent1 4 2 2 2 2" xfId="3729" xr:uid="{47BA8865-8752-428A-9AE3-11FC8ACC2B1C}"/>
    <cellStyle name="20% - Accent1 4 2 2 3" xfId="2453" xr:uid="{27843FB8-E719-4655-B7C9-23150B5E5CD0}"/>
    <cellStyle name="20% - Accent1 4 2 3" xfId="1505" xr:uid="{3E597573-2194-41DB-BBD1-F5AA84E05DDE}"/>
    <cellStyle name="20% - Accent1 4 2 3 2" xfId="3299" xr:uid="{6296968F-B133-4F57-9CFD-44F23754A6C4}"/>
    <cellStyle name="20% - Accent1 4 2 4" xfId="2027" xr:uid="{E6A16FD5-5E9C-4715-906F-54B4C6776FF7}"/>
    <cellStyle name="20% - Accent1 4 3" xfId="555" xr:uid="{0A4BCC8E-1784-4930-AD8F-7E6A71CFABDE}"/>
    <cellStyle name="20% - Accent1 4 3 2" xfId="1707" xr:uid="{BB366E9E-9A92-4E53-A900-8910B1553420}"/>
    <cellStyle name="20% - Accent1 4 3 2 2" xfId="3498" xr:uid="{065116CB-A159-49E5-83D0-5EFC3B7AB448}"/>
    <cellStyle name="20% - Accent1 4 3 3" xfId="2452" xr:uid="{04D3E324-99F2-412E-8452-73BC92A73673}"/>
    <cellStyle name="20% - Accent1 4 4" xfId="1263" xr:uid="{96B9A573-7ECA-452E-9B15-6C5686D94E3C}"/>
    <cellStyle name="20% - Accent1 4 4 2" xfId="3078" xr:uid="{6C138D10-9CF7-49A9-9597-D429852096A2}"/>
    <cellStyle name="20% - Accent1 4 5" xfId="2026" xr:uid="{29EDA1C8-85D0-4867-8568-FEB0C9CFFFEF}"/>
    <cellStyle name="20% - Accent1 5" xfId="45" xr:uid="{E655020E-988B-4053-AF79-914BBCED15DE}"/>
    <cellStyle name="20% - Accent1 5 2" xfId="46" xr:uid="{0A8173F8-22D7-46F7-AEDE-24CC460E04E7}"/>
    <cellStyle name="20% - Accent1 5 2 2" xfId="558" xr:uid="{ADB2B0FE-9322-4209-BEE7-3D9965111AF3}"/>
    <cellStyle name="20% - Accent1 5 2 2 2" xfId="1868" xr:uid="{6E15E283-2899-43EA-9A1C-2479B33ED586}"/>
    <cellStyle name="20% - Accent1 5 2 2 2 2" xfId="3659" xr:uid="{5125CB1E-756A-4313-849F-8A3A954DBAEC}"/>
    <cellStyle name="20% - Accent1 5 2 2 3" xfId="2455" xr:uid="{B1C83BFC-434B-49D1-B3E3-952427CCBA9B}"/>
    <cellStyle name="20% - Accent1 5 2 3" xfId="1435" xr:uid="{ED5C718F-A3A2-433B-97BD-7B3027DCF64E}"/>
    <cellStyle name="20% - Accent1 5 2 3 2" xfId="3229" xr:uid="{768281BA-3F46-49C8-BED5-A969635F70A5}"/>
    <cellStyle name="20% - Accent1 5 2 4" xfId="2029" xr:uid="{A0C22DD0-2811-47D0-BF8D-808A6C381B1A}"/>
    <cellStyle name="20% - Accent1 5 3" xfId="557" xr:uid="{CF2E0BCB-D1EB-46C4-A561-10DF68AC2C28}"/>
    <cellStyle name="20% - Accent1 5 3 2" xfId="1637" xr:uid="{02EFE579-E4C7-4B03-8EFD-E49E3E7B580F}"/>
    <cellStyle name="20% - Accent1 5 3 2 2" xfId="3428" xr:uid="{72B67B85-4E92-4825-B69E-6C2ED11F8E2D}"/>
    <cellStyle name="20% - Accent1 5 3 3" xfId="2454" xr:uid="{83251132-F79D-4376-9C3A-954E4BCE017A}"/>
    <cellStyle name="20% - Accent1 5 4" xfId="1193" xr:uid="{9F5A2E2C-4737-4F7B-AF74-6A37A9C014F2}"/>
    <cellStyle name="20% - Accent1 5 4 2" xfId="3008" xr:uid="{9DE16BC7-1204-415A-B8C6-AB928AEEDF9C}"/>
    <cellStyle name="20% - Accent1 5 5" xfId="2028" xr:uid="{84B8F24B-6970-48EE-A779-B7732C937CEE}"/>
    <cellStyle name="20% - Accent1 6" xfId="47" xr:uid="{CBC0770A-3175-4A31-A8A9-9066EA090EE9}"/>
    <cellStyle name="20% - Accent1 6 2" xfId="559" xr:uid="{76C631C5-C312-47DC-A4A9-47B1980BDDB3}"/>
    <cellStyle name="20% - Accent1 6 2 2" xfId="1758" xr:uid="{EC6449F1-4CDF-4566-B075-F2FAF326121C}"/>
    <cellStyle name="20% - Accent1 6 2 2 2" xfId="3549" xr:uid="{D818C392-BB73-46C3-BA2D-6C98F432B9F4}"/>
    <cellStyle name="20% - Accent1 6 2 3" xfId="2456" xr:uid="{A14F2F5D-B968-47A9-BC1E-72805E788FEA}"/>
    <cellStyle name="20% - Accent1 6 3" xfId="1339" xr:uid="{E7AFACF6-D65B-42C7-8178-1898425B2E1C}"/>
    <cellStyle name="20% - Accent1 6 3 2" xfId="3134" xr:uid="{96D9C47E-BF45-4B65-B1EB-BC283681A783}"/>
    <cellStyle name="20% - Accent1 6 4" xfId="2030" xr:uid="{9D4A94FA-1634-4E07-8EE0-A44727E50D3B}"/>
    <cellStyle name="20% - Accent1 7" xfId="48" xr:uid="{296CD8F8-5DB3-4C43-B258-66C933629825}"/>
    <cellStyle name="20% - Accent1 7 2" xfId="560" xr:uid="{63CFD4AD-F788-475A-A086-C9D7D2ECD574}"/>
    <cellStyle name="20% - Accent1 7 2 2" xfId="1795" xr:uid="{93E05C23-16A0-4182-A7D2-938DE2162B8D}"/>
    <cellStyle name="20% - Accent1 7 2 2 2" xfId="3586" xr:uid="{FB753F4E-DEE1-4CE0-834B-8491DC72179A}"/>
    <cellStyle name="20% - Accent1 7 2 3" xfId="2457" xr:uid="{BA0675FE-67F4-4862-8528-8855CE106CD6}"/>
    <cellStyle name="20% - Accent1 7 3" xfId="1363" xr:uid="{14E845B7-8671-472D-A517-D83777F59240}"/>
    <cellStyle name="20% - Accent1 7 3 2" xfId="3157" xr:uid="{D3E65AB5-58D3-4314-9BDF-1FB051177686}"/>
    <cellStyle name="20% - Accent1 7 4" xfId="2031" xr:uid="{67CAD4E2-0075-4672-AA66-967AADD11388}"/>
    <cellStyle name="20% - Accent1 8" xfId="1552" xr:uid="{BB53163E-40D7-4349-AB99-B29C49EF2929}"/>
    <cellStyle name="20% - Accent1 8 2" xfId="3343" xr:uid="{A225BD11-137C-4145-829B-F2793A54A2D8}"/>
    <cellStyle name="20% - Accent2 2" xfId="49" xr:uid="{8460AC8C-F135-47B2-B02A-D274E9AD779B}"/>
    <cellStyle name="20% - Accent2 2 2" xfId="50" xr:uid="{34AD1B13-A977-4E8B-B3BE-526272257F32}"/>
    <cellStyle name="20% - Accent2 2 2 2" xfId="51" xr:uid="{28C6CC54-B6FA-4760-B955-8FFF5F0E5ABA}"/>
    <cellStyle name="20% - Accent2 2 2 2 2" xfId="52" xr:uid="{0C9E3E47-B54D-4865-A193-E6C2829CDDCE}"/>
    <cellStyle name="20% - Accent2 2 2 2 2 2" xfId="564" xr:uid="{BE612447-BFF6-4A35-B796-F7E16D222A0C}"/>
    <cellStyle name="20% - Accent2 2 2 2 2 2 2" xfId="1924" xr:uid="{B5C2F922-25EE-4C4E-810D-C78F003CFBFC}"/>
    <cellStyle name="20% - Accent2 2 2 2 2 2 2 2" xfId="3715" xr:uid="{52E476E5-11CD-4E97-A74D-3605F0F4F305}"/>
    <cellStyle name="20% - Accent2 2 2 2 2 2 3" xfId="2461" xr:uid="{C4085CF1-1702-4365-90AE-D1AEFDCD3E22}"/>
    <cellStyle name="20% - Accent2 2 2 2 2 3" xfId="1491" xr:uid="{3E8C124A-7B13-4B5C-98F6-96F329A02BD6}"/>
    <cellStyle name="20% - Accent2 2 2 2 2 3 2" xfId="3285" xr:uid="{92ED0BB8-4D4E-4177-BD30-31CA7727D2F1}"/>
    <cellStyle name="20% - Accent2 2 2 2 2 4" xfId="2035" xr:uid="{C7F5D5F4-AB05-4136-964E-D1193488BFBB}"/>
    <cellStyle name="20% - Accent2 2 2 2 3" xfId="563" xr:uid="{CDFEBB66-EED0-455B-88D0-88AF8A55F0B7}"/>
    <cellStyle name="20% - Accent2 2 2 2 3 2" xfId="1693" xr:uid="{42308361-BD08-4CAE-A6C2-A3B462059F53}"/>
    <cellStyle name="20% - Accent2 2 2 2 3 2 2" xfId="3484" xr:uid="{E5149737-07AA-4006-8AAD-EB66C4FF478A}"/>
    <cellStyle name="20% - Accent2 2 2 2 3 3" xfId="2460" xr:uid="{49783CF3-99DB-4A6C-952C-1B8A508F23AB}"/>
    <cellStyle name="20% - Accent2 2 2 2 4" xfId="1249" xr:uid="{AA0E3C89-A2E7-4E5B-ADE0-333A350E1159}"/>
    <cellStyle name="20% - Accent2 2 2 2 4 2" xfId="3064" xr:uid="{DCBED097-28D1-4C6F-9351-BBD783B82FA9}"/>
    <cellStyle name="20% - Accent2 2 2 2 5" xfId="2034" xr:uid="{BFFCBA2E-67FD-4A75-A2D9-46958504CEF2}"/>
    <cellStyle name="20% - Accent2 2 2 3" xfId="53" xr:uid="{016189BD-5B27-4692-A53D-30524DCB9A09}"/>
    <cellStyle name="20% - Accent2 2 2 3 2" xfId="565" xr:uid="{4470A556-8A2B-4AF4-8117-3F971F9B3D48}"/>
    <cellStyle name="20% - Accent2 2 2 3 2 2" xfId="1854" xr:uid="{793DD8A5-9233-4BD8-97AF-CA8D2085E055}"/>
    <cellStyle name="20% - Accent2 2 2 3 2 2 2" xfId="3645" xr:uid="{C3B13A90-04DA-42E6-9526-8F2B656E44C2}"/>
    <cellStyle name="20% - Accent2 2 2 3 2 3" xfId="2462" xr:uid="{A32372E7-796B-4771-8251-C8A58965330A}"/>
    <cellStyle name="20% - Accent2 2 2 3 3" xfId="1421" xr:uid="{0EB983D6-7CAA-45EF-8CB6-96DCB6512220}"/>
    <cellStyle name="20% - Accent2 2 2 3 3 2" xfId="3215" xr:uid="{964BEAD7-39EC-41EF-9C45-5266F0E70CC4}"/>
    <cellStyle name="20% - Accent2 2 2 3 4" xfId="2036" xr:uid="{F7982A9C-18F6-46B7-8492-7813C952298D}"/>
    <cellStyle name="20% - Accent2 2 2 4" xfId="562" xr:uid="{B4188FCC-4A2A-4893-BC32-D67077F1302B}"/>
    <cellStyle name="20% - Accent2 2 2 4 2" xfId="1623" xr:uid="{D860F183-9100-4926-9C81-71661FE4B517}"/>
    <cellStyle name="20% - Accent2 2 2 4 2 2" xfId="3414" xr:uid="{4920C807-6C6F-49CB-A61B-3CBC8D2B3930}"/>
    <cellStyle name="20% - Accent2 2 2 4 3" xfId="2459" xr:uid="{0F4A04C9-BBDF-4B6A-B5A6-EEA673146088}"/>
    <cellStyle name="20% - Accent2 2 2 5" xfId="1179" xr:uid="{55EFAC80-C493-4201-B903-5E62CAE3D0C3}"/>
    <cellStyle name="20% - Accent2 2 2 5 2" xfId="2994" xr:uid="{3DC3BBA5-BA11-4E2A-BBC8-68B8F4E33364}"/>
    <cellStyle name="20% - Accent2 2 2 6" xfId="2033" xr:uid="{74BD672D-B162-4851-B523-F0883DF405F6}"/>
    <cellStyle name="20% - Accent2 2 3" xfId="54" xr:uid="{46C28F34-DAB4-4EDB-BFEF-24745C8BAC06}"/>
    <cellStyle name="20% - Accent2 2 3 2" xfId="55" xr:uid="{06264143-38B9-42FE-AF1F-6EC8F9DE2003}"/>
    <cellStyle name="20% - Accent2 2 3 2 2" xfId="567" xr:uid="{EE73CDA9-F76E-42DF-8008-7B1FA94F0DF0}"/>
    <cellStyle name="20% - Accent2 2 3 2 2 2" xfId="1959" xr:uid="{B28CD749-C0CB-4953-A2A2-E4A22ADE5F73}"/>
    <cellStyle name="20% - Accent2 2 3 2 2 2 2" xfId="3750" xr:uid="{3FF543C1-AAC4-47CE-8077-60EE9B22A276}"/>
    <cellStyle name="20% - Accent2 2 3 2 2 3" xfId="2464" xr:uid="{0F65CBCC-A157-4B65-921B-076CC4442CF1}"/>
    <cellStyle name="20% - Accent2 2 3 2 3" xfId="1526" xr:uid="{73610BE6-82B2-48C1-B71F-B0956C3E6F29}"/>
    <cellStyle name="20% - Accent2 2 3 2 3 2" xfId="3320" xr:uid="{182760DC-9F7B-4064-A60D-1E9442DC994F}"/>
    <cellStyle name="20% - Accent2 2 3 2 4" xfId="2038" xr:uid="{73145618-11BB-4C67-B2CF-256C362450C8}"/>
    <cellStyle name="20% - Accent2 2 3 3" xfId="566" xr:uid="{D39057E2-2465-452C-BDCA-BCF239CB3FDF}"/>
    <cellStyle name="20% - Accent2 2 3 3 2" xfId="1728" xr:uid="{4E39C0E0-6471-4E3A-B959-D75C5310ECFD}"/>
    <cellStyle name="20% - Accent2 2 3 3 2 2" xfId="3519" xr:uid="{4EA28775-F147-424F-8BAE-3107B2E17042}"/>
    <cellStyle name="20% - Accent2 2 3 3 3" xfId="2463" xr:uid="{F45AC05E-EEDD-44E5-93F2-979100A12E86}"/>
    <cellStyle name="20% - Accent2 2 3 4" xfId="1284" xr:uid="{33952690-CC22-4167-9F68-08EFAE50E724}"/>
    <cellStyle name="20% - Accent2 2 3 4 2" xfId="3099" xr:uid="{C0400521-83C0-4F3C-AA95-824A6ABC7414}"/>
    <cellStyle name="20% - Accent2 2 3 5" xfId="2037" xr:uid="{57F41CF2-13DA-4B0A-9BF6-126733D25768}"/>
    <cellStyle name="20% - Accent2 2 4" xfId="56" xr:uid="{D87B5EC8-B01C-4C16-838A-48F37DA236E6}"/>
    <cellStyle name="20% - Accent2 2 4 2" xfId="57" xr:uid="{6536A84A-A8BD-4210-8687-8CB65C588AF7}"/>
    <cellStyle name="20% - Accent2 2 4 2 2" xfId="569" xr:uid="{A790901E-06F0-4C21-99FE-0AC36C683AEA}"/>
    <cellStyle name="20% - Accent2 2 4 2 2 2" xfId="1889" xr:uid="{04664B4F-E25E-4B3E-9F91-1F833E598A17}"/>
    <cellStyle name="20% - Accent2 2 4 2 2 2 2" xfId="3680" xr:uid="{CE6C28A9-F3D1-4364-8753-D7BBC871C36D}"/>
    <cellStyle name="20% - Accent2 2 4 2 2 3" xfId="2466" xr:uid="{BD9C2D32-29C1-4E2C-A31D-C7CD425E647E}"/>
    <cellStyle name="20% - Accent2 2 4 2 3" xfId="1456" xr:uid="{AE8D6A0E-05AD-4929-975E-520B75E86F68}"/>
    <cellStyle name="20% - Accent2 2 4 2 3 2" xfId="3250" xr:uid="{D050E413-AA62-40CA-8F4C-340E9229DFF8}"/>
    <cellStyle name="20% - Accent2 2 4 2 4" xfId="2040" xr:uid="{D55C04D1-1D92-43F6-8359-0DE135E03BFC}"/>
    <cellStyle name="20% - Accent2 2 4 3" xfId="568" xr:uid="{6B7AA5D9-FDC2-44BE-93A9-B41B7C29BE24}"/>
    <cellStyle name="20% - Accent2 2 4 3 2" xfId="1658" xr:uid="{11AFBAC0-EF2D-49D3-A33F-8BECB80CC9C4}"/>
    <cellStyle name="20% - Accent2 2 4 3 2 2" xfId="3449" xr:uid="{A9D038ED-E98A-4ECE-BA38-86EC1E835095}"/>
    <cellStyle name="20% - Accent2 2 4 3 3" xfId="2465" xr:uid="{0FDEE8E2-8C48-4737-9E14-9B05960B1487}"/>
    <cellStyle name="20% - Accent2 2 4 4" xfId="1214" xr:uid="{C0AA613B-B957-4CD1-B13E-97C8A8D9C184}"/>
    <cellStyle name="20% - Accent2 2 4 4 2" xfId="3029" xr:uid="{67198A55-4241-4B1B-9112-51F14363455D}"/>
    <cellStyle name="20% - Accent2 2 4 5" xfId="2039" xr:uid="{D5B09A57-D480-4196-90D3-1F6714F30A45}"/>
    <cellStyle name="20% - Accent2 2 5" xfId="58" xr:uid="{EE2A7061-338A-4987-A149-AEDD162678A8}"/>
    <cellStyle name="20% - Accent2 2 5 2" xfId="570" xr:uid="{83C25837-41DC-42B8-A48F-EA567B2B4B22}"/>
    <cellStyle name="20% - Accent2 2 5 2 2" xfId="1778" xr:uid="{7291B094-ABDA-4D16-B26D-A972CA74C6A2}"/>
    <cellStyle name="20% - Accent2 2 5 2 2 2" xfId="3569" xr:uid="{59474BB9-C611-4063-A37D-4808E75A774D}"/>
    <cellStyle name="20% - Accent2 2 5 2 3" xfId="2467" xr:uid="{EDBD1855-755D-431E-8ECC-559D03A949C2}"/>
    <cellStyle name="20% - Accent2 2 5 3" xfId="1157" xr:uid="{B1109EED-7FEB-4927-9C0D-BA9EB88018DB}"/>
    <cellStyle name="20% - Accent2 2 5 3 2" xfId="2973" xr:uid="{ABA914B6-2640-40C1-B889-468D1C7701BA}"/>
    <cellStyle name="20% - Accent2 2 5 4" xfId="2041" xr:uid="{3A67C2E1-DF94-4833-BA1E-B1F9A1191843}"/>
    <cellStyle name="20% - Accent2 2 6" xfId="59" xr:uid="{BC092DD4-A873-4448-8E2A-E4E5848E6FCF}"/>
    <cellStyle name="20% - Accent2 2 6 2" xfId="571" xr:uid="{FFAA95DB-6D26-4B5B-8E79-68D123D166F0}"/>
    <cellStyle name="20% - Accent2 2 6 2 2" xfId="1819" xr:uid="{EF5400E2-44DA-4D85-8A7B-CC98CE8D8A86}"/>
    <cellStyle name="20% - Accent2 2 6 2 2 2" xfId="3610" xr:uid="{A5DC0B78-6C21-4E35-9DBC-4263FDC1E06A}"/>
    <cellStyle name="20% - Accent2 2 6 2 3" xfId="2468" xr:uid="{FF379370-2A92-4F06-938C-3AA1D813B422}"/>
    <cellStyle name="20% - Accent2 2 6 3" xfId="1387" xr:uid="{3AFEF5FB-4C8A-44D9-94ED-6BEB3D4061D0}"/>
    <cellStyle name="20% - Accent2 2 6 3 2" xfId="3181" xr:uid="{81F167D6-D2AE-4131-BBBE-FFA80A19FF54}"/>
    <cellStyle name="20% - Accent2 2 6 4" xfId="2042" xr:uid="{08FEC62E-DE3E-4E94-BA37-6973ADCDBABD}"/>
    <cellStyle name="20% - Accent2 2 7" xfId="561" xr:uid="{823A2C83-419F-4360-8B61-2B5F3D911CB0}"/>
    <cellStyle name="20% - Accent2 2 7 2" xfId="1588" xr:uid="{8751594E-078F-4FBC-B226-2123B490C9B5}"/>
    <cellStyle name="20% - Accent2 2 7 2 2" xfId="3379" xr:uid="{50228D75-E1C6-47C0-B701-F9989BFA0808}"/>
    <cellStyle name="20% - Accent2 2 7 3" xfId="2458" xr:uid="{771A889A-1684-40B8-A34F-8D3EDDBD05F9}"/>
    <cellStyle name="20% - Accent2 2 8" xfId="1065" xr:uid="{F2A07DD9-32AB-4A76-A13C-E2C76BF71A03}"/>
    <cellStyle name="20% - Accent2 2 8 2" xfId="2933" xr:uid="{20D12AB0-1777-4961-B620-97BA4EB7175E}"/>
    <cellStyle name="20% - Accent2 2 9" xfId="2032" xr:uid="{4D27C847-04B6-4146-AB92-3CCB4750A9FC}"/>
    <cellStyle name="20% - Accent2 3" xfId="60" xr:uid="{CD14A6B6-96BE-4324-96F4-3641AB202918}"/>
    <cellStyle name="20% - Accent2 3 2" xfId="61" xr:uid="{DB94304E-CEDC-46DA-90A4-B681494EE407}"/>
    <cellStyle name="20% - Accent2 3 2 2" xfId="62" xr:uid="{C8A1F8E6-D40A-47F2-9D18-B35320B30E15}"/>
    <cellStyle name="20% - Accent2 3 2 2 2" xfId="574" xr:uid="{DE1E6DCD-4AD7-456E-A23E-FBF2F18040E2}"/>
    <cellStyle name="20% - Accent2 3 2 2 2 2" xfId="1905" xr:uid="{8FB56FC9-1B18-4648-83AC-BCACB814C784}"/>
    <cellStyle name="20% - Accent2 3 2 2 2 2 2" xfId="3696" xr:uid="{506966B5-7BDB-4BF7-9017-163A9B5109F2}"/>
    <cellStyle name="20% - Accent2 3 2 2 2 3" xfId="2471" xr:uid="{63D00822-CBA6-4E6C-84B5-AF2C9EB4D910}"/>
    <cellStyle name="20% - Accent2 3 2 2 3" xfId="1472" xr:uid="{59B38639-12C5-4FCE-907F-F4EE79C835F5}"/>
    <cellStyle name="20% - Accent2 3 2 2 3 2" xfId="3266" xr:uid="{7C3FFA18-E798-4F4D-8883-0E40CB9B29F9}"/>
    <cellStyle name="20% - Accent2 3 2 2 4" xfId="2045" xr:uid="{0E6C0D0E-F585-403E-82CA-155BE73BCC93}"/>
    <cellStyle name="20% - Accent2 3 2 3" xfId="573" xr:uid="{8120DC93-C925-4DB6-BCBA-1964AF20B790}"/>
    <cellStyle name="20% - Accent2 3 2 3 2" xfId="1674" xr:uid="{49140C58-B637-46D1-88FF-9DA745C2030D}"/>
    <cellStyle name="20% - Accent2 3 2 3 2 2" xfId="3465" xr:uid="{CACDC2E5-8592-4D8C-81A7-7E470C7F36D0}"/>
    <cellStyle name="20% - Accent2 3 2 3 3" xfId="2470" xr:uid="{ED8A602A-DB56-4000-A4A3-2B32A787524E}"/>
    <cellStyle name="20% - Accent2 3 2 4" xfId="1230" xr:uid="{402B81D2-5C73-471F-83B6-48D6DD1E1A7C}"/>
    <cellStyle name="20% - Accent2 3 2 4 2" xfId="3045" xr:uid="{A38701CB-6331-4055-9582-73168DD5F39B}"/>
    <cellStyle name="20% - Accent2 3 2 5" xfId="2044" xr:uid="{353B2529-9F34-4FF0-A3B0-C2DAD1498B0D}"/>
    <cellStyle name="20% - Accent2 3 3" xfId="63" xr:uid="{8F7A6647-84D9-431A-93A3-BAEDF14E5776}"/>
    <cellStyle name="20% - Accent2 3 3 2" xfId="575" xr:uid="{0CEDF170-3E2D-41F8-A632-94EE37675AA5}"/>
    <cellStyle name="20% - Accent2 3 3 2 2" xfId="1835" xr:uid="{B7F4086A-2247-4F6F-B15B-A0FB5CDE2209}"/>
    <cellStyle name="20% - Accent2 3 3 2 2 2" xfId="3626" xr:uid="{3A86B6B4-838E-480B-8B32-659DA4311384}"/>
    <cellStyle name="20% - Accent2 3 3 2 3" xfId="2472" xr:uid="{7C114802-DD8A-4D59-BFA2-3F7DDCB31F89}"/>
    <cellStyle name="20% - Accent2 3 3 3" xfId="1402" xr:uid="{16CF93FF-34C4-41D7-8149-135494881B92}"/>
    <cellStyle name="20% - Accent2 3 3 3 2" xfId="3196" xr:uid="{9ACE254E-BB3F-4D81-801E-42390CF5C013}"/>
    <cellStyle name="20% - Accent2 3 3 4" xfId="2046" xr:uid="{3C9117BA-CB94-4320-9E95-C8AAFAFF8C06}"/>
    <cellStyle name="20% - Accent2 3 4" xfId="572" xr:uid="{13979BBF-DB6F-4C4C-948E-F850FBC30AEB}"/>
    <cellStyle name="20% - Accent2 3 4 2" xfId="1604" xr:uid="{77531608-3355-489B-B419-4039D80B405D}"/>
    <cellStyle name="20% - Accent2 3 4 2 2" xfId="3395" xr:uid="{31189F5B-DE40-47C2-BB82-9A45A765A1D0}"/>
    <cellStyle name="20% - Accent2 3 4 3" xfId="2469" xr:uid="{6D382C9A-CA1E-4288-A109-29FDFAF57299}"/>
    <cellStyle name="20% - Accent2 3 5" xfId="1129" xr:uid="{F05482DB-085D-4526-B8AD-31397C086AB9}"/>
    <cellStyle name="20% - Accent2 3 5 2" xfId="2952" xr:uid="{912DF01A-2B8C-4DE8-BFDF-DB331E8DD4BC}"/>
    <cellStyle name="20% - Accent2 3 6" xfId="2043" xr:uid="{EE74B5A2-65B3-4630-833D-0A53A1D18CC3}"/>
    <cellStyle name="20% - Accent2 4" xfId="64" xr:uid="{08FA4A09-A388-43DC-B331-61C4F6275850}"/>
    <cellStyle name="20% - Accent2 4 2" xfId="65" xr:uid="{8F051CEA-931E-430E-9A2B-CD4FFD4B10FB}"/>
    <cellStyle name="20% - Accent2 4 2 2" xfId="577" xr:uid="{B2EBD303-AB44-4B73-B984-78F731F47B17}"/>
    <cellStyle name="20% - Accent2 4 2 2 2" xfId="1940" xr:uid="{F7EA0C71-903C-4A2B-966F-D68CBB28066C}"/>
    <cellStyle name="20% - Accent2 4 2 2 2 2" xfId="3731" xr:uid="{F91243F5-8671-464A-A9C5-C11B85381C47}"/>
    <cellStyle name="20% - Accent2 4 2 2 3" xfId="2474" xr:uid="{D6033203-B3CA-4D36-9A71-5260C75DCE39}"/>
    <cellStyle name="20% - Accent2 4 2 3" xfId="1507" xr:uid="{98B126B3-4DE4-4ED3-A5D3-AE0A3F30DF3E}"/>
    <cellStyle name="20% - Accent2 4 2 3 2" xfId="3301" xr:uid="{DC6785F8-0CD8-4467-8002-80154D06F8A4}"/>
    <cellStyle name="20% - Accent2 4 2 4" xfId="2048" xr:uid="{B9F440F7-FAE4-4E81-9157-36F623C57A1E}"/>
    <cellStyle name="20% - Accent2 4 3" xfId="576" xr:uid="{13E64E6A-F5AC-415C-AB23-E19B45DF6702}"/>
    <cellStyle name="20% - Accent2 4 3 2" xfId="1709" xr:uid="{4BD57D27-D654-4BC4-A256-19945AA86567}"/>
    <cellStyle name="20% - Accent2 4 3 2 2" xfId="3500" xr:uid="{07C21C1E-0970-4E77-99D1-8DBBFBC75AD6}"/>
    <cellStyle name="20% - Accent2 4 3 3" xfId="2473" xr:uid="{1C3E6EA3-7C03-47B8-88A5-5B4174CFD99E}"/>
    <cellStyle name="20% - Accent2 4 4" xfId="1265" xr:uid="{148D0039-0C4E-4E41-8FC0-906736CB56A7}"/>
    <cellStyle name="20% - Accent2 4 4 2" xfId="3080" xr:uid="{43A161B9-5BDB-4487-B1B4-27CC38666CC9}"/>
    <cellStyle name="20% - Accent2 4 5" xfId="2047" xr:uid="{5EABABEE-03CB-4836-B1F0-BF0D1FB486EE}"/>
    <cellStyle name="20% - Accent2 5" xfId="66" xr:uid="{9E8E9FEB-E1F4-4F58-A838-4EAA4E008DF1}"/>
    <cellStyle name="20% - Accent2 5 2" xfId="67" xr:uid="{C4ADCD64-AE97-4974-93E4-75E07F25B519}"/>
    <cellStyle name="20% - Accent2 5 2 2" xfId="579" xr:uid="{28131D2D-15F4-4AE1-8262-BF999AB4CD3A}"/>
    <cellStyle name="20% - Accent2 5 2 2 2" xfId="1870" xr:uid="{2ADC7F45-091E-4FB5-AA89-869B2C0FF109}"/>
    <cellStyle name="20% - Accent2 5 2 2 2 2" xfId="3661" xr:uid="{3A939D09-CC92-4AEC-B359-E5315425BF82}"/>
    <cellStyle name="20% - Accent2 5 2 2 3" xfId="2476" xr:uid="{C6145973-A69E-472C-8339-BADC1E765439}"/>
    <cellStyle name="20% - Accent2 5 2 3" xfId="1437" xr:uid="{93EF78BF-CA78-4AAD-9DA6-6A34034DB5CC}"/>
    <cellStyle name="20% - Accent2 5 2 3 2" xfId="3231" xr:uid="{47FEC759-B0B5-44A8-8292-33864C65649F}"/>
    <cellStyle name="20% - Accent2 5 2 4" xfId="2050" xr:uid="{791C45B0-EB1D-4B9B-925D-DD112D1D6BAF}"/>
    <cellStyle name="20% - Accent2 5 3" xfId="578" xr:uid="{D4B1640B-932F-42CB-B11A-9C2333A8C4AD}"/>
    <cellStyle name="20% - Accent2 5 3 2" xfId="1639" xr:uid="{8142CA29-AAA2-4765-94D9-55DA09F2F3F3}"/>
    <cellStyle name="20% - Accent2 5 3 2 2" xfId="3430" xr:uid="{639CD988-B069-40B3-86DC-C35186F76830}"/>
    <cellStyle name="20% - Accent2 5 3 3" xfId="2475" xr:uid="{FE5DE7B2-E71C-4F0A-98FB-97852BCACAF2}"/>
    <cellStyle name="20% - Accent2 5 4" xfId="1195" xr:uid="{6D0D6F3A-66FB-4570-9D50-2543C42BF8D0}"/>
    <cellStyle name="20% - Accent2 5 4 2" xfId="3010" xr:uid="{2AC75C94-D7EE-4765-A4BA-6ABBE6AB4EFF}"/>
    <cellStyle name="20% - Accent2 5 5" xfId="2049" xr:uid="{3D1BC893-A892-427F-934C-93CB39BD526E}"/>
    <cellStyle name="20% - Accent2 6" xfId="68" xr:uid="{B5BDA952-F854-4FF2-AE15-BC291F72656A}"/>
    <cellStyle name="20% - Accent2 6 2" xfId="580" xr:uid="{64C72484-42A2-4EDF-B097-07EA28037A51}"/>
    <cellStyle name="20% - Accent2 6 2 2" xfId="1760" xr:uid="{41DD390C-4989-4AF3-9E02-5AF8C9052EF6}"/>
    <cellStyle name="20% - Accent2 6 2 2 2" xfId="3551" xr:uid="{5E4469B2-4166-4D23-96AA-74403CD3EB0D}"/>
    <cellStyle name="20% - Accent2 6 2 3" xfId="2477" xr:uid="{65D09792-C3DA-4425-9C10-40069ABD427C}"/>
    <cellStyle name="20% - Accent2 6 3" xfId="1341" xr:uid="{DE7DFD92-9CD3-4234-A93A-A5084D2F8AE5}"/>
    <cellStyle name="20% - Accent2 6 3 2" xfId="3136" xr:uid="{CFE5227E-37E8-477C-90E9-A2193A9078C2}"/>
    <cellStyle name="20% - Accent2 6 4" xfId="2051" xr:uid="{A90F092E-171D-448A-8294-C6126581ABC0}"/>
    <cellStyle name="20% - Accent2 7" xfId="69" xr:uid="{F6C45591-DDD5-4B96-B94D-2CB2E47A5D23}"/>
    <cellStyle name="20% - Accent2 7 2" xfId="581" xr:uid="{16328681-D559-41D5-966F-9DA39DB93D5F}"/>
    <cellStyle name="20% - Accent2 7 2 2" xfId="1797" xr:uid="{BBC62BAE-53D7-493B-B262-A42331A0F06A}"/>
    <cellStyle name="20% - Accent2 7 2 2 2" xfId="3588" xr:uid="{3B7A297F-CC1D-40BD-9E10-CE0C35E99BD2}"/>
    <cellStyle name="20% - Accent2 7 2 3" xfId="2478" xr:uid="{F1DD2176-F72D-43B2-8BF9-CD27AD04E0C1}"/>
    <cellStyle name="20% - Accent2 7 3" xfId="1365" xr:uid="{9E96D5C9-EFDD-412F-B328-E037A36B9F3F}"/>
    <cellStyle name="20% - Accent2 7 3 2" xfId="3159" xr:uid="{88B213B0-E5E5-4DC9-A050-764889C468D8}"/>
    <cellStyle name="20% - Accent2 7 4" xfId="2052" xr:uid="{CC856A59-B01D-4151-9459-D72199C0E752}"/>
    <cellStyle name="20% - Accent2 8" xfId="1555" xr:uid="{1E2C08E0-23BD-408C-8EB7-1A4519BB96B4}"/>
    <cellStyle name="20% - Accent2 8 2" xfId="3346" xr:uid="{79A908EB-9151-42FA-B028-7032BB4EEBAF}"/>
    <cellStyle name="20% - Accent3 2" xfId="70" xr:uid="{C58BC30F-0950-45D7-9C12-5390915BC177}"/>
    <cellStyle name="20% - Accent3 2 2" xfId="71" xr:uid="{2502E949-F9D0-4677-A5E1-D82678A26529}"/>
    <cellStyle name="20% - Accent3 2 2 2" xfId="72" xr:uid="{C5317B7C-DBAA-4DD3-85C4-4FCBED2C41E2}"/>
    <cellStyle name="20% - Accent3 2 2 2 2" xfId="73" xr:uid="{2AD05789-0FD6-494D-86A4-743EC86F22FE}"/>
    <cellStyle name="20% - Accent3 2 2 2 2 2" xfId="585" xr:uid="{45DF11A1-7BBB-4B66-B75A-C22F50C30A21}"/>
    <cellStyle name="20% - Accent3 2 2 2 2 2 2" xfId="1926" xr:uid="{F22EFA84-B642-4CD4-B660-AB7D52830827}"/>
    <cellStyle name="20% - Accent3 2 2 2 2 2 2 2" xfId="3717" xr:uid="{A07657A1-751A-43D4-88DB-4ECF7BE83D04}"/>
    <cellStyle name="20% - Accent3 2 2 2 2 2 3" xfId="2482" xr:uid="{E2211188-9705-4650-AB4C-35DCD109CC72}"/>
    <cellStyle name="20% - Accent3 2 2 2 2 3" xfId="1493" xr:uid="{E9C91E03-5E7B-471A-BFAE-BFDB339B0210}"/>
    <cellStyle name="20% - Accent3 2 2 2 2 3 2" xfId="3287" xr:uid="{E1552DC8-503B-4707-A372-34EC5DBBDBE7}"/>
    <cellStyle name="20% - Accent3 2 2 2 2 4" xfId="2056" xr:uid="{0A0E811F-C61A-4BC4-923D-BC35E16F2BAB}"/>
    <cellStyle name="20% - Accent3 2 2 2 3" xfId="584" xr:uid="{4E614AB2-117F-4B38-8287-DE155310F93C}"/>
    <cellStyle name="20% - Accent3 2 2 2 3 2" xfId="1695" xr:uid="{B89AA4DC-D1D2-40BA-A64F-472BFCA5B6A1}"/>
    <cellStyle name="20% - Accent3 2 2 2 3 2 2" xfId="3486" xr:uid="{D6295A15-7C3F-4D95-B4C0-DBB6E37D97FC}"/>
    <cellStyle name="20% - Accent3 2 2 2 3 3" xfId="2481" xr:uid="{407C05D6-11E9-4D3F-B1B5-78D86943D613}"/>
    <cellStyle name="20% - Accent3 2 2 2 4" xfId="1251" xr:uid="{65B17A3E-7EC7-4C32-A269-8F0BC9CFE4BA}"/>
    <cellStyle name="20% - Accent3 2 2 2 4 2" xfId="3066" xr:uid="{1D63B9CD-BE92-4F09-A6D7-E15A3927497D}"/>
    <cellStyle name="20% - Accent3 2 2 2 5" xfId="2055" xr:uid="{840ECC80-F7F8-430C-AFD3-E241B008670B}"/>
    <cellStyle name="20% - Accent3 2 2 3" xfId="74" xr:uid="{BD1C8728-EBA3-4D29-8B3C-6EBBAB6A2FCC}"/>
    <cellStyle name="20% - Accent3 2 2 3 2" xfId="586" xr:uid="{A26847DB-5FEE-4BA1-8FE5-F40C2ACF503E}"/>
    <cellStyle name="20% - Accent3 2 2 3 2 2" xfId="1856" xr:uid="{9CF6A25D-EF4D-41D4-B927-F14C4146D7F5}"/>
    <cellStyle name="20% - Accent3 2 2 3 2 2 2" xfId="3647" xr:uid="{46C6688C-44E8-4F7F-8092-AC60DAA5333B}"/>
    <cellStyle name="20% - Accent3 2 2 3 2 3" xfId="2483" xr:uid="{1E2EFFF7-378F-404C-A781-65B90B967E53}"/>
    <cellStyle name="20% - Accent3 2 2 3 3" xfId="1423" xr:uid="{D9C50533-C67B-410A-BC9A-776533283BD4}"/>
    <cellStyle name="20% - Accent3 2 2 3 3 2" xfId="3217" xr:uid="{9DA075DB-41BB-41CC-98A9-86421B1B84D2}"/>
    <cellStyle name="20% - Accent3 2 2 3 4" xfId="2057" xr:uid="{D07E1EE0-5716-4103-9D6F-2C912070854F}"/>
    <cellStyle name="20% - Accent3 2 2 4" xfId="583" xr:uid="{7B76EA16-C1EB-45A7-8517-A246B8A75780}"/>
    <cellStyle name="20% - Accent3 2 2 4 2" xfId="1625" xr:uid="{B65527A5-2019-44DA-92C9-1E15F1933309}"/>
    <cellStyle name="20% - Accent3 2 2 4 2 2" xfId="3416" xr:uid="{5790432F-4845-4423-A285-35D57B66E246}"/>
    <cellStyle name="20% - Accent3 2 2 4 3" xfId="2480" xr:uid="{2B5F4D99-138A-469D-AAF2-4A42814CF3D1}"/>
    <cellStyle name="20% - Accent3 2 2 5" xfId="1181" xr:uid="{27623FCD-1221-45D2-836E-7C386BA28838}"/>
    <cellStyle name="20% - Accent3 2 2 5 2" xfId="2996" xr:uid="{F4BE1421-09E4-4AC9-A44A-8657D03B32A8}"/>
    <cellStyle name="20% - Accent3 2 2 6" xfId="2054" xr:uid="{CD48BC69-29AC-4736-A518-E7854275ECDD}"/>
    <cellStyle name="20% - Accent3 2 3" xfId="75" xr:uid="{0EA57358-4C96-454B-822C-51D94F871DCC}"/>
    <cellStyle name="20% - Accent3 2 3 2" xfId="76" xr:uid="{005FE173-7E51-41A1-8A3A-E2844E867162}"/>
    <cellStyle name="20% - Accent3 2 3 2 2" xfId="588" xr:uid="{ADCC240B-F4D8-4514-B2C8-71D44DC6B70C}"/>
    <cellStyle name="20% - Accent3 2 3 2 2 2" xfId="1961" xr:uid="{961AC33D-2653-491A-8A1D-FE1AAC5A720D}"/>
    <cellStyle name="20% - Accent3 2 3 2 2 2 2" xfId="3752" xr:uid="{3AD6A63A-6FEC-4B39-9A57-B358962B2740}"/>
    <cellStyle name="20% - Accent3 2 3 2 2 3" xfId="2485" xr:uid="{7146E6A5-6B59-4D8B-A8E3-7C5B718B5B00}"/>
    <cellStyle name="20% - Accent3 2 3 2 3" xfId="1528" xr:uid="{3239BDC3-44BB-4736-AF6B-FD0C1521C2D6}"/>
    <cellStyle name="20% - Accent3 2 3 2 3 2" xfId="3322" xr:uid="{4C099E16-8ED1-407A-A9E1-21A1DB87D022}"/>
    <cellStyle name="20% - Accent3 2 3 2 4" xfId="2059" xr:uid="{5A6D972F-177B-41D2-A857-8F1E7C7AB306}"/>
    <cellStyle name="20% - Accent3 2 3 3" xfId="587" xr:uid="{1558D8D8-2FD4-42CE-BA63-72ADA3419380}"/>
    <cellStyle name="20% - Accent3 2 3 3 2" xfId="1730" xr:uid="{36FCB3A0-4325-47A0-AC4D-D3FBB79EFF93}"/>
    <cellStyle name="20% - Accent3 2 3 3 2 2" xfId="3521" xr:uid="{44684497-F0AC-43FC-AF40-1D18AB42A6D4}"/>
    <cellStyle name="20% - Accent3 2 3 3 3" xfId="2484" xr:uid="{B7A6BF0E-6009-4104-AF50-0FAD48DC1269}"/>
    <cellStyle name="20% - Accent3 2 3 4" xfId="1286" xr:uid="{C8602C36-62F1-4D86-BC2A-07016AF4FE7F}"/>
    <cellStyle name="20% - Accent3 2 3 4 2" xfId="3101" xr:uid="{A0C7E590-F7DC-4110-996F-117F68A31B4B}"/>
    <cellStyle name="20% - Accent3 2 3 5" xfId="2058" xr:uid="{40216271-897C-4283-ACDD-30239C01C8F7}"/>
    <cellStyle name="20% - Accent3 2 4" xfId="77" xr:uid="{4E7CFB32-0612-418C-9598-92691F6159B1}"/>
    <cellStyle name="20% - Accent3 2 4 2" xfId="78" xr:uid="{D57CEDDD-2AB4-47B5-959F-0165D273235B}"/>
    <cellStyle name="20% - Accent3 2 4 2 2" xfId="590" xr:uid="{36752667-3478-48BE-B0D5-005A61AB4E23}"/>
    <cellStyle name="20% - Accent3 2 4 2 2 2" xfId="1891" xr:uid="{F7B87CB1-31A5-42C5-8333-9557F1220FE7}"/>
    <cellStyle name="20% - Accent3 2 4 2 2 2 2" xfId="3682" xr:uid="{5BC4CE8A-1769-4B45-A6B6-5C05051D59CC}"/>
    <cellStyle name="20% - Accent3 2 4 2 2 3" xfId="2487" xr:uid="{4A0ECCE3-A719-48B0-B490-D7A272204BD8}"/>
    <cellStyle name="20% - Accent3 2 4 2 3" xfId="1458" xr:uid="{B910204F-3C78-431E-BBC4-62B733C88637}"/>
    <cellStyle name="20% - Accent3 2 4 2 3 2" xfId="3252" xr:uid="{BF6D7962-ED31-4941-A67B-06D00DC3BDCC}"/>
    <cellStyle name="20% - Accent3 2 4 2 4" xfId="2061" xr:uid="{0E4E2797-9EAC-4138-953F-F45ACC95F9C1}"/>
    <cellStyle name="20% - Accent3 2 4 3" xfId="589" xr:uid="{6F0D1A1D-985E-4A4E-A8AC-F6C4979F4359}"/>
    <cellStyle name="20% - Accent3 2 4 3 2" xfId="1660" xr:uid="{0590D3F9-00DD-467B-BB9A-02725C998FF2}"/>
    <cellStyle name="20% - Accent3 2 4 3 2 2" xfId="3451" xr:uid="{75D51D88-274D-4E73-A66A-6FEAC5D87293}"/>
    <cellStyle name="20% - Accent3 2 4 3 3" xfId="2486" xr:uid="{8EE6292F-04AD-4033-8906-92E3D278E1BE}"/>
    <cellStyle name="20% - Accent3 2 4 4" xfId="1216" xr:uid="{A57FE82D-CACB-44F7-AA10-3BEA57D0A86D}"/>
    <cellStyle name="20% - Accent3 2 4 4 2" xfId="3031" xr:uid="{DF99B701-0276-4DBF-AA11-719CFA5AEEA4}"/>
    <cellStyle name="20% - Accent3 2 4 5" xfId="2060" xr:uid="{4B0CF8EB-6833-40E4-91E3-83FAD4D6C503}"/>
    <cellStyle name="20% - Accent3 2 5" xfId="79" xr:uid="{1D0A9175-2512-465C-97A7-B5AE6DE7ED0D}"/>
    <cellStyle name="20% - Accent3 2 5 2" xfId="591" xr:uid="{DBAA6420-A533-4B3D-8028-8C52D1E24C15}"/>
    <cellStyle name="20% - Accent3 2 5 2 2" xfId="1780" xr:uid="{E1C49D1A-0083-4F2B-867B-7C32DE55A9B2}"/>
    <cellStyle name="20% - Accent3 2 5 2 2 2" xfId="3571" xr:uid="{96C0362D-9893-438F-AA6A-869BAFB38203}"/>
    <cellStyle name="20% - Accent3 2 5 2 3" xfId="2488" xr:uid="{D0DC3851-AB4C-48E8-8463-A9208790227C}"/>
    <cellStyle name="20% - Accent3 2 5 3" xfId="1158" xr:uid="{81A4B492-C6E1-41FF-8F92-64EDDACFB64E}"/>
    <cellStyle name="20% - Accent3 2 5 3 2" xfId="2974" xr:uid="{40070E9C-164D-4C2F-8A0A-509493F74A81}"/>
    <cellStyle name="20% - Accent3 2 5 4" xfId="2062" xr:uid="{9C93E288-EB55-4496-BE3A-ED2E34C67921}"/>
    <cellStyle name="20% - Accent3 2 6" xfId="80" xr:uid="{31AF0CEA-8F08-4077-8829-6BED1846F858}"/>
    <cellStyle name="20% - Accent3 2 6 2" xfId="592" xr:uid="{8D7E04BA-6A02-486F-A820-4780770E7ADD}"/>
    <cellStyle name="20% - Accent3 2 6 2 2" xfId="1821" xr:uid="{67E6636B-8AAB-43D7-B93C-D4855B90D1C6}"/>
    <cellStyle name="20% - Accent3 2 6 2 2 2" xfId="3612" xr:uid="{4DCD0B57-A870-4004-B18A-E8B63108087F}"/>
    <cellStyle name="20% - Accent3 2 6 2 3" xfId="2489" xr:uid="{EA7A2E74-F7C3-4C72-AD55-937717F1621E}"/>
    <cellStyle name="20% - Accent3 2 6 3" xfId="1389" xr:uid="{1851D5B5-2BE9-4651-831E-0489FEFA1FB2}"/>
    <cellStyle name="20% - Accent3 2 6 3 2" xfId="3183" xr:uid="{3BDE9EAE-88C5-432C-A5CA-3C48A1DFFB56}"/>
    <cellStyle name="20% - Accent3 2 6 4" xfId="2063" xr:uid="{4983DCD1-9C1B-4CFE-9900-883C9763F61E}"/>
    <cellStyle name="20% - Accent3 2 7" xfId="582" xr:uid="{5CE7499F-2993-4DF8-B79D-67F8733843CB}"/>
    <cellStyle name="20% - Accent3 2 7 2" xfId="1590" xr:uid="{4F085CC0-0D66-4E5D-868C-8D8CEA407300}"/>
    <cellStyle name="20% - Accent3 2 7 2 2" xfId="3381" xr:uid="{237BC577-F1C1-4D14-8E0E-B424BC26DE49}"/>
    <cellStyle name="20% - Accent3 2 7 3" xfId="2479" xr:uid="{A5CF99FC-747C-42AB-9798-8D1D501D4A01}"/>
    <cellStyle name="20% - Accent3 2 8" xfId="1071" xr:uid="{37A4A3A4-1C0D-490B-A6E0-56548F6995B9}"/>
    <cellStyle name="20% - Accent3 2 8 2" xfId="2938" xr:uid="{668DB716-C616-41B2-855A-9364332EBE00}"/>
    <cellStyle name="20% - Accent3 2 9" xfId="2053" xr:uid="{DD5BC725-A4E4-48E2-B937-C08ED4F09192}"/>
    <cellStyle name="20% - Accent3 3" xfId="81" xr:uid="{2AEEEE22-2D33-4D41-BCF0-6FBBAA996B97}"/>
    <cellStyle name="20% - Accent3 3 2" xfId="82" xr:uid="{160B1A65-D9E1-4588-8A19-5D5220F1B5E2}"/>
    <cellStyle name="20% - Accent3 3 2 2" xfId="83" xr:uid="{265B64F4-62B0-475E-ABD3-25B81B901FEC}"/>
    <cellStyle name="20% - Accent3 3 2 2 2" xfId="595" xr:uid="{CB25A000-F0CF-43F7-88E2-6E4301C43114}"/>
    <cellStyle name="20% - Accent3 3 2 2 2 2" xfId="1907" xr:uid="{60770191-8BE8-4465-8B42-4DAD907B5F18}"/>
    <cellStyle name="20% - Accent3 3 2 2 2 2 2" xfId="3698" xr:uid="{365CDF89-D6A2-442C-B29C-47D8392A4071}"/>
    <cellStyle name="20% - Accent3 3 2 2 2 3" xfId="2492" xr:uid="{04DDC6C2-0278-43CC-9872-6B8FDFBCFB62}"/>
    <cellStyle name="20% - Accent3 3 2 2 3" xfId="1474" xr:uid="{1B8B7A5C-8E5D-406A-AC65-7FA24AADE7EE}"/>
    <cellStyle name="20% - Accent3 3 2 2 3 2" xfId="3268" xr:uid="{EA37C9A4-46C1-41CE-8D40-1F9AC6A28DC0}"/>
    <cellStyle name="20% - Accent3 3 2 2 4" xfId="2066" xr:uid="{E48D3F71-B674-478D-9F8F-3589BCCDD3D8}"/>
    <cellStyle name="20% - Accent3 3 2 3" xfId="594" xr:uid="{4C1C986B-3D8C-45BC-9CEB-37DC6AC686E0}"/>
    <cellStyle name="20% - Accent3 3 2 3 2" xfId="1676" xr:uid="{3AB885CD-4618-4257-920D-8F7EAAF90286}"/>
    <cellStyle name="20% - Accent3 3 2 3 2 2" xfId="3467" xr:uid="{695ADDED-BB28-4602-A932-474DE8BAB8CE}"/>
    <cellStyle name="20% - Accent3 3 2 3 3" xfId="2491" xr:uid="{3591D4DF-389F-4310-843F-72726103E022}"/>
    <cellStyle name="20% - Accent3 3 2 4" xfId="1232" xr:uid="{67A99CF3-6FD3-4E01-B92C-DBF1C11E2811}"/>
    <cellStyle name="20% - Accent3 3 2 4 2" xfId="3047" xr:uid="{A20B0B31-E884-4E26-AEF4-4C1E0C697798}"/>
    <cellStyle name="20% - Accent3 3 2 5" xfId="2065" xr:uid="{553BD09A-AE24-4F25-92AE-E1F3B6F9518A}"/>
    <cellStyle name="20% - Accent3 3 3" xfId="84" xr:uid="{4237CE7C-2F44-43B8-9EA0-523C73C535BC}"/>
    <cellStyle name="20% - Accent3 3 3 2" xfId="596" xr:uid="{033CCA8B-B301-42FA-9BBB-DF14E94121F0}"/>
    <cellStyle name="20% - Accent3 3 3 2 2" xfId="1837" xr:uid="{F80EC6B8-1147-40A7-A8C5-B40A2EBAD586}"/>
    <cellStyle name="20% - Accent3 3 3 2 2 2" xfId="3628" xr:uid="{D9664A80-C4AE-47EE-83BE-5744185CB056}"/>
    <cellStyle name="20% - Accent3 3 3 2 3" xfId="2493" xr:uid="{600E4997-7ADF-4AE8-B66F-9601EA654FDA}"/>
    <cellStyle name="20% - Accent3 3 3 3" xfId="1404" xr:uid="{8A7518B5-9451-467C-BE4F-4F94E281B252}"/>
    <cellStyle name="20% - Accent3 3 3 3 2" xfId="3198" xr:uid="{169A318F-4DA4-489C-980F-17D87DB8C0C4}"/>
    <cellStyle name="20% - Accent3 3 3 4" xfId="2067" xr:uid="{D526AA33-56C2-4698-8FD4-661E0312764A}"/>
    <cellStyle name="20% - Accent3 3 4" xfId="593" xr:uid="{E3B5F915-081D-4846-BB85-3A4B381C775C}"/>
    <cellStyle name="20% - Accent3 3 4 2" xfId="1606" xr:uid="{78E7C9B1-63FB-4F6F-BD13-4C0DB13F4D75}"/>
    <cellStyle name="20% - Accent3 3 4 2 2" xfId="3397" xr:uid="{66BBEDA1-CDD7-479F-80DB-829C2C5965AC}"/>
    <cellStyle name="20% - Accent3 3 4 3" xfId="2490" xr:uid="{5E6FF8B1-07C0-416D-BFDF-5A3EFF451517}"/>
    <cellStyle name="20% - Accent3 3 5" xfId="1131" xr:uid="{37CD62D0-A1D5-4C23-9598-04C67A46FC70}"/>
    <cellStyle name="20% - Accent3 3 5 2" xfId="2954" xr:uid="{E0AA61A2-AC58-4E3A-9DDB-0FBE89D0A50F}"/>
    <cellStyle name="20% - Accent3 3 6" xfId="2064" xr:uid="{02C3A34B-90A2-4AF0-88CB-5808E6C8DA1E}"/>
    <cellStyle name="20% - Accent3 4" xfId="85" xr:uid="{EAA16C7D-B86C-46D5-B5E0-BB6818CEAA4B}"/>
    <cellStyle name="20% - Accent3 4 2" xfId="86" xr:uid="{0813D652-7E9E-4373-AA8B-ACC8616CE477}"/>
    <cellStyle name="20% - Accent3 4 2 2" xfId="598" xr:uid="{EAD33A47-5899-42FB-ADC7-AE40538835C2}"/>
    <cellStyle name="20% - Accent3 4 2 2 2" xfId="1942" xr:uid="{1ABD9786-BE78-4971-A82E-0826E64E47B0}"/>
    <cellStyle name="20% - Accent3 4 2 2 2 2" xfId="3733" xr:uid="{875C69DD-E5A1-4C41-896C-AF8E6CB6D1B0}"/>
    <cellStyle name="20% - Accent3 4 2 2 3" xfId="2495" xr:uid="{13D930E5-E514-4A4B-A535-526058BBD362}"/>
    <cellStyle name="20% - Accent3 4 2 3" xfId="1509" xr:uid="{5B6CEA27-A027-4C17-8B75-94CB1FA3081A}"/>
    <cellStyle name="20% - Accent3 4 2 3 2" xfId="3303" xr:uid="{2DC9A76C-9F5C-4AF8-B86A-E16E14DC05D7}"/>
    <cellStyle name="20% - Accent3 4 2 4" xfId="2069" xr:uid="{6FCC974F-4E07-4F24-A4B2-69058E403EE7}"/>
    <cellStyle name="20% - Accent3 4 3" xfId="597" xr:uid="{778AA216-C5F6-46B5-A0CE-83B32A0A7510}"/>
    <cellStyle name="20% - Accent3 4 3 2" xfId="1711" xr:uid="{968D00C8-2514-4F13-8148-D3B12AC393E9}"/>
    <cellStyle name="20% - Accent3 4 3 2 2" xfId="3502" xr:uid="{31E7E746-B91C-4B25-8FE6-A1DCEFA28C88}"/>
    <cellStyle name="20% - Accent3 4 3 3" xfId="2494" xr:uid="{2C602BE4-4210-45DD-BBFE-7BF88AF0BD62}"/>
    <cellStyle name="20% - Accent3 4 4" xfId="1267" xr:uid="{21E26FEA-C7F3-4331-9888-C58EE9099962}"/>
    <cellStyle name="20% - Accent3 4 4 2" xfId="3082" xr:uid="{3173C141-19FE-4F6D-981A-2BAC3EE287B3}"/>
    <cellStyle name="20% - Accent3 4 5" xfId="2068" xr:uid="{2F57A02A-475A-4416-BF86-511DD26DC4D6}"/>
    <cellStyle name="20% - Accent3 5" xfId="87" xr:uid="{1E982330-1B77-4246-909B-9EECFB71493C}"/>
    <cellStyle name="20% - Accent3 5 2" xfId="88" xr:uid="{597C13E5-EE26-4180-81FF-4C01CBB2A11F}"/>
    <cellStyle name="20% - Accent3 5 2 2" xfId="600" xr:uid="{733B3E7D-E8FE-4AA3-B01F-3B9262B25005}"/>
    <cellStyle name="20% - Accent3 5 2 2 2" xfId="1872" xr:uid="{1DD11FAE-9536-4752-BF25-69A761B8D7CA}"/>
    <cellStyle name="20% - Accent3 5 2 2 2 2" xfId="3663" xr:uid="{DCC68B94-4CC7-4EB4-91AF-AC94B8704C45}"/>
    <cellStyle name="20% - Accent3 5 2 2 3" xfId="2497" xr:uid="{5D1A717B-B86A-4B97-8876-02E9AE9C726C}"/>
    <cellStyle name="20% - Accent3 5 2 3" xfId="1439" xr:uid="{68956A3C-9588-43FE-AB79-F906A9DA519F}"/>
    <cellStyle name="20% - Accent3 5 2 3 2" xfId="3233" xr:uid="{D6C886C7-EF5E-464C-8AFF-977D793A2FD0}"/>
    <cellStyle name="20% - Accent3 5 2 4" xfId="2071" xr:uid="{28AFA469-8322-45E3-9246-0175E35EBEE4}"/>
    <cellStyle name="20% - Accent3 5 3" xfId="599" xr:uid="{062A023B-8723-4691-8B9F-D5FAA2398F68}"/>
    <cellStyle name="20% - Accent3 5 3 2" xfId="1641" xr:uid="{83B7AE7E-2660-4149-AB59-347278F7F93B}"/>
    <cellStyle name="20% - Accent3 5 3 2 2" xfId="3432" xr:uid="{07E52DE8-BE0B-4965-AED6-F91C4FEE2D4D}"/>
    <cellStyle name="20% - Accent3 5 3 3" xfId="2496" xr:uid="{8021D35D-7576-496E-ABE5-8C7DD956A2B8}"/>
    <cellStyle name="20% - Accent3 5 4" xfId="1197" xr:uid="{0891F5CA-054E-4857-ADC2-1DE753948835}"/>
    <cellStyle name="20% - Accent3 5 4 2" xfId="3012" xr:uid="{FADC61B7-949B-4062-8D65-726040B92AAB}"/>
    <cellStyle name="20% - Accent3 5 5" xfId="2070" xr:uid="{44CEE38D-ABA5-4C60-80F6-DED61A0BC546}"/>
    <cellStyle name="20% - Accent3 6" xfId="89" xr:uid="{9B0BA23D-FE55-4BD3-B996-2800AF7C796C}"/>
    <cellStyle name="20% - Accent3 6 2" xfId="601" xr:uid="{BFEEA831-4993-450D-AE4D-21F55749B171}"/>
    <cellStyle name="20% - Accent3 6 2 2" xfId="1762" xr:uid="{E92D2A34-A12D-4771-9D34-CAFF4237CC8C}"/>
    <cellStyle name="20% - Accent3 6 2 2 2" xfId="3553" xr:uid="{4AA96A7E-97B8-4F01-954A-6B91B5E72266}"/>
    <cellStyle name="20% - Accent3 6 2 3" xfId="2498" xr:uid="{A33F7E41-018A-488B-8E91-2AADEB82695A}"/>
    <cellStyle name="20% - Accent3 6 3" xfId="1343" xr:uid="{F86F465E-2F3D-42C4-B9B4-7AEC5CA57ECA}"/>
    <cellStyle name="20% - Accent3 6 3 2" xfId="3138" xr:uid="{5BCE5551-C8A5-4BF6-9C99-5AED904B4286}"/>
    <cellStyle name="20% - Accent3 6 4" xfId="2072" xr:uid="{2A0D7D9A-4B48-46F1-9675-30C4B1B282D4}"/>
    <cellStyle name="20% - Accent3 7" xfId="90" xr:uid="{3421FAF6-DD5B-4BB6-BD17-24A259B7EEF7}"/>
    <cellStyle name="20% - Accent3 7 2" xfId="602" xr:uid="{933F705B-8CA2-4712-9FDD-8C9969BAC558}"/>
    <cellStyle name="20% - Accent3 7 2 2" xfId="1799" xr:uid="{42FF3063-4C43-441F-A730-4195DC9BAB59}"/>
    <cellStyle name="20% - Accent3 7 2 2 2" xfId="3590" xr:uid="{7FB6E6F2-2A71-4883-9DA1-8E9CBA5EB6FB}"/>
    <cellStyle name="20% - Accent3 7 2 3" xfId="2499" xr:uid="{631D5B13-D4CD-4DA0-8539-9CD72CD9CDAD}"/>
    <cellStyle name="20% - Accent3 7 3" xfId="1367" xr:uid="{4D5B8FCC-9B4E-4B9A-9E11-37D39481AEC5}"/>
    <cellStyle name="20% - Accent3 7 3 2" xfId="3161" xr:uid="{1E3F6546-63F6-4C1D-94DA-A69B82AB00A0}"/>
    <cellStyle name="20% - Accent3 7 4" xfId="2073" xr:uid="{507890D3-B93A-42C7-AA71-316DBD2D563C}"/>
    <cellStyle name="20% - Accent3 8" xfId="1558" xr:uid="{C11EC6C9-D58F-4743-A1A0-366B7E715B71}"/>
    <cellStyle name="20% - Accent3 8 2" xfId="3349" xr:uid="{C18CC466-FFF0-4217-AB70-4CECC732CD4F}"/>
    <cellStyle name="20% - Accent4 2" xfId="91" xr:uid="{42E373F2-7CF9-4258-AC27-663772D64EB1}"/>
    <cellStyle name="20% - Accent4 2 2" xfId="92" xr:uid="{2DAD7072-5338-454A-9A06-82E1A827AAEF}"/>
    <cellStyle name="20% - Accent4 2 2 2" xfId="93" xr:uid="{DDFD489C-2B2C-4558-BFF6-D2D4983B7074}"/>
    <cellStyle name="20% - Accent4 2 2 2 2" xfId="94" xr:uid="{204C796C-8F24-407A-A8D7-25295288DF3B}"/>
    <cellStyle name="20% - Accent4 2 2 2 2 2" xfId="606" xr:uid="{F781794C-08B3-4893-8095-06879FB844F8}"/>
    <cellStyle name="20% - Accent4 2 2 2 2 2 2" xfId="1928" xr:uid="{1F64F0FA-20EC-4DAC-864E-BA0D8A098EFF}"/>
    <cellStyle name="20% - Accent4 2 2 2 2 2 2 2" xfId="3719" xr:uid="{1FA56B84-5EA2-4D63-A64A-196A2B93B384}"/>
    <cellStyle name="20% - Accent4 2 2 2 2 2 3" xfId="2503" xr:uid="{DD232A2B-2108-401F-A88A-A01FDC60BD71}"/>
    <cellStyle name="20% - Accent4 2 2 2 2 3" xfId="1495" xr:uid="{3DCADD36-8B6C-4893-B0CA-B307908042F5}"/>
    <cellStyle name="20% - Accent4 2 2 2 2 3 2" xfId="3289" xr:uid="{B4AF7D9F-419A-4D9E-8DBC-19E480F5D30F}"/>
    <cellStyle name="20% - Accent4 2 2 2 2 4" xfId="2077" xr:uid="{114C7177-758C-49B4-A5F4-87CB65A5C144}"/>
    <cellStyle name="20% - Accent4 2 2 2 3" xfId="605" xr:uid="{00519D7A-562B-46B5-864D-E6005BE5A7A8}"/>
    <cellStyle name="20% - Accent4 2 2 2 3 2" xfId="1697" xr:uid="{A11B38C1-93F8-489E-9446-EA96138F064C}"/>
    <cellStyle name="20% - Accent4 2 2 2 3 2 2" xfId="3488" xr:uid="{719547D7-32F2-47DF-A383-FA0289E5CC51}"/>
    <cellStyle name="20% - Accent4 2 2 2 3 3" xfId="2502" xr:uid="{9258A2AA-39B5-401E-AA27-96B7E12752FF}"/>
    <cellStyle name="20% - Accent4 2 2 2 4" xfId="1253" xr:uid="{97A85F37-1B32-45E7-80E5-773723AC2BD2}"/>
    <cellStyle name="20% - Accent4 2 2 2 4 2" xfId="3068" xr:uid="{6F03D77A-BE56-4203-9865-80CEC3499FEC}"/>
    <cellStyle name="20% - Accent4 2 2 2 5" xfId="2076" xr:uid="{B826F0C4-F198-4D34-AE6E-57B68B36F7E3}"/>
    <cellStyle name="20% - Accent4 2 2 3" xfId="95" xr:uid="{1E3C6F4A-1B51-4C75-BE04-03FA41699F73}"/>
    <cellStyle name="20% - Accent4 2 2 3 2" xfId="607" xr:uid="{01E9A153-C30C-417E-8032-627EFF13C680}"/>
    <cellStyle name="20% - Accent4 2 2 3 2 2" xfId="1858" xr:uid="{28F9E753-E2E3-4DFE-BD42-58F9BC85E218}"/>
    <cellStyle name="20% - Accent4 2 2 3 2 2 2" xfId="3649" xr:uid="{504F1ED6-80A4-425E-86A4-DA491BCBAAFA}"/>
    <cellStyle name="20% - Accent4 2 2 3 2 3" xfId="2504" xr:uid="{54FE5769-77DC-4F81-8D9F-CBC64E61849D}"/>
    <cellStyle name="20% - Accent4 2 2 3 3" xfId="1425" xr:uid="{7EBEEEEF-7232-4FBE-86FF-A7AD3207150C}"/>
    <cellStyle name="20% - Accent4 2 2 3 3 2" xfId="3219" xr:uid="{12E24A23-4D6B-42BF-9E49-55972B33B4F8}"/>
    <cellStyle name="20% - Accent4 2 2 3 4" xfId="2078" xr:uid="{149E2C5D-5CED-4D35-A913-CF8F4A6AD2EB}"/>
    <cellStyle name="20% - Accent4 2 2 4" xfId="604" xr:uid="{A3087E57-AFDA-4DEB-8322-847B807ACAAC}"/>
    <cellStyle name="20% - Accent4 2 2 4 2" xfId="1627" xr:uid="{B376E46C-73CB-4CE0-AC1F-57D244789C91}"/>
    <cellStyle name="20% - Accent4 2 2 4 2 2" xfId="3418" xr:uid="{0CF59F9A-ED43-4E63-A86D-93A6B86A57B8}"/>
    <cellStyle name="20% - Accent4 2 2 4 3" xfId="2501" xr:uid="{AC5F2B2D-7151-42F1-AF11-CF4AE09CD890}"/>
    <cellStyle name="20% - Accent4 2 2 5" xfId="1183" xr:uid="{459D8F3F-FE69-4D6D-A86F-7D839B399512}"/>
    <cellStyle name="20% - Accent4 2 2 5 2" xfId="2998" xr:uid="{A1319BC2-EF88-4C59-8B14-9739C32FA041}"/>
    <cellStyle name="20% - Accent4 2 2 6" xfId="2075" xr:uid="{E84D6C61-FEEA-4002-9229-4FD9D1198193}"/>
    <cellStyle name="20% - Accent4 2 3" xfId="96" xr:uid="{039E6B36-ACF5-4B43-9F92-BDBE720133FD}"/>
    <cellStyle name="20% - Accent4 2 3 2" xfId="97" xr:uid="{21769042-3168-4814-B9F1-8938DAC6D5A3}"/>
    <cellStyle name="20% - Accent4 2 3 2 2" xfId="609" xr:uid="{094AA45B-3312-421C-AFE7-C99831B1299E}"/>
    <cellStyle name="20% - Accent4 2 3 2 2 2" xfId="1963" xr:uid="{3C131894-C1DD-4EBA-B472-5A3DEE257C6A}"/>
    <cellStyle name="20% - Accent4 2 3 2 2 2 2" xfId="3754" xr:uid="{63A5339E-4AA3-4AD8-84FB-CBCDD8EBC492}"/>
    <cellStyle name="20% - Accent4 2 3 2 2 3" xfId="2506" xr:uid="{54DF7B6A-FA13-4816-B28C-6CC98D776E35}"/>
    <cellStyle name="20% - Accent4 2 3 2 3" xfId="1530" xr:uid="{84EF2B77-E082-474C-AE8E-A5230CE3CE3F}"/>
    <cellStyle name="20% - Accent4 2 3 2 3 2" xfId="3324" xr:uid="{C96F40BD-EB35-43A8-9F28-A06FC67C6575}"/>
    <cellStyle name="20% - Accent4 2 3 2 4" xfId="2080" xr:uid="{42C30AE4-CB68-45B4-88EC-8E12A7F15D14}"/>
    <cellStyle name="20% - Accent4 2 3 3" xfId="608" xr:uid="{459F7AC8-F4FD-40D4-A2BB-14571BA68239}"/>
    <cellStyle name="20% - Accent4 2 3 3 2" xfId="1732" xr:uid="{68686C76-D35E-4954-83F3-3B5FFAE2065B}"/>
    <cellStyle name="20% - Accent4 2 3 3 2 2" xfId="3523" xr:uid="{0962BB6A-F200-4C2C-BF57-8ED78C9694A0}"/>
    <cellStyle name="20% - Accent4 2 3 3 3" xfId="2505" xr:uid="{AFBF399F-56F0-4FE8-8E78-0E66F72E1730}"/>
    <cellStyle name="20% - Accent4 2 3 4" xfId="1288" xr:uid="{E5BAA18F-62DE-4DEB-B0DF-7DA0A2F527FC}"/>
    <cellStyle name="20% - Accent4 2 3 4 2" xfId="3103" xr:uid="{39272770-DB25-4322-9B9A-98F9406FD6CD}"/>
    <cellStyle name="20% - Accent4 2 3 5" xfId="2079" xr:uid="{CE4A13B7-760E-4A73-8AF1-EE0AA826E03A}"/>
    <cellStyle name="20% - Accent4 2 4" xfId="98" xr:uid="{9136ABA0-E5E5-49D5-A95E-519C9FDB8595}"/>
    <cellStyle name="20% - Accent4 2 4 2" xfId="99" xr:uid="{F24BD6DB-1051-443B-A0C5-FC0A2F8470E8}"/>
    <cellStyle name="20% - Accent4 2 4 2 2" xfId="611" xr:uid="{0C1403E9-A7F2-4B14-879E-8BAAF49CF526}"/>
    <cellStyle name="20% - Accent4 2 4 2 2 2" xfId="1893" xr:uid="{F49B2386-A794-42A5-AB36-AB4E5448B842}"/>
    <cellStyle name="20% - Accent4 2 4 2 2 2 2" xfId="3684" xr:uid="{571733F5-CB1D-4706-AECD-F7A35E024D4D}"/>
    <cellStyle name="20% - Accent4 2 4 2 2 3" xfId="2508" xr:uid="{08CC9F2E-8326-4BFA-B289-6C2AE6576B33}"/>
    <cellStyle name="20% - Accent4 2 4 2 3" xfId="1460" xr:uid="{ED8034CD-08D6-43B4-B719-980FFE672A74}"/>
    <cellStyle name="20% - Accent4 2 4 2 3 2" xfId="3254" xr:uid="{18600721-7DB6-4F0E-B971-9859766A73F1}"/>
    <cellStyle name="20% - Accent4 2 4 2 4" xfId="2082" xr:uid="{EAB1F2E1-393D-4F38-96A3-5F1CCF4E67A7}"/>
    <cellStyle name="20% - Accent4 2 4 3" xfId="610" xr:uid="{2DF9D6B4-1969-480A-8F03-BD51ED362A8B}"/>
    <cellStyle name="20% - Accent4 2 4 3 2" xfId="1662" xr:uid="{EB8DB574-28AC-4603-8588-F617EE8BBAF9}"/>
    <cellStyle name="20% - Accent4 2 4 3 2 2" xfId="3453" xr:uid="{13A1CD8C-F279-43F6-B0B8-F3400C41BE35}"/>
    <cellStyle name="20% - Accent4 2 4 3 3" xfId="2507" xr:uid="{78F79C1E-00E6-4059-86F7-2E06AEB6BB21}"/>
    <cellStyle name="20% - Accent4 2 4 4" xfId="1218" xr:uid="{7C647199-42B8-41C4-A9BB-08EB8A6082A5}"/>
    <cellStyle name="20% - Accent4 2 4 4 2" xfId="3033" xr:uid="{4AF34360-41E8-4E2C-A217-460C2A98E55D}"/>
    <cellStyle name="20% - Accent4 2 4 5" xfId="2081" xr:uid="{4BB51E63-E53E-4C43-9DB2-C9C48E754555}"/>
    <cellStyle name="20% - Accent4 2 5" xfId="100" xr:uid="{2F41CE05-F754-46FB-BD4E-54BDEC0A8840}"/>
    <cellStyle name="20% - Accent4 2 5 2" xfId="612" xr:uid="{877BC674-FEB1-42AE-8130-3A803294BC75}"/>
    <cellStyle name="20% - Accent4 2 5 2 2" xfId="1782" xr:uid="{50D60E6C-A6C4-4396-84E0-9CC2171BD1C2}"/>
    <cellStyle name="20% - Accent4 2 5 2 2 2" xfId="3573" xr:uid="{A0DF177A-79BD-4A8B-95E8-AD327C4176DB}"/>
    <cellStyle name="20% - Accent4 2 5 2 3" xfId="2509" xr:uid="{2E5F300A-1785-410C-BAA6-5DA897C8AA92}"/>
    <cellStyle name="20% - Accent4 2 5 3" xfId="1160" xr:uid="{04E18D64-5221-46CB-A9AD-344920A38CAA}"/>
    <cellStyle name="20% - Accent4 2 5 3 2" xfId="2976" xr:uid="{36C90A02-DD00-4252-8A93-399224DB3A40}"/>
    <cellStyle name="20% - Accent4 2 5 4" xfId="2083" xr:uid="{92E0D14B-E1C1-4601-AB1F-E8F6034CCFA4}"/>
    <cellStyle name="20% - Accent4 2 6" xfId="101" xr:uid="{F78A18CD-CF4E-430A-BB52-768FF008D25D}"/>
    <cellStyle name="20% - Accent4 2 6 2" xfId="613" xr:uid="{E0084F39-BA90-41F6-BB15-E9182603E8D7}"/>
    <cellStyle name="20% - Accent4 2 6 2 2" xfId="1823" xr:uid="{C4C8FA03-C30B-4777-BFEC-5F866C422D9F}"/>
    <cellStyle name="20% - Accent4 2 6 2 2 2" xfId="3614" xr:uid="{3C79527E-2D9D-4853-AA41-4D0104B71BC7}"/>
    <cellStyle name="20% - Accent4 2 6 2 3" xfId="2510" xr:uid="{038589D9-D7BA-4248-9CF1-68C4D80FD481}"/>
    <cellStyle name="20% - Accent4 2 6 3" xfId="1391" xr:uid="{A264670C-8186-45A4-9BBA-A135DFC37963}"/>
    <cellStyle name="20% - Accent4 2 6 3 2" xfId="3185" xr:uid="{2799068A-D0F7-4A07-B19C-56AC07B91079}"/>
    <cellStyle name="20% - Accent4 2 6 4" xfId="2084" xr:uid="{FDA9865B-A6D3-4923-8B37-4352491518D7}"/>
    <cellStyle name="20% - Accent4 2 7" xfId="603" xr:uid="{77CBD7CA-C38B-4B2C-B61B-D924F2E1A316}"/>
    <cellStyle name="20% - Accent4 2 7 2" xfId="1592" xr:uid="{79742837-E91A-49C2-807E-3B90D6969D7F}"/>
    <cellStyle name="20% - Accent4 2 7 2 2" xfId="3383" xr:uid="{AAF28282-BB1A-40B1-BC22-FC6B894D9448}"/>
    <cellStyle name="20% - Accent4 2 7 3" xfId="2500" xr:uid="{C99B1E6A-DA17-4498-B19A-89CFF8EB83EE}"/>
    <cellStyle name="20% - Accent4 2 8" xfId="1073" xr:uid="{6EAF5B88-3F3B-449E-A99C-A4827AAF958C}"/>
    <cellStyle name="20% - Accent4 2 8 2" xfId="2939" xr:uid="{21C0FD8A-D327-47C7-AFF6-0CC671543820}"/>
    <cellStyle name="20% - Accent4 2 9" xfId="2074" xr:uid="{A4527898-3285-4F20-A103-7CDEAF038A3D}"/>
    <cellStyle name="20% - Accent4 3" xfId="102" xr:uid="{1C4599EC-F22A-4896-8474-CB82F08811C6}"/>
    <cellStyle name="20% - Accent4 3 2" xfId="103" xr:uid="{FFE396CC-46A5-4124-BFF0-22F958C2D8EF}"/>
    <cellStyle name="20% - Accent4 3 2 2" xfId="104" xr:uid="{F18CC7DE-D43B-4093-A65F-0D98E65C2C05}"/>
    <cellStyle name="20% - Accent4 3 2 2 2" xfId="616" xr:uid="{767D3BF8-FEFC-4E20-B4EF-966EC5A26F7A}"/>
    <cellStyle name="20% - Accent4 3 2 2 2 2" xfId="1909" xr:uid="{7E1733B2-DD91-428C-861E-C798B21DFE58}"/>
    <cellStyle name="20% - Accent4 3 2 2 2 2 2" xfId="3700" xr:uid="{FB421C4B-49A2-4C76-9C07-84539D0F6E64}"/>
    <cellStyle name="20% - Accent4 3 2 2 2 3" xfId="2513" xr:uid="{4AD3D583-7220-4873-86EB-E0659C4C535A}"/>
    <cellStyle name="20% - Accent4 3 2 2 3" xfId="1476" xr:uid="{A952B3C1-C50D-4435-84D0-AED7BE0C1951}"/>
    <cellStyle name="20% - Accent4 3 2 2 3 2" xfId="3270" xr:uid="{B5BDCE1C-7E03-4124-9FF1-648979A29173}"/>
    <cellStyle name="20% - Accent4 3 2 2 4" xfId="2087" xr:uid="{5F56A9C6-4EBE-419E-9232-4DC7D6614996}"/>
    <cellStyle name="20% - Accent4 3 2 3" xfId="615" xr:uid="{9461FEA3-6CEC-4132-A6A9-105CF76E2B43}"/>
    <cellStyle name="20% - Accent4 3 2 3 2" xfId="1678" xr:uid="{9E96E01D-B338-400C-A9C6-9D7EA0B1998A}"/>
    <cellStyle name="20% - Accent4 3 2 3 2 2" xfId="3469" xr:uid="{08EF9492-E362-43E2-8331-B800AD94F763}"/>
    <cellStyle name="20% - Accent4 3 2 3 3" xfId="2512" xr:uid="{518B01D2-513C-420B-94DE-44F6CD21E68B}"/>
    <cellStyle name="20% - Accent4 3 2 4" xfId="1234" xr:uid="{83B18D4F-67B7-4508-A078-5859EC3071C7}"/>
    <cellStyle name="20% - Accent4 3 2 4 2" xfId="3049" xr:uid="{ED185521-6E4A-4CD6-998E-705CE8D841C3}"/>
    <cellStyle name="20% - Accent4 3 2 5" xfId="2086" xr:uid="{F2AD3351-025F-48DF-AEB1-B1E00205011E}"/>
    <cellStyle name="20% - Accent4 3 3" xfId="105" xr:uid="{EB813CBE-E1A4-41AC-BD12-E80C4DA4BED1}"/>
    <cellStyle name="20% - Accent4 3 3 2" xfId="617" xr:uid="{B6D1F65A-33CB-4FB7-9FF5-3186582D534D}"/>
    <cellStyle name="20% - Accent4 3 3 2 2" xfId="1839" xr:uid="{11FD5643-A61D-4169-AC09-BB96141A3914}"/>
    <cellStyle name="20% - Accent4 3 3 2 2 2" xfId="3630" xr:uid="{96B51D05-785B-4AF9-9407-11FDD5B95312}"/>
    <cellStyle name="20% - Accent4 3 3 2 3" xfId="2514" xr:uid="{8BAF233E-C433-4C5E-A59C-2630D6AE3542}"/>
    <cellStyle name="20% - Accent4 3 3 3" xfId="1406" xr:uid="{BA561AB9-440B-4E0B-A7D6-1C6DB13778A3}"/>
    <cellStyle name="20% - Accent4 3 3 3 2" xfId="3200" xr:uid="{F882A066-9C2F-4C0E-9585-8FF25F19A765}"/>
    <cellStyle name="20% - Accent4 3 3 4" xfId="2088" xr:uid="{72CED73D-34FB-4B0D-9723-8F66BFFD04D0}"/>
    <cellStyle name="20% - Accent4 3 4" xfId="614" xr:uid="{527D1C2A-40DA-46D5-8167-01D10F1D4B0B}"/>
    <cellStyle name="20% - Accent4 3 4 2" xfId="1608" xr:uid="{28966EC3-0CF2-469B-AF29-0D84C2220D8E}"/>
    <cellStyle name="20% - Accent4 3 4 2 2" xfId="3399" xr:uid="{F7797188-8FCE-491B-8373-3EF2ACE4BBC0}"/>
    <cellStyle name="20% - Accent4 3 4 3" xfId="2511" xr:uid="{C609D5E0-3E8C-4CFA-B309-DA2E73A8F3A6}"/>
    <cellStyle name="20% - Accent4 3 5" xfId="1133" xr:uid="{3995E2AE-7AD6-4E64-B754-3995EE16B4D5}"/>
    <cellStyle name="20% - Accent4 3 5 2" xfId="2956" xr:uid="{DD0F7F38-ECA3-4F8B-8C16-973498E0D46F}"/>
    <cellStyle name="20% - Accent4 3 6" xfId="2085" xr:uid="{DEDA95C2-CE53-454A-BDFE-1834244FFBF3}"/>
    <cellStyle name="20% - Accent4 4" xfId="106" xr:uid="{2123E7B2-7326-4402-BE1B-19744B2EC022}"/>
    <cellStyle name="20% - Accent4 4 2" xfId="107" xr:uid="{D743FEEA-43C0-444C-BCBD-11296B5E4A76}"/>
    <cellStyle name="20% - Accent4 4 2 2" xfId="619" xr:uid="{8F4F0570-6E6B-4F20-9F75-13BA021BD37A}"/>
    <cellStyle name="20% - Accent4 4 2 2 2" xfId="1944" xr:uid="{353C5B6D-A728-48C1-8004-93268B61C9B0}"/>
    <cellStyle name="20% - Accent4 4 2 2 2 2" xfId="3735" xr:uid="{14A3D199-0E77-418A-8987-0AAEAD8ED18C}"/>
    <cellStyle name="20% - Accent4 4 2 2 3" xfId="2516" xr:uid="{6C2BB614-A5E7-4B0A-99EB-532C3BFDA70F}"/>
    <cellStyle name="20% - Accent4 4 2 3" xfId="1511" xr:uid="{F2AB1748-3E5C-4365-B75B-3A5A74BD6789}"/>
    <cellStyle name="20% - Accent4 4 2 3 2" xfId="3305" xr:uid="{256D4505-EE1B-4540-BE26-E694C41C046A}"/>
    <cellStyle name="20% - Accent4 4 2 4" xfId="2090" xr:uid="{BE71486A-193D-4246-AE3B-DAADD78237FD}"/>
    <cellStyle name="20% - Accent4 4 3" xfId="618" xr:uid="{DE46069F-3A5B-4B62-958B-43756E7AD498}"/>
    <cellStyle name="20% - Accent4 4 3 2" xfId="1713" xr:uid="{9129D3A8-B691-42A5-B951-544315B7A9C0}"/>
    <cellStyle name="20% - Accent4 4 3 2 2" xfId="3504" xr:uid="{8D3E5DD5-029E-4F76-B64E-0AF9592358F3}"/>
    <cellStyle name="20% - Accent4 4 3 3" xfId="2515" xr:uid="{33A74865-3B97-405B-A997-A7ECFFBDE05F}"/>
    <cellStyle name="20% - Accent4 4 4" xfId="1269" xr:uid="{6CB2C680-F802-4B32-9F27-79D233DFBDE4}"/>
    <cellStyle name="20% - Accent4 4 4 2" xfId="3084" xr:uid="{90396AF5-CE30-4B1E-9F94-FBC30C9304F0}"/>
    <cellStyle name="20% - Accent4 4 5" xfId="2089" xr:uid="{9FD07AE8-624A-49CB-B447-E8901AB6B9FD}"/>
    <cellStyle name="20% - Accent4 5" xfId="108" xr:uid="{C9EE5CFB-290B-4EEA-ACB1-DC59C4F0EEDE}"/>
    <cellStyle name="20% - Accent4 5 2" xfId="109" xr:uid="{0E5EC6AF-5BD7-40C8-B1C9-6F16D8579FD3}"/>
    <cellStyle name="20% - Accent4 5 2 2" xfId="621" xr:uid="{F63C297C-E3B8-4D7C-B087-68774576E957}"/>
    <cellStyle name="20% - Accent4 5 2 2 2" xfId="1874" xr:uid="{C9C766E9-3DEC-487A-9197-50FE6166001D}"/>
    <cellStyle name="20% - Accent4 5 2 2 2 2" xfId="3665" xr:uid="{99A63DD5-E0B6-4428-9F8C-8B7F4503FF0A}"/>
    <cellStyle name="20% - Accent4 5 2 2 3" xfId="2518" xr:uid="{0A1A6A8D-2D08-4C43-A9E3-5CA24F1F51A8}"/>
    <cellStyle name="20% - Accent4 5 2 3" xfId="1441" xr:uid="{B6B1F168-9476-41E9-AA9F-8473D2A7AEBF}"/>
    <cellStyle name="20% - Accent4 5 2 3 2" xfId="3235" xr:uid="{DDDBFDF3-4C9B-40D0-BCD7-83206E862AA2}"/>
    <cellStyle name="20% - Accent4 5 2 4" xfId="2092" xr:uid="{FB7C0F88-FF61-4709-B8E0-CFF25E29EF75}"/>
    <cellStyle name="20% - Accent4 5 3" xfId="620" xr:uid="{F82B577E-90D7-494D-8904-2CB5DF21CB0A}"/>
    <cellStyle name="20% - Accent4 5 3 2" xfId="1643" xr:uid="{06BD5940-0AA3-466A-B9B9-75CD0B754EBC}"/>
    <cellStyle name="20% - Accent4 5 3 2 2" xfId="3434" xr:uid="{2B1CA332-77E7-4D3C-90B0-725D0CBC7F92}"/>
    <cellStyle name="20% - Accent4 5 3 3" xfId="2517" xr:uid="{F9CF0CF0-3192-4A2D-A96D-294E35CCA97C}"/>
    <cellStyle name="20% - Accent4 5 4" xfId="1199" xr:uid="{C75BBD45-4F64-4E00-9BB6-90403E82DC22}"/>
    <cellStyle name="20% - Accent4 5 4 2" xfId="3014" xr:uid="{8024F3E2-9CC6-498E-8A71-C0A73A114A68}"/>
    <cellStyle name="20% - Accent4 5 5" xfId="2091" xr:uid="{C9EB9ECB-997D-444F-9712-088DC2B79F0C}"/>
    <cellStyle name="20% - Accent4 6" xfId="110" xr:uid="{DE69542A-14C5-462F-A8CD-FCB4BC84AB7A}"/>
    <cellStyle name="20% - Accent4 6 2" xfId="622" xr:uid="{CCAF0D5D-B52B-4FD9-A4BA-3DF6CEDF6467}"/>
    <cellStyle name="20% - Accent4 6 2 2" xfId="1764" xr:uid="{A6D589A4-48A7-4AE2-9588-072F55162ACD}"/>
    <cellStyle name="20% - Accent4 6 2 2 2" xfId="3555" xr:uid="{FDF82C44-8B19-4EBA-BCC2-2F8D3404CAEC}"/>
    <cellStyle name="20% - Accent4 6 2 3" xfId="2519" xr:uid="{C83E45F1-290D-4331-8F0D-992D40E5A534}"/>
    <cellStyle name="20% - Accent4 6 3" xfId="1345" xr:uid="{861D60B1-02C0-4038-BC8A-9E05E88F26C6}"/>
    <cellStyle name="20% - Accent4 6 3 2" xfId="3140" xr:uid="{0AFBD2AB-7738-45F3-8C08-F7FF4517ACE2}"/>
    <cellStyle name="20% - Accent4 6 4" xfId="2093" xr:uid="{C4407991-9CB4-4235-8AD8-46FB0537B47E}"/>
    <cellStyle name="20% - Accent4 7" xfId="111" xr:uid="{A18786CE-C24D-408F-A3EC-262A8E4E859E}"/>
    <cellStyle name="20% - Accent4 7 2" xfId="623" xr:uid="{6F5B6D9C-E6E0-487B-AD34-3E912DD72E2F}"/>
    <cellStyle name="20% - Accent4 7 2 2" xfId="1801" xr:uid="{C7A61031-32D5-42F8-B036-4CE94835143B}"/>
    <cellStyle name="20% - Accent4 7 2 2 2" xfId="3592" xr:uid="{DC6F3A36-259E-432F-8020-64612A7936FF}"/>
    <cellStyle name="20% - Accent4 7 2 3" xfId="2520" xr:uid="{D9A932DC-1332-4F7E-8B21-4005DBCA7C26}"/>
    <cellStyle name="20% - Accent4 7 3" xfId="1369" xr:uid="{C1A84647-D857-4CCE-81EE-C402DAC1B8D4}"/>
    <cellStyle name="20% - Accent4 7 3 2" xfId="3163" xr:uid="{96643E56-AA8B-42A0-96F3-EB44A983C245}"/>
    <cellStyle name="20% - Accent4 7 4" xfId="2094" xr:uid="{602C4BDD-CBDE-4D13-AFE4-440AE2556CD9}"/>
    <cellStyle name="20% - Accent4 8" xfId="1561" xr:uid="{BF64A635-5FDE-4BA6-A5AF-586DCDA177D3}"/>
    <cellStyle name="20% - Accent4 8 2" xfId="3352" xr:uid="{A01B7FC1-F61A-4B50-93AB-056864F868D8}"/>
    <cellStyle name="20% - Accent5 2" xfId="112" xr:uid="{21A2CA75-62E5-4F41-A343-6CC5C6D8C722}"/>
    <cellStyle name="20% - Accent5 2 2" xfId="113" xr:uid="{7E17A0A3-9E1C-47D8-891F-080417E4EF77}"/>
    <cellStyle name="20% - Accent5 2 2 2" xfId="114" xr:uid="{314450C7-3BDC-4D5D-8BEF-3058F0556C97}"/>
    <cellStyle name="20% - Accent5 2 2 2 2" xfId="115" xr:uid="{374677D4-C7CF-4539-B1E5-2D54E0754190}"/>
    <cellStyle name="20% - Accent5 2 2 2 2 2" xfId="627" xr:uid="{E4FE2B0B-8E3E-4C91-BC72-1C865CF2A98F}"/>
    <cellStyle name="20% - Accent5 2 2 2 2 2 2" xfId="1930" xr:uid="{584C93CB-47EF-4F77-B42A-51B86694C314}"/>
    <cellStyle name="20% - Accent5 2 2 2 2 2 2 2" xfId="3721" xr:uid="{53E2EF75-A398-4D7A-84B8-7155D7D65553}"/>
    <cellStyle name="20% - Accent5 2 2 2 2 2 3" xfId="2524" xr:uid="{80A9C0A1-0125-4D3F-98CA-FC6F90664714}"/>
    <cellStyle name="20% - Accent5 2 2 2 2 3" xfId="1497" xr:uid="{472902FC-556F-4DEE-A0AB-3F2F28A19606}"/>
    <cellStyle name="20% - Accent5 2 2 2 2 3 2" xfId="3291" xr:uid="{2D061B22-78BD-44AC-906E-A969E289BB90}"/>
    <cellStyle name="20% - Accent5 2 2 2 2 4" xfId="2098" xr:uid="{028A5056-01A8-4154-BC87-B433B5BE43F0}"/>
    <cellStyle name="20% - Accent5 2 2 2 3" xfId="626" xr:uid="{A0B34A88-9E96-4CEE-B8A7-8F50BB8F4472}"/>
    <cellStyle name="20% - Accent5 2 2 2 3 2" xfId="1699" xr:uid="{058B49B4-4422-4072-9814-61DC4568EDD0}"/>
    <cellStyle name="20% - Accent5 2 2 2 3 2 2" xfId="3490" xr:uid="{8229C24F-8504-4051-9F62-79F605CFC3AD}"/>
    <cellStyle name="20% - Accent5 2 2 2 3 3" xfId="2523" xr:uid="{6A5E9035-2201-4FCA-AEA6-F7315B6D216B}"/>
    <cellStyle name="20% - Accent5 2 2 2 4" xfId="1255" xr:uid="{E797FD75-A171-43D5-893B-C1075CEAB099}"/>
    <cellStyle name="20% - Accent5 2 2 2 4 2" xfId="3070" xr:uid="{CD3F3498-3211-48C9-BF4D-6BDF1429C23B}"/>
    <cellStyle name="20% - Accent5 2 2 2 5" xfId="2097" xr:uid="{9B1A6F53-D3B7-4067-86AB-4FC05C4F5A46}"/>
    <cellStyle name="20% - Accent5 2 2 3" xfId="116" xr:uid="{CC047787-02D4-460F-8006-554A4C9EA823}"/>
    <cellStyle name="20% - Accent5 2 2 3 2" xfId="628" xr:uid="{B08DF096-DD42-48AC-8F47-E520F7411625}"/>
    <cellStyle name="20% - Accent5 2 2 3 2 2" xfId="1860" xr:uid="{84EA59E0-42B8-4D7F-9603-96F58DEFA810}"/>
    <cellStyle name="20% - Accent5 2 2 3 2 2 2" xfId="3651" xr:uid="{C4B0DA95-390B-46F2-A65C-BABE3A2E7C58}"/>
    <cellStyle name="20% - Accent5 2 2 3 2 3" xfId="2525" xr:uid="{67D43055-C053-464C-8764-EDA213865813}"/>
    <cellStyle name="20% - Accent5 2 2 3 3" xfId="1427" xr:uid="{55FDB1AD-4BED-46AD-9482-53E287DF7CBA}"/>
    <cellStyle name="20% - Accent5 2 2 3 3 2" xfId="3221" xr:uid="{C3D9E041-3673-4A12-B12E-4F344E9AF6EC}"/>
    <cellStyle name="20% - Accent5 2 2 3 4" xfId="2099" xr:uid="{0EDF0BC6-1F2B-4E75-85C4-CB20A02550AE}"/>
    <cellStyle name="20% - Accent5 2 2 4" xfId="625" xr:uid="{64C414BE-1001-4C79-BC2F-F8F441E256F1}"/>
    <cellStyle name="20% - Accent5 2 2 4 2" xfId="1629" xr:uid="{8A813BD9-A545-4AA9-80AD-29FFD0035AB2}"/>
    <cellStyle name="20% - Accent5 2 2 4 2 2" xfId="3420" xr:uid="{4C5DA1B1-599A-4DE8-8430-AC2EBCA05A93}"/>
    <cellStyle name="20% - Accent5 2 2 4 3" xfId="2522" xr:uid="{D77616F4-D1B4-4DC2-AC09-A98E0D7A34DB}"/>
    <cellStyle name="20% - Accent5 2 2 5" xfId="1185" xr:uid="{42B7D217-6F59-4B1F-AE21-0DF848DA29E8}"/>
    <cellStyle name="20% - Accent5 2 2 5 2" xfId="3000" xr:uid="{C99D6560-2EB9-4F04-B5DF-D4A244475E77}"/>
    <cellStyle name="20% - Accent5 2 2 6" xfId="2096" xr:uid="{7085C987-5B61-4EAB-B644-709F36BDCBC9}"/>
    <cellStyle name="20% - Accent5 2 3" xfId="117" xr:uid="{A364504A-D8F6-4203-8EFD-6C689A6BAE94}"/>
    <cellStyle name="20% - Accent5 2 3 2" xfId="118" xr:uid="{91F0ABAC-EABF-494D-87F7-C6DCC5C69650}"/>
    <cellStyle name="20% - Accent5 2 3 2 2" xfId="630" xr:uid="{35A4C819-128E-48A5-9074-5388C514C053}"/>
    <cellStyle name="20% - Accent5 2 3 2 2 2" xfId="1965" xr:uid="{79044DF6-04D6-4EF0-9246-615665B4D19A}"/>
    <cellStyle name="20% - Accent5 2 3 2 2 2 2" xfId="3756" xr:uid="{FDE7DADA-8951-462D-AAB7-B28C8F878E7D}"/>
    <cellStyle name="20% - Accent5 2 3 2 2 3" xfId="2527" xr:uid="{4BCDC069-94C9-4A0B-85D5-F5D2ACF234D0}"/>
    <cellStyle name="20% - Accent5 2 3 2 3" xfId="1532" xr:uid="{5FABDC46-29E1-4CD6-AC29-C9A32625E2B3}"/>
    <cellStyle name="20% - Accent5 2 3 2 3 2" xfId="3326" xr:uid="{46031DA6-3E35-4097-9D2D-56E252ADDC6D}"/>
    <cellStyle name="20% - Accent5 2 3 2 4" xfId="2101" xr:uid="{FFF30720-6AF4-41BF-AEA2-C7891E9EF038}"/>
    <cellStyle name="20% - Accent5 2 3 3" xfId="629" xr:uid="{AAC81D7B-2105-4C6A-A19E-A8E1665BC2DD}"/>
    <cellStyle name="20% - Accent5 2 3 3 2" xfId="1734" xr:uid="{EB562E32-25BC-4FE0-A6C3-21744BE082B9}"/>
    <cellStyle name="20% - Accent5 2 3 3 2 2" xfId="3525" xr:uid="{CB753CC3-2CBE-46BC-9ECD-52219C54D25B}"/>
    <cellStyle name="20% - Accent5 2 3 3 3" xfId="2526" xr:uid="{CD2E496A-D274-4F5E-8426-8242B8A57EA2}"/>
    <cellStyle name="20% - Accent5 2 3 4" xfId="1290" xr:uid="{5168C708-CC86-4E04-AC8E-CA40902DA67B}"/>
    <cellStyle name="20% - Accent5 2 3 4 2" xfId="3105" xr:uid="{9B100058-9126-43C8-873F-3AF0C9CBF594}"/>
    <cellStyle name="20% - Accent5 2 3 5" xfId="2100" xr:uid="{DB8EAC27-D6EE-4317-AF4B-1C2BCF47E941}"/>
    <cellStyle name="20% - Accent5 2 4" xfId="119" xr:uid="{643DDA61-84B3-4528-B993-83405BC5C1FE}"/>
    <cellStyle name="20% - Accent5 2 4 2" xfId="120" xr:uid="{9C3FC49D-7BA8-46BF-988B-ADCE9477AAAB}"/>
    <cellStyle name="20% - Accent5 2 4 2 2" xfId="632" xr:uid="{03478979-7C04-407E-9AB5-EF0CC08689C9}"/>
    <cellStyle name="20% - Accent5 2 4 2 2 2" xfId="1895" xr:uid="{E7F16EA5-977A-42CB-8FB8-3B3E73EC603F}"/>
    <cellStyle name="20% - Accent5 2 4 2 2 2 2" xfId="3686" xr:uid="{B91296D9-6D4B-4112-9CFB-C66821507E8B}"/>
    <cellStyle name="20% - Accent5 2 4 2 2 3" xfId="2529" xr:uid="{2C0E305E-87E0-40CB-A816-0A64E8A63C83}"/>
    <cellStyle name="20% - Accent5 2 4 2 3" xfId="1462" xr:uid="{63F06C77-9FF0-438A-937F-9C9F04EDF9F1}"/>
    <cellStyle name="20% - Accent5 2 4 2 3 2" xfId="3256" xr:uid="{CBB073E5-E3F4-4AD8-9AFD-45E3B7F692C7}"/>
    <cellStyle name="20% - Accent5 2 4 2 4" xfId="2103" xr:uid="{250BA007-AC53-4A5B-828C-8E395ABE5E30}"/>
    <cellStyle name="20% - Accent5 2 4 3" xfId="631" xr:uid="{A9734E9A-6FE8-476D-8B55-52E89D1815CB}"/>
    <cellStyle name="20% - Accent5 2 4 3 2" xfId="1664" xr:uid="{9A18D3EC-00FC-4DEF-AC18-320C3A833ADF}"/>
    <cellStyle name="20% - Accent5 2 4 3 2 2" xfId="3455" xr:uid="{F8CAA88B-B039-40AC-9EA9-787EF8101643}"/>
    <cellStyle name="20% - Accent5 2 4 3 3" xfId="2528" xr:uid="{C8EA0EDE-1F3A-41B8-BA71-2D7B051EF82E}"/>
    <cellStyle name="20% - Accent5 2 4 4" xfId="1220" xr:uid="{76B4D87E-567B-4DC9-AA47-29BAABF6DF47}"/>
    <cellStyle name="20% - Accent5 2 4 4 2" xfId="3035" xr:uid="{C5297004-48FE-436C-A20C-B6B405B637E4}"/>
    <cellStyle name="20% - Accent5 2 4 5" xfId="2102" xr:uid="{08B45791-0DDB-445F-9D0A-5A9FB5B63940}"/>
    <cellStyle name="20% - Accent5 2 5" xfId="121" xr:uid="{C64E526E-93D2-456D-A508-935D77D513C8}"/>
    <cellStyle name="20% - Accent5 2 5 2" xfId="633" xr:uid="{A14F95B2-69A9-43BC-B227-9DBA9CBA53F2}"/>
    <cellStyle name="20% - Accent5 2 5 2 2" xfId="1784" xr:uid="{6D3CE0DA-1FC5-4363-A5BD-7736ED7F8274}"/>
    <cellStyle name="20% - Accent5 2 5 2 2 2" xfId="3575" xr:uid="{52B5AC79-AD4D-4B7E-8DA7-B867E7FDF838}"/>
    <cellStyle name="20% - Accent5 2 5 2 3" xfId="2530" xr:uid="{24031B24-D2C7-4CC1-80B3-25E93676AA29}"/>
    <cellStyle name="20% - Accent5 2 5 3" xfId="1357" xr:uid="{2C86DE54-1CDF-4419-8B1E-C33FF0B73212}"/>
    <cellStyle name="20% - Accent5 2 5 3 2" xfId="3151" xr:uid="{16E1D620-A8FB-4045-80BF-E6352C1FFB2E}"/>
    <cellStyle name="20% - Accent5 2 5 4" xfId="2104" xr:uid="{D4D46BE9-69FF-48F7-9A40-A0FF00C2DD3F}"/>
    <cellStyle name="20% - Accent5 2 6" xfId="122" xr:uid="{36AF76DE-0B19-4DFD-8F26-2368DBC87499}"/>
    <cellStyle name="20% - Accent5 2 6 2" xfId="634" xr:uid="{96F88E05-2708-4A38-A530-A53798CADC5B}"/>
    <cellStyle name="20% - Accent5 2 6 2 2" xfId="1825" xr:uid="{F824C8F6-32D9-49B9-A4B8-2E1518368DE1}"/>
    <cellStyle name="20% - Accent5 2 6 2 2 2" xfId="3616" xr:uid="{3B5B6D04-84FC-4180-B0D9-8E0FEC7143CC}"/>
    <cellStyle name="20% - Accent5 2 6 2 3" xfId="2531" xr:uid="{AD0DC82B-CFA6-4C38-AF94-11A668D8299D}"/>
    <cellStyle name="20% - Accent5 2 6 3" xfId="1393" xr:uid="{921C9A5A-D6B5-4879-A2D6-F918BFA496C6}"/>
    <cellStyle name="20% - Accent5 2 6 3 2" xfId="3187" xr:uid="{26ECAC55-1EB3-4E18-9C07-74EFB46DCF99}"/>
    <cellStyle name="20% - Accent5 2 6 4" xfId="2105" xr:uid="{7EE32AFB-ADF2-49CE-9F78-50D70D62DFBB}"/>
    <cellStyle name="20% - Accent5 2 7" xfId="624" xr:uid="{59853B2F-9D54-4917-8AEB-FD01387BE997}"/>
    <cellStyle name="20% - Accent5 2 7 2" xfId="1594" xr:uid="{1E44D026-2BB2-4507-9ACA-049BC5AE7B17}"/>
    <cellStyle name="20% - Accent5 2 7 2 2" xfId="3385" xr:uid="{40C4991B-20BD-44CB-A55C-71F86459E0B4}"/>
    <cellStyle name="20% - Accent5 2 7 3" xfId="2521" xr:uid="{1FAE56D8-7B14-4CA4-9BA9-0FDB18ABE838}"/>
    <cellStyle name="20% - Accent5 2 8" xfId="1123" xr:uid="{7F126F87-B7CC-403E-9BBF-05DB24E419FB}"/>
    <cellStyle name="20% - Accent5 2 8 2" xfId="2946" xr:uid="{A1B22AB1-0C8A-4AC7-873A-01691ADBE430}"/>
    <cellStyle name="20% - Accent5 2 9" xfId="2095" xr:uid="{D4B7DC04-985E-4D73-98EA-E2D58BE69FD2}"/>
    <cellStyle name="20% - Accent5 3" xfId="123" xr:uid="{07E0D028-DE90-46CA-97EE-FBC5CD065432}"/>
    <cellStyle name="20% - Accent5 3 2" xfId="124" xr:uid="{9D2D04C6-0E85-4FA1-A556-5D0044782C78}"/>
    <cellStyle name="20% - Accent5 3 2 2" xfId="125" xr:uid="{AE01C44F-CA84-4CC9-972E-C728F7C27BA0}"/>
    <cellStyle name="20% - Accent5 3 2 2 2" xfId="637" xr:uid="{E3C46ED9-46F2-440C-AD7D-B2542BA90438}"/>
    <cellStyle name="20% - Accent5 3 2 2 2 2" xfId="1911" xr:uid="{85811E01-1920-445E-9860-7F397F1D9439}"/>
    <cellStyle name="20% - Accent5 3 2 2 2 2 2" xfId="3702" xr:uid="{D6A18DDC-0E65-4BA4-916A-F05452212273}"/>
    <cellStyle name="20% - Accent5 3 2 2 2 3" xfId="2534" xr:uid="{EDBEA02B-5203-49EA-A91A-74C4FDD84BF4}"/>
    <cellStyle name="20% - Accent5 3 2 2 3" xfId="1478" xr:uid="{F784E494-9002-4A50-B4DD-97600B44E874}"/>
    <cellStyle name="20% - Accent5 3 2 2 3 2" xfId="3272" xr:uid="{38FEC102-F7FA-49D9-B084-06105A8ADC30}"/>
    <cellStyle name="20% - Accent5 3 2 2 4" xfId="2108" xr:uid="{2F9136CE-B920-494C-B170-06CB174C9FC4}"/>
    <cellStyle name="20% - Accent5 3 2 3" xfId="636" xr:uid="{7474D194-DF68-4825-9228-4E9653FA443C}"/>
    <cellStyle name="20% - Accent5 3 2 3 2" xfId="1680" xr:uid="{CCC42092-4883-4FC1-8F7C-8C8C6ECE5FCE}"/>
    <cellStyle name="20% - Accent5 3 2 3 2 2" xfId="3471" xr:uid="{E847E08D-321D-42D1-88B2-2B2680BA50C2}"/>
    <cellStyle name="20% - Accent5 3 2 3 3" xfId="2533" xr:uid="{45F87BDB-ACC1-4804-AE93-5C769200AFB5}"/>
    <cellStyle name="20% - Accent5 3 2 4" xfId="1236" xr:uid="{86A16EE9-5A81-4E8D-BD73-F5BC9C1EC78B}"/>
    <cellStyle name="20% - Accent5 3 2 4 2" xfId="3051" xr:uid="{16D9CC58-81AB-48DE-B557-69EDC486D8EA}"/>
    <cellStyle name="20% - Accent5 3 2 5" xfId="2107" xr:uid="{87F3F88C-6780-42A8-B4F7-37DE06EC3F7E}"/>
    <cellStyle name="20% - Accent5 3 3" xfId="126" xr:uid="{ED64EE6F-AFD7-4998-9875-FF92570541D5}"/>
    <cellStyle name="20% - Accent5 3 3 2" xfId="638" xr:uid="{95BEE132-C947-425B-BD29-37FEC407276F}"/>
    <cellStyle name="20% - Accent5 3 3 2 2" xfId="1841" xr:uid="{6C31334A-D094-41DC-BD90-F4E49699F9DE}"/>
    <cellStyle name="20% - Accent5 3 3 2 2 2" xfId="3632" xr:uid="{B79947B0-5EE1-4476-80ED-3345868BC05D}"/>
    <cellStyle name="20% - Accent5 3 3 2 3" xfId="2535" xr:uid="{1F85F5E3-E6EB-424C-A27B-49F276193062}"/>
    <cellStyle name="20% - Accent5 3 3 3" xfId="1408" xr:uid="{10599F61-69CA-4AEF-AE03-22064B778067}"/>
    <cellStyle name="20% - Accent5 3 3 3 2" xfId="3202" xr:uid="{5965C121-A583-4982-8D90-41E6E1A51541}"/>
    <cellStyle name="20% - Accent5 3 3 4" xfId="2109" xr:uid="{E6769BDC-1F55-4B67-80D9-0CE82E6F9CF4}"/>
    <cellStyle name="20% - Accent5 3 4" xfId="635" xr:uid="{B462B162-7636-4AD9-BD73-49918D06BBB9}"/>
    <cellStyle name="20% - Accent5 3 4 2" xfId="1610" xr:uid="{5A946B47-B2A7-431C-85DA-51EBE7DA7C5A}"/>
    <cellStyle name="20% - Accent5 3 4 2 2" xfId="3401" xr:uid="{24C71206-095F-4746-80AB-AA2FDAAE56FE}"/>
    <cellStyle name="20% - Accent5 3 4 3" xfId="2532" xr:uid="{9C16AFC5-6E52-4041-8471-6063A8A982B2}"/>
    <cellStyle name="20% - Accent5 3 5" xfId="1135" xr:uid="{217F2BF5-A330-49E2-9723-F6D642A7DD5F}"/>
    <cellStyle name="20% - Accent5 3 5 2" xfId="2958" xr:uid="{2A9F6F8A-354B-451A-BE08-8D8454333772}"/>
    <cellStyle name="20% - Accent5 3 6" xfId="2106" xr:uid="{3CAB08C1-FE3B-4416-B203-5B7DC93BD992}"/>
    <cellStyle name="20% - Accent5 4" xfId="127" xr:uid="{0669323C-D0F5-4139-935F-613C09CDEF23}"/>
    <cellStyle name="20% - Accent5 4 2" xfId="128" xr:uid="{DD451FDC-C45A-4D16-A317-EC8E47374028}"/>
    <cellStyle name="20% - Accent5 4 2 2" xfId="640" xr:uid="{DD0D3DFD-6D51-4F3E-94A9-5F764E980D97}"/>
    <cellStyle name="20% - Accent5 4 2 2 2" xfId="1946" xr:uid="{F4BFDFFD-DBC8-4CED-B1BD-3EFDD5C7EAC1}"/>
    <cellStyle name="20% - Accent5 4 2 2 2 2" xfId="3737" xr:uid="{F4B926B2-D9EE-4C73-840B-19DEE21F71DD}"/>
    <cellStyle name="20% - Accent5 4 2 2 3" xfId="2537" xr:uid="{A1BC3BCE-3F79-42F1-B2FA-15971CDAFE4D}"/>
    <cellStyle name="20% - Accent5 4 2 3" xfId="1513" xr:uid="{6E0180AB-D95A-4C1D-B7AA-DCCAC99A9047}"/>
    <cellStyle name="20% - Accent5 4 2 3 2" xfId="3307" xr:uid="{BC58E0C1-3113-46E1-9C57-D9768F454193}"/>
    <cellStyle name="20% - Accent5 4 2 4" xfId="2111" xr:uid="{7AD1B46C-5E7E-4BB5-AEC6-F464F4F1F465}"/>
    <cellStyle name="20% - Accent5 4 3" xfId="639" xr:uid="{6EA98AA7-A23A-47CC-BA58-2905E4967E82}"/>
    <cellStyle name="20% - Accent5 4 3 2" xfId="1715" xr:uid="{C87C0894-7E86-4F6D-9941-6B68E7D67453}"/>
    <cellStyle name="20% - Accent5 4 3 2 2" xfId="3506" xr:uid="{E1C58BD0-01B8-436F-BDC9-5EB6D5523877}"/>
    <cellStyle name="20% - Accent5 4 3 3" xfId="2536" xr:uid="{1D96F993-013D-4799-A869-FD17FC3224DA}"/>
    <cellStyle name="20% - Accent5 4 4" xfId="1271" xr:uid="{513BDC8C-E1CC-4325-B52F-EF33535266F9}"/>
    <cellStyle name="20% - Accent5 4 4 2" xfId="3086" xr:uid="{1EE0B5A3-D009-4CF5-A36A-32F3839AE46B}"/>
    <cellStyle name="20% - Accent5 4 5" xfId="2110" xr:uid="{208682B2-89DA-4881-B953-1AF1D014F872}"/>
    <cellStyle name="20% - Accent5 5" xfId="129" xr:uid="{7AC7BC38-4E4A-4F7A-A03C-C43004FDEAE7}"/>
    <cellStyle name="20% - Accent5 5 2" xfId="130" xr:uid="{A75C6AFA-ADF1-4511-A87E-B68E1012FC6F}"/>
    <cellStyle name="20% - Accent5 5 2 2" xfId="642" xr:uid="{7CC21975-ABB3-4FB1-A99D-F81B94805405}"/>
    <cellStyle name="20% - Accent5 5 2 2 2" xfId="1876" xr:uid="{EDDD7646-0807-407C-ABA8-1785ECF8EAD6}"/>
    <cellStyle name="20% - Accent5 5 2 2 2 2" xfId="3667" xr:uid="{B35695AF-D155-4499-88F9-3B861E0533DE}"/>
    <cellStyle name="20% - Accent5 5 2 2 3" xfId="2539" xr:uid="{F543DE7E-D667-49BA-BF0C-69E90A964FDD}"/>
    <cellStyle name="20% - Accent5 5 2 3" xfId="1443" xr:uid="{BDC03112-8E57-40B4-A180-D253EA608C2A}"/>
    <cellStyle name="20% - Accent5 5 2 3 2" xfId="3237" xr:uid="{92BD32B2-7AF9-4506-A306-3FF85AE16F4C}"/>
    <cellStyle name="20% - Accent5 5 2 4" xfId="2113" xr:uid="{B98E8767-629A-42CF-AD60-F05B4854B8AF}"/>
    <cellStyle name="20% - Accent5 5 3" xfId="641" xr:uid="{D1CD0248-A891-461E-B39C-D51C7ED291A1}"/>
    <cellStyle name="20% - Accent5 5 3 2" xfId="1645" xr:uid="{593256E7-AA75-4190-B669-58D4A14FB744}"/>
    <cellStyle name="20% - Accent5 5 3 2 2" xfId="3436" xr:uid="{B69DA580-96D3-4A87-A783-B81608272FDC}"/>
    <cellStyle name="20% - Accent5 5 3 3" xfId="2538" xr:uid="{37B272DE-DEF2-4DB0-9ABE-83275642E096}"/>
    <cellStyle name="20% - Accent5 5 4" xfId="1201" xr:uid="{7B271289-DA31-4AFF-8D69-FF0A506FAA8C}"/>
    <cellStyle name="20% - Accent5 5 4 2" xfId="3016" xr:uid="{E435208A-55C8-499F-8029-3DFB43FA5334}"/>
    <cellStyle name="20% - Accent5 5 5" xfId="2112" xr:uid="{CE56C68C-7455-4324-9C4D-B46AFA2DBF1E}"/>
    <cellStyle name="20% - Accent5 6" xfId="131" xr:uid="{F262F272-4491-4405-8A0C-63B0C18E1C80}"/>
    <cellStyle name="20% - Accent5 6 2" xfId="643" xr:uid="{3517ABDE-90F9-4F36-B95D-13214051D015}"/>
    <cellStyle name="20% - Accent5 6 2 2" xfId="1766" xr:uid="{04E7FF5D-B387-4012-9034-6AF23D324FDD}"/>
    <cellStyle name="20% - Accent5 6 2 2 2" xfId="3557" xr:uid="{6E70CA98-4AE5-4A31-8DBD-DF0E841AE407}"/>
    <cellStyle name="20% - Accent5 6 2 3" xfId="2540" xr:uid="{CEDDC85C-B5A2-4AD2-AAD7-C1F881586967}"/>
    <cellStyle name="20% - Accent5 6 3" xfId="1347" xr:uid="{58FA95E9-BA52-4065-80AF-081DAB8F57CF}"/>
    <cellStyle name="20% - Accent5 6 3 2" xfId="3142" xr:uid="{FC713C0C-B190-4CB2-ADB0-A093905138FA}"/>
    <cellStyle name="20% - Accent5 6 4" xfId="2114" xr:uid="{2294AC14-B89E-41B0-8366-434F0C19004A}"/>
    <cellStyle name="20% - Accent5 7" xfId="132" xr:uid="{0BEFB820-42FA-48C3-8EB3-DB99815B0542}"/>
    <cellStyle name="20% - Accent5 7 2" xfId="644" xr:uid="{D67D30EF-0B83-4808-80F2-180A6130835D}"/>
    <cellStyle name="20% - Accent5 7 2 2" xfId="1803" xr:uid="{394F783F-4EA8-40A3-B733-FE7C55167385}"/>
    <cellStyle name="20% - Accent5 7 2 2 2" xfId="3594" xr:uid="{6D1136EC-CD2F-44E2-B6AE-03641B528F76}"/>
    <cellStyle name="20% - Accent5 7 2 3" xfId="2541" xr:uid="{21588D53-9246-43D7-A174-5F8B26B39DF6}"/>
    <cellStyle name="20% - Accent5 7 3" xfId="1371" xr:uid="{4857A448-A9DA-4D1B-BFB4-265316B375C2}"/>
    <cellStyle name="20% - Accent5 7 3 2" xfId="3165" xr:uid="{E8E56599-DAB0-4E88-949E-157E12CDD7F9}"/>
    <cellStyle name="20% - Accent5 7 4" xfId="2115" xr:uid="{5F66C031-1713-4A1C-9A63-3E888D85A1C6}"/>
    <cellStyle name="20% - Accent5 8" xfId="1564" xr:uid="{48AAB219-29C9-4FA4-B8A1-9E4037597606}"/>
    <cellStyle name="20% - Accent5 8 2" xfId="3355" xr:uid="{F6B4DD08-9FC0-4D6D-9A05-C5CB82F2B01A}"/>
    <cellStyle name="20% - Accent6 2" xfId="133" xr:uid="{B528FAA1-B76B-4CE7-955C-983CC3C7560A}"/>
    <cellStyle name="20% - Accent6 2 2" xfId="134" xr:uid="{4D0F13CA-B413-418B-AB86-068303BBA9D8}"/>
    <cellStyle name="20% - Accent6 2 2 2" xfId="135" xr:uid="{9D17FE67-57EA-462F-B5FC-BC48024761DB}"/>
    <cellStyle name="20% - Accent6 2 2 2 2" xfId="136" xr:uid="{9B70B8A1-7239-4554-8DC3-7CE4FE16E5C0}"/>
    <cellStyle name="20% - Accent6 2 2 2 2 2" xfId="648" xr:uid="{6055ECCA-802A-4B7F-A1F1-91ADF8A6B794}"/>
    <cellStyle name="20% - Accent6 2 2 2 2 2 2" xfId="1932" xr:uid="{9CF7763A-F6ED-46BC-8270-D249164C1CA5}"/>
    <cellStyle name="20% - Accent6 2 2 2 2 2 2 2" xfId="3723" xr:uid="{2A24E53D-249D-462A-B4DD-572D8A5C9D4C}"/>
    <cellStyle name="20% - Accent6 2 2 2 2 2 3" xfId="2545" xr:uid="{7993764C-0D88-4579-81FE-9D64DEFAFFE1}"/>
    <cellStyle name="20% - Accent6 2 2 2 2 3" xfId="1499" xr:uid="{3CF2665E-5F01-4AC5-93E5-0B02F014D22F}"/>
    <cellStyle name="20% - Accent6 2 2 2 2 3 2" xfId="3293" xr:uid="{8AA69205-8F2B-4FF8-857E-3AF0F4508907}"/>
    <cellStyle name="20% - Accent6 2 2 2 2 4" xfId="2119" xr:uid="{D257BAC6-106E-4A3E-BDE7-4AA0C62DF081}"/>
    <cellStyle name="20% - Accent6 2 2 2 3" xfId="647" xr:uid="{ACE996A5-E80D-4633-A44A-C304F7A82693}"/>
    <cellStyle name="20% - Accent6 2 2 2 3 2" xfId="1701" xr:uid="{0F338850-76CF-4D12-AD31-92667730536F}"/>
    <cellStyle name="20% - Accent6 2 2 2 3 2 2" xfId="3492" xr:uid="{E994AA55-029D-497C-9317-55A4538CB7E1}"/>
    <cellStyle name="20% - Accent6 2 2 2 3 3" xfId="2544" xr:uid="{4DC1F906-7A53-422D-94C3-B7618378C860}"/>
    <cellStyle name="20% - Accent6 2 2 2 4" xfId="1257" xr:uid="{0CB19C1E-B270-4583-B11B-3ADC11F59F25}"/>
    <cellStyle name="20% - Accent6 2 2 2 4 2" xfId="3072" xr:uid="{7A15D225-98DE-4333-A018-6945AD5E3474}"/>
    <cellStyle name="20% - Accent6 2 2 2 5" xfId="2118" xr:uid="{43EFE6BA-AF20-40B0-9BAD-ECBBD18C79EE}"/>
    <cellStyle name="20% - Accent6 2 2 3" xfId="137" xr:uid="{D6555604-D71E-4434-A76E-18138C74F036}"/>
    <cellStyle name="20% - Accent6 2 2 3 2" xfId="649" xr:uid="{6DB3AA1C-2898-4EE8-9A54-492E6FA03F89}"/>
    <cellStyle name="20% - Accent6 2 2 3 2 2" xfId="1862" xr:uid="{02EF0C8F-6099-4671-9B0E-C7E6FB7921DD}"/>
    <cellStyle name="20% - Accent6 2 2 3 2 2 2" xfId="3653" xr:uid="{7CBB66B9-599B-4437-B506-61BF78CD9C88}"/>
    <cellStyle name="20% - Accent6 2 2 3 2 3" xfId="2546" xr:uid="{A4CB9094-F114-4200-BB9F-AFC25FEE94BB}"/>
    <cellStyle name="20% - Accent6 2 2 3 3" xfId="1429" xr:uid="{EDBAD7A6-36DD-4096-AB50-17880B1CD0A9}"/>
    <cellStyle name="20% - Accent6 2 2 3 3 2" xfId="3223" xr:uid="{8EFB5A07-BCD8-4D0E-B4A3-4C763D7BD286}"/>
    <cellStyle name="20% - Accent6 2 2 3 4" xfId="2120" xr:uid="{57F7C604-2268-467F-8C12-D9F0072F6D3B}"/>
    <cellStyle name="20% - Accent6 2 2 4" xfId="646" xr:uid="{12191E7E-2DB4-4BC2-9A28-1EDDB6CBE94F}"/>
    <cellStyle name="20% - Accent6 2 2 4 2" xfId="1631" xr:uid="{9ABDACF0-2A97-4B1D-BFD6-923B47B43E28}"/>
    <cellStyle name="20% - Accent6 2 2 4 2 2" xfId="3422" xr:uid="{8AF53F01-FDD1-4884-B856-E4606D5F6CA5}"/>
    <cellStyle name="20% - Accent6 2 2 4 3" xfId="2543" xr:uid="{5E7B1BB8-1784-47AD-B927-0D901DD4C283}"/>
    <cellStyle name="20% - Accent6 2 2 5" xfId="1187" xr:uid="{8AFE779E-5A99-445C-B7D9-BCC130F44212}"/>
    <cellStyle name="20% - Accent6 2 2 5 2" xfId="3002" xr:uid="{39B2DE0E-7E23-4202-81B5-432F82EF3010}"/>
    <cellStyle name="20% - Accent6 2 2 6" xfId="2117" xr:uid="{9E6A707D-B8B8-4AF2-8978-AE255D974FA0}"/>
    <cellStyle name="20% - Accent6 2 3" xfId="138" xr:uid="{07C59B83-4C94-4008-923A-11E0D8FADD21}"/>
    <cellStyle name="20% - Accent6 2 3 2" xfId="139" xr:uid="{275AE3D7-FD51-4574-ABE5-3CE3DCDCACB9}"/>
    <cellStyle name="20% - Accent6 2 3 2 2" xfId="651" xr:uid="{5EB20391-D3C5-4660-85D9-96DEAFA20485}"/>
    <cellStyle name="20% - Accent6 2 3 2 2 2" xfId="1967" xr:uid="{FFAE1861-F34D-488D-A50C-CCE8F9BCB377}"/>
    <cellStyle name="20% - Accent6 2 3 2 2 2 2" xfId="3758" xr:uid="{76DED916-4FEB-4759-8D72-D173BA66EECA}"/>
    <cellStyle name="20% - Accent6 2 3 2 2 3" xfId="2548" xr:uid="{441FF1EE-1AE7-4940-B0E7-026B4376EC6D}"/>
    <cellStyle name="20% - Accent6 2 3 2 3" xfId="1534" xr:uid="{BCA385D3-718E-4EAE-9324-77202B13C214}"/>
    <cellStyle name="20% - Accent6 2 3 2 3 2" xfId="3328" xr:uid="{9A7D32C6-CFF3-40D4-ACF7-33089E86C61D}"/>
    <cellStyle name="20% - Accent6 2 3 2 4" xfId="2122" xr:uid="{B870C06F-A175-423A-85C6-1CFF4954A657}"/>
    <cellStyle name="20% - Accent6 2 3 3" xfId="650" xr:uid="{0A56D0CC-F0BA-4631-B4E6-810004BC2716}"/>
    <cellStyle name="20% - Accent6 2 3 3 2" xfId="1736" xr:uid="{3512D6EE-1071-4B8E-B458-78747796359F}"/>
    <cellStyle name="20% - Accent6 2 3 3 2 2" xfId="3527" xr:uid="{1D9E35E3-81DF-46CA-93D4-09D24A8EA1BA}"/>
    <cellStyle name="20% - Accent6 2 3 3 3" xfId="2547" xr:uid="{3CA03655-466D-4668-999E-ADA1E572836F}"/>
    <cellStyle name="20% - Accent6 2 3 4" xfId="1292" xr:uid="{C823B785-08F9-4E20-A8BD-891AEF16A7D1}"/>
    <cellStyle name="20% - Accent6 2 3 4 2" xfId="3107" xr:uid="{1A5AD234-958E-41AF-BD43-19506D0C4ED4}"/>
    <cellStyle name="20% - Accent6 2 3 5" xfId="2121" xr:uid="{AFD50FE5-69D9-404B-BE91-98BD72B0591D}"/>
    <cellStyle name="20% - Accent6 2 4" xfId="140" xr:uid="{6E1D0C91-B758-4D35-8868-4783252B070A}"/>
    <cellStyle name="20% - Accent6 2 4 2" xfId="141" xr:uid="{038268D1-030C-48B1-B8D2-04C650DC8E33}"/>
    <cellStyle name="20% - Accent6 2 4 2 2" xfId="653" xr:uid="{2D65B3FD-A560-4034-83AF-91906BA277CC}"/>
    <cellStyle name="20% - Accent6 2 4 2 2 2" xfId="1897" xr:uid="{2FBD4475-1BF4-4A54-9A88-D17AF11DA774}"/>
    <cellStyle name="20% - Accent6 2 4 2 2 2 2" xfId="3688" xr:uid="{353E1B88-FE3F-454F-BA74-E43FA05FE827}"/>
    <cellStyle name="20% - Accent6 2 4 2 2 3" xfId="2550" xr:uid="{11B11A27-F0AF-4B3C-8FCD-2CB47FC2E76A}"/>
    <cellStyle name="20% - Accent6 2 4 2 3" xfId="1464" xr:uid="{F0C555D1-512C-422D-98C9-A3F6AB1824F9}"/>
    <cellStyle name="20% - Accent6 2 4 2 3 2" xfId="3258" xr:uid="{20CC7311-5CB9-40DC-9C75-DFF480E06B21}"/>
    <cellStyle name="20% - Accent6 2 4 2 4" xfId="2124" xr:uid="{ACA8AB86-A27D-4ECE-B8FF-60672769D0B0}"/>
    <cellStyle name="20% - Accent6 2 4 3" xfId="652" xr:uid="{E39892AA-4278-4AB2-B189-CD101C7FCF6E}"/>
    <cellStyle name="20% - Accent6 2 4 3 2" xfId="1666" xr:uid="{303C09CB-1A73-4967-A56F-2F605466EBD3}"/>
    <cellStyle name="20% - Accent6 2 4 3 2 2" xfId="3457" xr:uid="{4D57452A-0BE5-41C9-98A0-15F203AF101E}"/>
    <cellStyle name="20% - Accent6 2 4 3 3" xfId="2549" xr:uid="{E01A81C0-893F-44B0-B00B-EADFD7AF0323}"/>
    <cellStyle name="20% - Accent6 2 4 4" xfId="1222" xr:uid="{9423F26E-B0A7-4B0E-9E59-65B5867CDDEC}"/>
    <cellStyle name="20% - Accent6 2 4 4 2" xfId="3037" xr:uid="{5461E6AF-651D-4C3A-873B-E218F914BDF7}"/>
    <cellStyle name="20% - Accent6 2 4 5" xfId="2123" xr:uid="{C01A998D-4976-408B-A662-FB091E19D2E6}"/>
    <cellStyle name="20% - Accent6 2 5" xfId="142" xr:uid="{E9762849-1FF8-48DD-94B4-370436FBD3A6}"/>
    <cellStyle name="20% - Accent6 2 5 2" xfId="654" xr:uid="{96C6B923-1D62-49A9-8D8F-0554123B7055}"/>
    <cellStyle name="20% - Accent6 2 5 2 2" xfId="1786" xr:uid="{46CB33D1-D3C8-42B7-AD76-D69C1D99A440}"/>
    <cellStyle name="20% - Accent6 2 5 2 2 2" xfId="3577" xr:uid="{197A8865-CFB6-44B5-8AAE-98F91D3CAFE5}"/>
    <cellStyle name="20% - Accent6 2 5 2 3" xfId="2551" xr:uid="{6BDE03D8-5508-4B2A-80BF-54B20C7FB393}"/>
    <cellStyle name="20% - Accent6 2 5 3" xfId="1163" xr:uid="{CBE5D625-08E6-498D-95A5-88AE23257C24}"/>
    <cellStyle name="20% - Accent6 2 5 3 2" xfId="2979" xr:uid="{AAA775CA-97C8-4F1A-8AC7-8B514D118CBE}"/>
    <cellStyle name="20% - Accent6 2 5 4" xfId="2125" xr:uid="{13DF1A80-14B3-4697-8B82-8BC939FD0E96}"/>
    <cellStyle name="20% - Accent6 2 6" xfId="143" xr:uid="{CA462D1F-A25D-4ED1-8CD4-2805AC7C85B4}"/>
    <cellStyle name="20% - Accent6 2 6 2" xfId="655" xr:uid="{337D435C-795C-4955-A0D9-F9E6C6A34180}"/>
    <cellStyle name="20% - Accent6 2 6 2 2" xfId="1827" xr:uid="{DC4FD7AF-FC61-4964-A108-D2F755865A03}"/>
    <cellStyle name="20% - Accent6 2 6 2 2 2" xfId="3618" xr:uid="{AC1315D8-4FFA-4122-AA15-B6C1BEA95598}"/>
    <cellStyle name="20% - Accent6 2 6 2 3" xfId="2552" xr:uid="{9199A43C-AC24-4E73-82DE-8B973455D9F3}"/>
    <cellStyle name="20% - Accent6 2 6 3" xfId="1395" xr:uid="{133BBB43-47C7-412A-9C4F-2FCC48B9BA18}"/>
    <cellStyle name="20% - Accent6 2 6 3 2" xfId="3189" xr:uid="{7B3F15DB-E7CD-4797-9D25-831F852F087F}"/>
    <cellStyle name="20% - Accent6 2 6 4" xfId="2126" xr:uid="{EBCE6B2D-1CE8-405D-B7ED-C4AD81177A80}"/>
    <cellStyle name="20% - Accent6 2 7" xfId="645" xr:uid="{A39F12DA-0DA8-41A7-A2D1-3096D1CDD791}"/>
    <cellStyle name="20% - Accent6 2 7 2" xfId="1596" xr:uid="{0BF7121C-5F3E-4D06-BA41-20C55B322550}"/>
    <cellStyle name="20% - Accent6 2 7 2 2" xfId="3387" xr:uid="{46690D6B-3569-4D74-B5B0-195430E27E05}"/>
    <cellStyle name="20% - Accent6 2 7 3" xfId="2542" xr:uid="{8BC22BAA-8BA7-4CD7-9E32-53590D4897D8}"/>
    <cellStyle name="20% - Accent6 2 8" xfId="1068" xr:uid="{98361445-F5CE-4F9C-843D-9D48BA507506}"/>
    <cellStyle name="20% - Accent6 2 8 2" xfId="2936" xr:uid="{8025E9B6-BDBD-4469-B5CD-B4E1CB073716}"/>
    <cellStyle name="20% - Accent6 2 9" xfId="2116" xr:uid="{E4BCDE29-ABCA-4841-878C-283CC1BA3881}"/>
    <cellStyle name="20% - Accent6 3" xfId="144" xr:uid="{CCB18310-82FE-4C9F-852F-25D7B8BD5EFC}"/>
    <cellStyle name="20% - Accent6 3 2" xfId="145" xr:uid="{D6D7AAE4-BB61-468E-88E2-4E158D70D81B}"/>
    <cellStyle name="20% - Accent6 3 2 2" xfId="146" xr:uid="{B5D2B3E1-4708-409E-9472-A106166CD06F}"/>
    <cellStyle name="20% - Accent6 3 2 2 2" xfId="658" xr:uid="{00AA6811-7206-4858-AB15-DF7E85898A82}"/>
    <cellStyle name="20% - Accent6 3 2 2 2 2" xfId="1913" xr:uid="{CEFA8E2E-3E82-428C-9162-8A58107997F3}"/>
    <cellStyle name="20% - Accent6 3 2 2 2 2 2" xfId="3704" xr:uid="{C20FAD99-6D2F-4C27-AB0C-199069387652}"/>
    <cellStyle name="20% - Accent6 3 2 2 2 3" xfId="2555" xr:uid="{EE1779E4-3994-49FE-93D5-075A49B22062}"/>
    <cellStyle name="20% - Accent6 3 2 2 3" xfId="1480" xr:uid="{497232E4-5416-4273-A423-0CFDF5C82932}"/>
    <cellStyle name="20% - Accent6 3 2 2 3 2" xfId="3274" xr:uid="{2525A1DF-78E6-49AD-9E20-5305C0469D25}"/>
    <cellStyle name="20% - Accent6 3 2 2 4" xfId="2129" xr:uid="{8F3C5CB2-DC2B-46F5-83CC-A6E5819D2D32}"/>
    <cellStyle name="20% - Accent6 3 2 3" xfId="657" xr:uid="{76FDA470-0CDC-4946-988C-AEADCED356AE}"/>
    <cellStyle name="20% - Accent6 3 2 3 2" xfId="1682" xr:uid="{BE0DD359-DEED-4215-B8E3-007373F8D17B}"/>
    <cellStyle name="20% - Accent6 3 2 3 2 2" xfId="3473" xr:uid="{0771CE6A-FDCC-4541-B073-DA77EB216003}"/>
    <cellStyle name="20% - Accent6 3 2 3 3" xfId="2554" xr:uid="{B7312CBE-BB6C-4EC2-A1EE-9315A4138F7C}"/>
    <cellStyle name="20% - Accent6 3 2 4" xfId="1238" xr:uid="{108E3CB0-5D27-4B60-942C-9873AF78A309}"/>
    <cellStyle name="20% - Accent6 3 2 4 2" xfId="3053" xr:uid="{6ECFB229-D3C8-4003-B976-14EB5CAC164F}"/>
    <cellStyle name="20% - Accent6 3 2 5" xfId="2128" xr:uid="{142B9483-5F8C-4281-A7EA-19BB3129C3C2}"/>
    <cellStyle name="20% - Accent6 3 3" xfId="147" xr:uid="{12C82489-50C1-476E-945C-7EA3E37D25A0}"/>
    <cellStyle name="20% - Accent6 3 3 2" xfId="659" xr:uid="{E0950A3A-E135-4977-AA42-C9F7FEF295B1}"/>
    <cellStyle name="20% - Accent6 3 3 2 2" xfId="1843" xr:uid="{E4935374-A459-44FE-91BA-20908427D3B7}"/>
    <cellStyle name="20% - Accent6 3 3 2 2 2" xfId="3634" xr:uid="{19139166-DF4B-4F93-9804-D9BA7A40A5D2}"/>
    <cellStyle name="20% - Accent6 3 3 2 3" xfId="2556" xr:uid="{A83F14F4-B113-4AE1-B87A-D172F9EEC891}"/>
    <cellStyle name="20% - Accent6 3 3 3" xfId="1410" xr:uid="{45F4CA7E-05BD-4A90-B111-9A7A8E9746B3}"/>
    <cellStyle name="20% - Accent6 3 3 3 2" xfId="3204" xr:uid="{23DC787E-0B3F-4B4D-97DD-D05EA20C6A84}"/>
    <cellStyle name="20% - Accent6 3 3 4" xfId="2130" xr:uid="{94C3990B-A51F-463D-8A87-22008FC32617}"/>
    <cellStyle name="20% - Accent6 3 4" xfId="656" xr:uid="{E1E834AD-EF5A-4632-8D63-E395C5C85DB5}"/>
    <cellStyle name="20% - Accent6 3 4 2" xfId="1612" xr:uid="{50EC33DF-7ACE-4AD7-8289-06C7D26FFE1C}"/>
    <cellStyle name="20% - Accent6 3 4 2 2" xfId="3403" xr:uid="{A470D612-B99B-47AC-90F3-1D5C4696DBC2}"/>
    <cellStyle name="20% - Accent6 3 4 3" xfId="2553" xr:uid="{4710BBDE-5E06-4C08-983A-20B55DADC593}"/>
    <cellStyle name="20% - Accent6 3 5" xfId="1137" xr:uid="{EB89A129-E973-4998-AA64-27DF0EBDBFA1}"/>
    <cellStyle name="20% - Accent6 3 5 2" xfId="2960" xr:uid="{A987A4FC-4DA9-41D0-B272-96938253DF59}"/>
    <cellStyle name="20% - Accent6 3 6" xfId="2127" xr:uid="{085E68C2-D7B6-4F06-AC94-05E0D3C7898D}"/>
    <cellStyle name="20% - Accent6 4" xfId="148" xr:uid="{A97F22A7-582D-41C9-8690-CB7BECE52D10}"/>
    <cellStyle name="20% - Accent6 4 2" xfId="149" xr:uid="{2251E136-E495-4027-9A9D-73E03C087039}"/>
    <cellStyle name="20% - Accent6 4 2 2" xfId="661" xr:uid="{D7577823-66F2-4333-9354-80E1EB029D3D}"/>
    <cellStyle name="20% - Accent6 4 2 2 2" xfId="1948" xr:uid="{EA4D27D9-7880-44FB-8B95-2567F44A318D}"/>
    <cellStyle name="20% - Accent6 4 2 2 2 2" xfId="3739" xr:uid="{451A643A-B771-445E-B92B-FE1D69EA4792}"/>
    <cellStyle name="20% - Accent6 4 2 2 3" xfId="2558" xr:uid="{36F7D465-4F97-4196-AE72-FC17FCFA57BC}"/>
    <cellStyle name="20% - Accent6 4 2 3" xfId="1515" xr:uid="{3C912242-504F-4C0C-93B4-CD42857E9622}"/>
    <cellStyle name="20% - Accent6 4 2 3 2" xfId="3309" xr:uid="{0D81DD33-94B6-4CC3-B4E8-7CF9365447A9}"/>
    <cellStyle name="20% - Accent6 4 2 4" xfId="2132" xr:uid="{7C9F82D7-B78E-4F10-ABFC-5B5FC09C4254}"/>
    <cellStyle name="20% - Accent6 4 3" xfId="660" xr:uid="{D73D8ED5-5D5B-4683-81AE-E6EB0E1218BB}"/>
    <cellStyle name="20% - Accent6 4 3 2" xfId="1717" xr:uid="{C6FA8968-A0CE-4FAF-8AD5-D79D1554241A}"/>
    <cellStyle name="20% - Accent6 4 3 2 2" xfId="3508" xr:uid="{D3604095-FC32-4F9D-8165-AD6CF7A296F5}"/>
    <cellStyle name="20% - Accent6 4 3 3" xfId="2557" xr:uid="{A771B722-C171-41BC-AD08-056ACEF2420D}"/>
    <cellStyle name="20% - Accent6 4 4" xfId="1273" xr:uid="{D4B8996B-9147-4C25-A820-B6AFB43D918E}"/>
    <cellStyle name="20% - Accent6 4 4 2" xfId="3088" xr:uid="{60DF09D6-C668-4BD0-B6D0-E9603F680CEE}"/>
    <cellStyle name="20% - Accent6 4 5" xfId="2131" xr:uid="{BC33921F-9D63-47C7-AEC3-54FA75C4AF33}"/>
    <cellStyle name="20% - Accent6 5" xfId="150" xr:uid="{0DB9D06A-E9EE-47D8-AFCF-A243E9679EEB}"/>
    <cellStyle name="20% - Accent6 5 2" xfId="151" xr:uid="{6C0A3D1F-4680-4FAE-B4FA-FF046385B1E2}"/>
    <cellStyle name="20% - Accent6 5 2 2" xfId="663" xr:uid="{0E98CCF2-2399-4C2B-B61D-FA81E9EBA237}"/>
    <cellStyle name="20% - Accent6 5 2 2 2" xfId="1878" xr:uid="{876A2CD7-DA96-49AC-9DF4-30AF6512F0CD}"/>
    <cellStyle name="20% - Accent6 5 2 2 2 2" xfId="3669" xr:uid="{2A471EC0-7708-4553-A7DE-B20C2B349607}"/>
    <cellStyle name="20% - Accent6 5 2 2 3" xfId="2560" xr:uid="{2E15C03D-7133-4D3F-AC97-06048A422468}"/>
    <cellStyle name="20% - Accent6 5 2 3" xfId="1445" xr:uid="{4C733156-030D-4994-8CC1-74907370D290}"/>
    <cellStyle name="20% - Accent6 5 2 3 2" xfId="3239" xr:uid="{527182D7-FD31-4EF2-8809-7E4D2E42C9DA}"/>
    <cellStyle name="20% - Accent6 5 2 4" xfId="2134" xr:uid="{BBF7D977-7040-4891-A7AF-E91AFDA8C613}"/>
    <cellStyle name="20% - Accent6 5 3" xfId="662" xr:uid="{F91CE441-2FCF-4383-BC3F-A0998AAF69B4}"/>
    <cellStyle name="20% - Accent6 5 3 2" xfId="1647" xr:uid="{9F49A8F3-D779-4FE3-874F-190DCB20302F}"/>
    <cellStyle name="20% - Accent6 5 3 2 2" xfId="3438" xr:uid="{25715ECB-3A96-4F4B-93F1-3F460AC46202}"/>
    <cellStyle name="20% - Accent6 5 3 3" xfId="2559" xr:uid="{DE50AA93-AA18-4920-92CF-A914966AA147}"/>
    <cellStyle name="20% - Accent6 5 4" xfId="1203" xr:uid="{0320C111-4C66-4CA7-BE19-333289740DE2}"/>
    <cellStyle name="20% - Accent6 5 4 2" xfId="3018" xr:uid="{3AAE8FBF-BD99-4889-8A58-C7E2721AFC49}"/>
    <cellStyle name="20% - Accent6 5 5" xfId="2133" xr:uid="{909544C3-5334-480A-A6AF-0179DFE9503B}"/>
    <cellStyle name="20% - Accent6 6" xfId="152" xr:uid="{8D085E72-D138-4FAE-BA3E-FC26EDC0FFB8}"/>
    <cellStyle name="20% - Accent6 6 2" xfId="664" xr:uid="{FEF2DD7F-A9A0-4E1B-99DC-D9036384CF9B}"/>
    <cellStyle name="20% - Accent6 6 2 2" xfId="1768" xr:uid="{863EA424-9D71-40E7-B817-CA4CE612BFF3}"/>
    <cellStyle name="20% - Accent6 6 2 2 2" xfId="3559" xr:uid="{274312FD-80A5-4C9D-93B6-9D7861096762}"/>
    <cellStyle name="20% - Accent6 6 2 3" xfId="2561" xr:uid="{778A2E84-5C1B-4B1B-9C5E-E32DBD0C64C0}"/>
    <cellStyle name="20% - Accent6 6 3" xfId="1349" xr:uid="{6401B445-CBC4-4E7D-B097-277BEEAA0D49}"/>
    <cellStyle name="20% - Accent6 6 3 2" xfId="3144" xr:uid="{60814783-32BD-48BD-9CB1-EDAD2CD11F16}"/>
    <cellStyle name="20% - Accent6 6 4" xfId="2135" xr:uid="{99F09AE6-E71D-46B9-967A-6B83C2A39E75}"/>
    <cellStyle name="20% - Accent6 7" xfId="153" xr:uid="{1B50AADE-9F4C-4B53-A5C1-D07D236CA04B}"/>
    <cellStyle name="20% - Accent6 7 2" xfId="665" xr:uid="{0E0E5BEB-4180-4FF9-A8C8-2A1A5DA50091}"/>
    <cellStyle name="20% - Accent6 7 2 2" xfId="1805" xr:uid="{F79F19E1-E7AD-4634-9D7D-64F4F4BFE934}"/>
    <cellStyle name="20% - Accent6 7 2 2 2" xfId="3596" xr:uid="{291A0BA4-3495-4CC8-8B47-C2744FB5BCE9}"/>
    <cellStyle name="20% - Accent6 7 2 3" xfId="2562" xr:uid="{D1E4A5F3-1D3F-4A1B-A772-0D5E7675FABA}"/>
    <cellStyle name="20% - Accent6 7 3" xfId="1373" xr:uid="{96B75E8D-2F54-49F4-B029-F83DBC019814}"/>
    <cellStyle name="20% - Accent6 7 3 2" xfId="3167" xr:uid="{F78EABD7-9676-4767-8AB6-5A26E7F82011}"/>
    <cellStyle name="20% - Accent6 7 4" xfId="2136" xr:uid="{AC651544-0351-4A2E-9F1A-D3F6DBBAFF5B}"/>
    <cellStyle name="20% - Accent6 8" xfId="1567" xr:uid="{4EAD0A79-4D18-4C9F-A0C4-13EE48473CB0}"/>
    <cellStyle name="20% - Accent6 8 2" xfId="3358" xr:uid="{6D038557-AB91-49C1-BC00-81AF15877557}"/>
    <cellStyle name="40% - Accent1 2" xfId="154" xr:uid="{E7D40E3C-F0C2-417B-948B-59E1495E848E}"/>
    <cellStyle name="40% - Accent1 2 2" xfId="155" xr:uid="{08B037DE-ED00-4449-AD9B-97FB2365EE51}"/>
    <cellStyle name="40% - Accent1 2 2 2" xfId="156" xr:uid="{A605F3CA-A3A8-4049-A1B4-0265FFAA56E4}"/>
    <cellStyle name="40% - Accent1 2 2 2 2" xfId="157" xr:uid="{2E97DA0C-2E86-487E-B27D-08BC85908CBD}"/>
    <cellStyle name="40% - Accent1 2 2 2 2 2" xfId="669" xr:uid="{9EF3A3D4-F518-4102-AEAF-76E8A6C727EE}"/>
    <cellStyle name="40% - Accent1 2 2 2 2 2 2" xfId="1923" xr:uid="{6AB1D5B3-C478-47D9-9F5F-288F66C483AD}"/>
    <cellStyle name="40% - Accent1 2 2 2 2 2 2 2" xfId="3714" xr:uid="{85E9FC29-EBBD-465F-B008-3099CA28FDF6}"/>
    <cellStyle name="40% - Accent1 2 2 2 2 2 3" xfId="2566" xr:uid="{5ACBBC96-DB90-46F3-9B8A-0BE88A992EC1}"/>
    <cellStyle name="40% - Accent1 2 2 2 2 3" xfId="1490" xr:uid="{373F7322-AC95-4156-AE5F-93D64FFCBA8D}"/>
    <cellStyle name="40% - Accent1 2 2 2 2 3 2" xfId="3284" xr:uid="{2D4D2C7D-5634-4369-B9F7-8616AD9DEB87}"/>
    <cellStyle name="40% - Accent1 2 2 2 2 4" xfId="2140" xr:uid="{EF4B4EFA-D31B-4C33-AE15-4F9C7368706C}"/>
    <cellStyle name="40% - Accent1 2 2 2 3" xfId="668" xr:uid="{B003C4AB-02C5-4CAA-B759-EF486E395A33}"/>
    <cellStyle name="40% - Accent1 2 2 2 3 2" xfId="1692" xr:uid="{CF84CC1D-2FAA-4891-91D0-159F6415C22B}"/>
    <cellStyle name="40% - Accent1 2 2 2 3 2 2" xfId="3483" xr:uid="{519AC6C3-B5EA-4896-806D-3CBDBE152FEE}"/>
    <cellStyle name="40% - Accent1 2 2 2 3 3" xfId="2565" xr:uid="{E6CD7A6A-D7F3-4160-A607-F0434D0864C7}"/>
    <cellStyle name="40% - Accent1 2 2 2 4" xfId="1248" xr:uid="{BEB2FEE9-DC30-4AE9-B40A-55EA6E359989}"/>
    <cellStyle name="40% - Accent1 2 2 2 4 2" xfId="3063" xr:uid="{138EEFA2-F2C6-441E-8143-C3EC9E1313BC}"/>
    <cellStyle name="40% - Accent1 2 2 2 5" xfId="2139" xr:uid="{98FCD805-4063-469F-AC6D-542604B41696}"/>
    <cellStyle name="40% - Accent1 2 2 3" xfId="158" xr:uid="{E664F6E4-7D9A-4517-AC6E-3F1751651DC4}"/>
    <cellStyle name="40% - Accent1 2 2 3 2" xfId="670" xr:uid="{10B7EA61-C3B3-4EC3-97E0-66AA12AF96FC}"/>
    <cellStyle name="40% - Accent1 2 2 3 2 2" xfId="1853" xr:uid="{6FBBA5EB-6CDB-4B84-B6DA-3F4B5F278ECC}"/>
    <cellStyle name="40% - Accent1 2 2 3 2 2 2" xfId="3644" xr:uid="{F00670CA-C7FF-4107-AC6D-37635E38E52B}"/>
    <cellStyle name="40% - Accent1 2 2 3 2 3" xfId="2567" xr:uid="{D4485339-546E-4445-8523-92C35021F2B4}"/>
    <cellStyle name="40% - Accent1 2 2 3 3" xfId="1420" xr:uid="{5F38E2D4-5F68-405D-A6D6-5B38B20C4F61}"/>
    <cellStyle name="40% - Accent1 2 2 3 3 2" xfId="3214" xr:uid="{1E5A92CA-22A9-484B-8762-1CD1E9287E99}"/>
    <cellStyle name="40% - Accent1 2 2 3 4" xfId="2141" xr:uid="{ECA5FFA4-82B1-47EC-80B1-34AEDAE31427}"/>
    <cellStyle name="40% - Accent1 2 2 4" xfId="667" xr:uid="{88561D00-D29F-43EF-BE02-A10E00480805}"/>
    <cellStyle name="40% - Accent1 2 2 4 2" xfId="1622" xr:uid="{84D3F2E3-A0F7-40D1-9F04-5088E69CA356}"/>
    <cellStyle name="40% - Accent1 2 2 4 2 2" xfId="3413" xr:uid="{2D77C9D8-C7FC-4D49-A5FC-E774B5BD8D93}"/>
    <cellStyle name="40% - Accent1 2 2 4 3" xfId="2564" xr:uid="{87EF3A46-AC62-4A87-B6A7-3D2FDBF572F3}"/>
    <cellStyle name="40% - Accent1 2 2 5" xfId="1178" xr:uid="{4A1DAE18-8B45-4C66-B471-BC9633E6301D}"/>
    <cellStyle name="40% - Accent1 2 2 5 2" xfId="2993" xr:uid="{4D0F9A86-A4F4-4276-91BB-E353908F5C14}"/>
    <cellStyle name="40% - Accent1 2 2 6" xfId="2138" xr:uid="{9DF668AD-9D6F-4FEF-8717-AC0F00C00521}"/>
    <cellStyle name="40% - Accent1 2 3" xfId="159" xr:uid="{F59C8747-140F-45CD-8410-F0AEF790DDFE}"/>
    <cellStyle name="40% - Accent1 2 3 2" xfId="160" xr:uid="{5B46C16E-2EFC-4E32-8CD5-9BDDA59E0569}"/>
    <cellStyle name="40% - Accent1 2 3 2 2" xfId="672" xr:uid="{2EC385FA-367C-473C-94BE-2B8D95D07C81}"/>
    <cellStyle name="40% - Accent1 2 3 2 2 2" xfId="1958" xr:uid="{5AFB95AA-B44E-4307-BFE9-959F6AB8A87C}"/>
    <cellStyle name="40% - Accent1 2 3 2 2 2 2" xfId="3749" xr:uid="{F1E0A852-D0DF-44AA-84A2-51CAB6973A26}"/>
    <cellStyle name="40% - Accent1 2 3 2 2 3" xfId="2569" xr:uid="{1CDA4F4C-B96B-45F0-9D67-CF5D90C5AA1C}"/>
    <cellStyle name="40% - Accent1 2 3 2 3" xfId="1525" xr:uid="{965EE8B9-C2A6-447E-9C6F-8075A9F9E28B}"/>
    <cellStyle name="40% - Accent1 2 3 2 3 2" xfId="3319" xr:uid="{63B6277A-007A-4A67-A68B-6064118099F5}"/>
    <cellStyle name="40% - Accent1 2 3 2 4" xfId="2143" xr:uid="{2C5DB33C-95C8-4377-86E5-16E4C1063550}"/>
    <cellStyle name="40% - Accent1 2 3 3" xfId="671" xr:uid="{F27ABBDB-D7A6-4AF5-B3E0-B2C0A8092BBE}"/>
    <cellStyle name="40% - Accent1 2 3 3 2" xfId="1727" xr:uid="{DAA1F6F9-A559-4410-8A7C-6A5667D6B801}"/>
    <cellStyle name="40% - Accent1 2 3 3 2 2" xfId="3518" xr:uid="{9BBC0BDF-8810-4F16-B2B4-5E712689FC0E}"/>
    <cellStyle name="40% - Accent1 2 3 3 3" xfId="2568" xr:uid="{40158CDF-64A2-42E3-997D-67A51ED0B2AF}"/>
    <cellStyle name="40% - Accent1 2 3 4" xfId="1283" xr:uid="{6C096B12-3352-4430-BFF7-C47D09CCB3BA}"/>
    <cellStyle name="40% - Accent1 2 3 4 2" xfId="3098" xr:uid="{1D073AA0-5C07-4B29-B98D-7A1BDD300956}"/>
    <cellStyle name="40% - Accent1 2 3 5" xfId="2142" xr:uid="{88379E26-2496-4E47-878C-CB4BF6AF0828}"/>
    <cellStyle name="40% - Accent1 2 4" xfId="161" xr:uid="{DD188A67-570E-485B-BE8B-9B1AA57C55C1}"/>
    <cellStyle name="40% - Accent1 2 4 2" xfId="162" xr:uid="{4CA06684-C079-45F4-A107-B161AEEB2B2F}"/>
    <cellStyle name="40% - Accent1 2 4 2 2" xfId="674" xr:uid="{495AFC34-9570-4791-B501-BC23AD6972BE}"/>
    <cellStyle name="40% - Accent1 2 4 2 2 2" xfId="1888" xr:uid="{BDC98362-48D0-4B33-951D-0453C891C546}"/>
    <cellStyle name="40% - Accent1 2 4 2 2 2 2" xfId="3679" xr:uid="{1B36851D-143A-4DA5-BF1D-4C3C84D29450}"/>
    <cellStyle name="40% - Accent1 2 4 2 2 3" xfId="2571" xr:uid="{F2C2E186-99E4-4430-BC35-5E6305B48C9F}"/>
    <cellStyle name="40% - Accent1 2 4 2 3" xfId="1455" xr:uid="{EE9222EA-FCF4-4D52-8BF7-1D63DCAC4BD0}"/>
    <cellStyle name="40% - Accent1 2 4 2 3 2" xfId="3249" xr:uid="{66B106B6-E489-4A70-8ED0-0F4BCD9DCF1E}"/>
    <cellStyle name="40% - Accent1 2 4 2 4" xfId="2145" xr:uid="{09BA3A02-58DF-4000-A6C2-F56A6E9BF864}"/>
    <cellStyle name="40% - Accent1 2 4 3" xfId="673" xr:uid="{FFD7F23E-F1ED-4A8F-B985-F3486C2F338F}"/>
    <cellStyle name="40% - Accent1 2 4 3 2" xfId="1657" xr:uid="{7111E4F0-351B-43D1-B368-9BE32E29434D}"/>
    <cellStyle name="40% - Accent1 2 4 3 2 2" xfId="3448" xr:uid="{EF95986A-FC3B-47B2-AB94-5F1D5E53DE53}"/>
    <cellStyle name="40% - Accent1 2 4 3 3" xfId="2570" xr:uid="{FD34CC6C-6368-4796-9FA6-B4D7EDFC29AA}"/>
    <cellStyle name="40% - Accent1 2 4 4" xfId="1213" xr:uid="{3425742F-40C2-4313-9B06-4BA55A5B20D4}"/>
    <cellStyle name="40% - Accent1 2 4 4 2" xfId="3028" xr:uid="{B7B82624-0A01-46CA-BE70-44DBF13EE882}"/>
    <cellStyle name="40% - Accent1 2 4 5" xfId="2144" xr:uid="{B9AF52D6-B6C6-4292-B676-FA308868BA31}"/>
    <cellStyle name="40% - Accent1 2 5" xfId="163" xr:uid="{2F521461-265C-4813-AE69-379A5B6EB4C4}"/>
    <cellStyle name="40% - Accent1 2 5 2" xfId="675" xr:uid="{421169B9-AFB8-4736-B786-9EFDF0B3074B}"/>
    <cellStyle name="40% - Accent1 2 5 2 2" xfId="1777" xr:uid="{D0978C44-C953-4665-B9D0-D036D1E84A21}"/>
    <cellStyle name="40% - Accent1 2 5 2 2 2" xfId="3568" xr:uid="{DF212936-55C0-452E-B24E-AC5D63A2E526}"/>
    <cellStyle name="40% - Accent1 2 5 2 3" xfId="2572" xr:uid="{9DED2A9E-0E66-4AC5-84F2-803A15632130}"/>
    <cellStyle name="40% - Accent1 2 5 3" xfId="1156" xr:uid="{F96187C8-D7D1-44DE-AC47-0E1550DFFA81}"/>
    <cellStyle name="40% - Accent1 2 5 3 2" xfId="2972" xr:uid="{9D61197A-CB3F-49FD-B5C5-5ACCECCB3F09}"/>
    <cellStyle name="40% - Accent1 2 5 4" xfId="2146" xr:uid="{208AE65E-D70E-45AD-B4CD-DE932D57A2D4}"/>
    <cellStyle name="40% - Accent1 2 6" xfId="164" xr:uid="{A06AD156-1DCF-4B61-A91D-CB7AB70807A8}"/>
    <cellStyle name="40% - Accent1 2 6 2" xfId="676" xr:uid="{98936B74-7C76-4814-ABC4-E7A85B1DD1F6}"/>
    <cellStyle name="40% - Accent1 2 6 2 2" xfId="1818" xr:uid="{CB10F32C-5060-48CA-AF9E-707603A3AA7E}"/>
    <cellStyle name="40% - Accent1 2 6 2 2 2" xfId="3609" xr:uid="{C1837B27-B46C-4A33-8673-1F892CE2DD52}"/>
    <cellStyle name="40% - Accent1 2 6 2 3" xfId="2573" xr:uid="{176084C0-3346-44FB-B6E7-EDA1AD511B18}"/>
    <cellStyle name="40% - Accent1 2 6 3" xfId="1386" xr:uid="{2403D299-B029-40E8-A8B7-11B9618B5D7E}"/>
    <cellStyle name="40% - Accent1 2 6 3 2" xfId="3180" xr:uid="{4D37010B-1542-4CB7-A279-0383767405BC}"/>
    <cellStyle name="40% - Accent1 2 6 4" xfId="2147" xr:uid="{E96EBB3E-5374-4AD5-9226-822844E173A8}"/>
    <cellStyle name="40% - Accent1 2 7" xfId="666" xr:uid="{77FD873D-38D3-4C47-83AD-67D1754F4ABE}"/>
    <cellStyle name="40% - Accent1 2 7 2" xfId="1587" xr:uid="{500366BA-EFB0-496A-9101-EAF606AD2BAE}"/>
    <cellStyle name="40% - Accent1 2 7 2 2" xfId="3378" xr:uid="{8404B14F-2070-4522-8D42-0BC9D1513558}"/>
    <cellStyle name="40% - Accent1 2 7 3" xfId="2563" xr:uid="{F3F69523-51E9-4BF4-9FA7-9A04619D88C4}"/>
    <cellStyle name="40% - Accent1 2 8" xfId="1067" xr:uid="{69E9DD79-9C5F-4A9A-AB2C-36AF1B708C9D}"/>
    <cellStyle name="40% - Accent1 2 8 2" xfId="2935" xr:uid="{723C0A19-8A0E-4617-AC4F-9C1FC90B69D0}"/>
    <cellStyle name="40% - Accent1 2 9" xfId="2137" xr:uid="{291EC506-8228-4FA4-A625-B46EB9D1B05C}"/>
    <cellStyle name="40% - Accent1 3" xfId="165" xr:uid="{B18D18E6-7538-4E50-B460-8908241214F4}"/>
    <cellStyle name="40% - Accent1 3 2" xfId="166" xr:uid="{EE5354A7-EBD0-41F9-8F67-E07AAE8AA486}"/>
    <cellStyle name="40% - Accent1 3 2 2" xfId="167" xr:uid="{00652602-D6D4-4604-8FB5-ECB3E6A36316}"/>
    <cellStyle name="40% - Accent1 3 2 2 2" xfId="679" xr:uid="{8A80C5D5-8FDF-4D13-890F-7A5A8A46B8EA}"/>
    <cellStyle name="40% - Accent1 3 2 2 2 2" xfId="1904" xr:uid="{EBBDAB9A-CDC1-4CC1-A941-0171AF48B0FE}"/>
    <cellStyle name="40% - Accent1 3 2 2 2 2 2" xfId="3695" xr:uid="{1CE90D12-F214-4817-9A27-65AF108FA5BD}"/>
    <cellStyle name="40% - Accent1 3 2 2 2 3" xfId="2576" xr:uid="{70FA4269-C8E4-45DF-A102-3275EE307E7B}"/>
    <cellStyle name="40% - Accent1 3 2 2 3" xfId="1471" xr:uid="{705F6D47-9523-4794-8F07-E55C33A020DC}"/>
    <cellStyle name="40% - Accent1 3 2 2 3 2" xfId="3265" xr:uid="{8B5A76CA-A745-48A4-845B-3F9EF070128E}"/>
    <cellStyle name="40% - Accent1 3 2 2 4" xfId="2150" xr:uid="{276A87AC-B534-47B0-BB62-5B531FAA0DE5}"/>
    <cellStyle name="40% - Accent1 3 2 3" xfId="678" xr:uid="{65454BE6-8FAB-4534-B38E-48CD6738442F}"/>
    <cellStyle name="40% - Accent1 3 2 3 2" xfId="1673" xr:uid="{FE17EA24-B9B6-4564-9E10-5CF65E74B919}"/>
    <cellStyle name="40% - Accent1 3 2 3 2 2" xfId="3464" xr:uid="{44EFDEBA-0122-48E7-8E82-3D42059646D7}"/>
    <cellStyle name="40% - Accent1 3 2 3 3" xfId="2575" xr:uid="{F3705F47-A80C-4AE4-BD71-C5DDB8B1BE1A}"/>
    <cellStyle name="40% - Accent1 3 2 4" xfId="1229" xr:uid="{160C54F0-5344-4332-AA61-A73154A3A9F6}"/>
    <cellStyle name="40% - Accent1 3 2 4 2" xfId="3044" xr:uid="{546D578A-E89E-492F-BB5B-511CCD358068}"/>
    <cellStyle name="40% - Accent1 3 2 5" xfId="2149" xr:uid="{7077B04B-1CD6-4FE2-94BA-050026EFD0BD}"/>
    <cellStyle name="40% - Accent1 3 3" xfId="168" xr:uid="{01E0D970-1E93-42E9-A667-652B8CD2E2CC}"/>
    <cellStyle name="40% - Accent1 3 3 2" xfId="680" xr:uid="{DC2CD267-39EC-491F-9A2D-4235899B83F8}"/>
    <cellStyle name="40% - Accent1 3 3 2 2" xfId="1834" xr:uid="{A00BCDD1-C48F-4FD3-BD11-DFDA65A8CDCD}"/>
    <cellStyle name="40% - Accent1 3 3 2 2 2" xfId="3625" xr:uid="{557F24B2-256D-4DBB-A2A5-5AD6716B83FD}"/>
    <cellStyle name="40% - Accent1 3 3 2 3" xfId="2577" xr:uid="{1B0289AB-8C94-420E-9748-1368C23B45C4}"/>
    <cellStyle name="40% - Accent1 3 3 3" xfId="1401" xr:uid="{ED48ACDC-5991-44A4-B366-DCC940166137}"/>
    <cellStyle name="40% - Accent1 3 3 3 2" xfId="3195" xr:uid="{BC9D31E3-C0BB-44A0-93BA-E9C199507220}"/>
    <cellStyle name="40% - Accent1 3 3 4" xfId="2151" xr:uid="{838F5F1F-CC19-4F20-B543-E2F749738DD9}"/>
    <cellStyle name="40% - Accent1 3 4" xfId="677" xr:uid="{8E52808C-9B3E-4BDF-B4FE-F237F760C10C}"/>
    <cellStyle name="40% - Accent1 3 4 2" xfId="1603" xr:uid="{13D7E73D-FDF7-46F2-A61B-E172F766BA89}"/>
    <cellStyle name="40% - Accent1 3 4 2 2" xfId="3394" xr:uid="{5325BAE4-9B0D-4C95-BB5D-BA2586A4180C}"/>
    <cellStyle name="40% - Accent1 3 4 3" xfId="2574" xr:uid="{A2B3DDF9-D6E2-44D3-9215-3D9305B39397}"/>
    <cellStyle name="40% - Accent1 3 5" xfId="1128" xr:uid="{6CDB49D8-8770-412E-8B64-A4F7C92206A6}"/>
    <cellStyle name="40% - Accent1 3 5 2" xfId="2951" xr:uid="{3257BA24-5BC1-40D8-9190-AF30E57781B8}"/>
    <cellStyle name="40% - Accent1 3 6" xfId="2148" xr:uid="{1040DACA-9095-45C1-ACC7-B912DA963A67}"/>
    <cellStyle name="40% - Accent1 4" xfId="169" xr:uid="{D30B976C-8C11-4370-9828-3812C3682061}"/>
    <cellStyle name="40% - Accent1 4 2" xfId="170" xr:uid="{6C86F383-29CA-4C95-BE0E-A7242D5E98B9}"/>
    <cellStyle name="40% - Accent1 4 2 2" xfId="682" xr:uid="{90F1EEE9-6503-4A9B-817F-992AAE96D669}"/>
    <cellStyle name="40% - Accent1 4 2 2 2" xfId="1939" xr:uid="{5F95B536-D6B3-4A89-BF35-3C1D8C3AF4C4}"/>
    <cellStyle name="40% - Accent1 4 2 2 2 2" xfId="3730" xr:uid="{E1B0F629-F61B-4CE1-ABF1-0BCDC25216D7}"/>
    <cellStyle name="40% - Accent1 4 2 2 3" xfId="2579" xr:uid="{33A6DC56-CE11-4E21-A997-F37D2E3674DE}"/>
    <cellStyle name="40% - Accent1 4 2 3" xfId="1506" xr:uid="{5079437D-8907-4C9C-9516-B458CDFC7D1F}"/>
    <cellStyle name="40% - Accent1 4 2 3 2" xfId="3300" xr:uid="{0377CC7C-FFBC-44BD-959A-0D272D8EF562}"/>
    <cellStyle name="40% - Accent1 4 2 4" xfId="2153" xr:uid="{622AC631-88D7-4B44-9ED8-6ADAA4D04369}"/>
    <cellStyle name="40% - Accent1 4 3" xfId="681" xr:uid="{F488D7AD-C122-4F9A-9CC0-60C560515AC3}"/>
    <cellStyle name="40% - Accent1 4 3 2" xfId="1708" xr:uid="{7F915CF3-9ED1-4B64-8091-5159850EA022}"/>
    <cellStyle name="40% - Accent1 4 3 2 2" xfId="3499" xr:uid="{4675F124-6609-471F-9773-0AA7DAD3E89B}"/>
    <cellStyle name="40% - Accent1 4 3 3" xfId="2578" xr:uid="{8C84D8D5-32CC-444E-89F2-7DFBBD1E57B3}"/>
    <cellStyle name="40% - Accent1 4 4" xfId="1264" xr:uid="{AC2CD109-8C04-45F1-A515-DF72C0B70587}"/>
    <cellStyle name="40% - Accent1 4 4 2" xfId="3079" xr:uid="{8C9129AE-591E-44A3-BA5F-E86F7DB62FF3}"/>
    <cellStyle name="40% - Accent1 4 5" xfId="2152" xr:uid="{A5B496DE-AEF1-45EB-8A20-3F073C6D47BD}"/>
    <cellStyle name="40% - Accent1 5" xfId="171" xr:uid="{AB7E96C2-C697-4064-BB96-61CA08874738}"/>
    <cellStyle name="40% - Accent1 5 2" xfId="172" xr:uid="{75495404-5DC1-45C7-B015-0E0DA8075D4C}"/>
    <cellStyle name="40% - Accent1 5 2 2" xfId="684" xr:uid="{CF282240-C2A4-44FF-9F67-83539CF90AE4}"/>
    <cellStyle name="40% - Accent1 5 2 2 2" xfId="1869" xr:uid="{67B216FD-82BC-48EB-81BC-D272EFFCCD9D}"/>
    <cellStyle name="40% - Accent1 5 2 2 2 2" xfId="3660" xr:uid="{98CB387B-87A2-412C-A713-EA928D65F5FE}"/>
    <cellStyle name="40% - Accent1 5 2 2 3" xfId="2581" xr:uid="{DF7CA593-828A-431C-BA69-041CE0D9F274}"/>
    <cellStyle name="40% - Accent1 5 2 3" xfId="1436" xr:uid="{BF5EBC58-AADB-406D-8119-3EE830E33329}"/>
    <cellStyle name="40% - Accent1 5 2 3 2" xfId="3230" xr:uid="{5843375A-652A-4FFC-820B-7FF7ACE1B64A}"/>
    <cellStyle name="40% - Accent1 5 2 4" xfId="2155" xr:uid="{9586CD29-5A0C-4F88-B869-2725A56E83D1}"/>
    <cellStyle name="40% - Accent1 5 3" xfId="683" xr:uid="{EDECADED-1495-47FD-B95D-3F994E98FFDD}"/>
    <cellStyle name="40% - Accent1 5 3 2" xfId="1638" xr:uid="{DDCB2AC1-4831-4799-9E30-4253E902813C}"/>
    <cellStyle name="40% - Accent1 5 3 2 2" xfId="3429" xr:uid="{5BFBA016-E994-4B23-BA68-A573857D336D}"/>
    <cellStyle name="40% - Accent1 5 3 3" xfId="2580" xr:uid="{BE81BA2A-F851-4F68-B82F-7980B145A677}"/>
    <cellStyle name="40% - Accent1 5 4" xfId="1194" xr:uid="{A1903B98-2D17-4074-825C-EB6EE2286B54}"/>
    <cellStyle name="40% - Accent1 5 4 2" xfId="3009" xr:uid="{91EEAC55-CE26-4A60-B992-96F3AC8C98C4}"/>
    <cellStyle name="40% - Accent1 5 5" xfId="2154" xr:uid="{EC19E6C4-954C-4352-8794-3B744CA7FB4F}"/>
    <cellStyle name="40% - Accent1 6" xfId="173" xr:uid="{9E45579C-80D4-40CC-B78D-B53C135766D1}"/>
    <cellStyle name="40% - Accent1 6 2" xfId="685" xr:uid="{37912506-3B22-4569-BC51-5AE8C838FA0C}"/>
    <cellStyle name="40% - Accent1 6 2 2" xfId="1759" xr:uid="{32E91B7C-0310-4EA8-820B-D23F00B8F1A3}"/>
    <cellStyle name="40% - Accent1 6 2 2 2" xfId="3550" xr:uid="{6B66F98B-99DA-4E74-9CE8-3C834F74CB7B}"/>
    <cellStyle name="40% - Accent1 6 2 3" xfId="2582" xr:uid="{F33E4F62-54C7-495A-AA16-8CE9362BC28C}"/>
    <cellStyle name="40% - Accent1 6 3" xfId="1340" xr:uid="{B6FC543C-E107-4A31-929A-1D0F2840DC28}"/>
    <cellStyle name="40% - Accent1 6 3 2" xfId="3135" xr:uid="{6E94FDB4-0484-4935-8670-D8E3DBF66C25}"/>
    <cellStyle name="40% - Accent1 6 4" xfId="2156" xr:uid="{22FE41BB-7576-4FA7-B317-359E697A4ACC}"/>
    <cellStyle name="40% - Accent1 7" xfId="174" xr:uid="{EF909721-BFB0-4D15-B854-45632ABFFA16}"/>
    <cellStyle name="40% - Accent1 7 2" xfId="686" xr:uid="{EF424146-1378-4F9F-8208-02590E8CA02B}"/>
    <cellStyle name="40% - Accent1 7 2 2" xfId="1796" xr:uid="{A1517165-DAAF-4640-A0EC-265763EBFB60}"/>
    <cellStyle name="40% - Accent1 7 2 2 2" xfId="3587" xr:uid="{DE50C388-463D-426B-A79A-5A593160AB94}"/>
    <cellStyle name="40% - Accent1 7 2 3" xfId="2583" xr:uid="{B343282F-5CFA-4CF5-AA59-A87FA4605584}"/>
    <cellStyle name="40% - Accent1 7 3" xfId="1364" xr:uid="{79F4C15D-12D4-4637-9F85-6FF712EA0C1E}"/>
    <cellStyle name="40% - Accent1 7 3 2" xfId="3158" xr:uid="{50C52ACD-2358-4BDA-A69A-A6729D2BE900}"/>
    <cellStyle name="40% - Accent1 7 4" xfId="2157" xr:uid="{3F54FF5F-75ED-4F0A-996B-1638E097E8BA}"/>
    <cellStyle name="40% - Accent1 8" xfId="1553" xr:uid="{9BA361D9-C2CF-46C5-BAE7-CBED380D4547}"/>
    <cellStyle name="40% - Accent1 8 2" xfId="3344" xr:uid="{7FC50260-3B81-44D8-97E6-3363911B1B43}"/>
    <cellStyle name="40% - Accent2 2" xfId="175" xr:uid="{2C1735D3-6AC6-4E92-A153-1FA3512DAF39}"/>
    <cellStyle name="40% - Accent2 2 2" xfId="176" xr:uid="{2168D759-A363-443A-A113-9AF4FB477644}"/>
    <cellStyle name="40% - Accent2 2 2 2" xfId="177" xr:uid="{E0609559-DCC3-4B37-8404-33375C43AF22}"/>
    <cellStyle name="40% - Accent2 2 2 2 2" xfId="178" xr:uid="{575EEC35-9ADF-40CC-A0DE-B51A80AFEE5A}"/>
    <cellStyle name="40% - Accent2 2 2 2 2 2" xfId="690" xr:uid="{0DADB6B0-D0CA-4DF3-90FA-A46AA7C550C6}"/>
    <cellStyle name="40% - Accent2 2 2 2 2 2 2" xfId="1925" xr:uid="{756F7AAA-E246-449E-A544-AD817171C39E}"/>
    <cellStyle name="40% - Accent2 2 2 2 2 2 2 2" xfId="3716" xr:uid="{1BC6549A-E9C2-4391-9B55-3984313E52E9}"/>
    <cellStyle name="40% - Accent2 2 2 2 2 2 3" xfId="2587" xr:uid="{690D6DDF-E800-4F1D-A84F-21AFD8B27EBE}"/>
    <cellStyle name="40% - Accent2 2 2 2 2 3" xfId="1492" xr:uid="{3E8C4138-566B-4F3F-B3DA-9CD3730190C9}"/>
    <cellStyle name="40% - Accent2 2 2 2 2 3 2" xfId="3286" xr:uid="{97FF64EE-CE56-4217-B488-E62858113786}"/>
    <cellStyle name="40% - Accent2 2 2 2 2 4" xfId="2161" xr:uid="{1A6AAFBE-994D-4C9A-9DCD-C48F250CBFB1}"/>
    <cellStyle name="40% - Accent2 2 2 2 3" xfId="689" xr:uid="{220F3C31-6BC4-401A-96DD-97698A880044}"/>
    <cellStyle name="40% - Accent2 2 2 2 3 2" xfId="1694" xr:uid="{72E35B4D-9C23-4324-8115-0CB0BC8D5DDF}"/>
    <cellStyle name="40% - Accent2 2 2 2 3 2 2" xfId="3485" xr:uid="{49B05B71-9B75-4092-B018-D627F73DEA2E}"/>
    <cellStyle name="40% - Accent2 2 2 2 3 3" xfId="2586" xr:uid="{75759CA8-C655-43CE-882C-22ABAB1F1D91}"/>
    <cellStyle name="40% - Accent2 2 2 2 4" xfId="1250" xr:uid="{4DCBAD3C-2163-4F77-945D-BD2A220524DA}"/>
    <cellStyle name="40% - Accent2 2 2 2 4 2" xfId="3065" xr:uid="{F93BB539-B9AA-4184-9B11-27C1B6864EF2}"/>
    <cellStyle name="40% - Accent2 2 2 2 5" xfId="2160" xr:uid="{7D073CCF-C15D-4E3E-AD0F-53924D028AB8}"/>
    <cellStyle name="40% - Accent2 2 2 3" xfId="179" xr:uid="{8D4CFF46-C903-4797-AE0E-8454F7E74321}"/>
    <cellStyle name="40% - Accent2 2 2 3 2" xfId="691" xr:uid="{DD6383C7-FFB6-4FDB-9F33-85B09A77984B}"/>
    <cellStyle name="40% - Accent2 2 2 3 2 2" xfId="1855" xr:uid="{2435DFE8-3453-4FBE-8EB6-A47F72E37D14}"/>
    <cellStyle name="40% - Accent2 2 2 3 2 2 2" xfId="3646" xr:uid="{3096230E-B987-48DC-8B48-150C61200EEE}"/>
    <cellStyle name="40% - Accent2 2 2 3 2 3" xfId="2588" xr:uid="{4360B457-2699-406B-975A-F9E144D0EE70}"/>
    <cellStyle name="40% - Accent2 2 2 3 3" xfId="1422" xr:uid="{AD4E8AC4-50E9-423C-9D63-CC4ADE5C6BD7}"/>
    <cellStyle name="40% - Accent2 2 2 3 3 2" xfId="3216" xr:uid="{8208FB0D-FF28-4082-97C6-20F56647F1DD}"/>
    <cellStyle name="40% - Accent2 2 2 3 4" xfId="2162" xr:uid="{44BF3E1F-A2E1-4B35-97BA-45FEEBB10782}"/>
    <cellStyle name="40% - Accent2 2 2 4" xfId="688" xr:uid="{4E3E4B56-B9E4-4E4A-AAD7-E571C016EF51}"/>
    <cellStyle name="40% - Accent2 2 2 4 2" xfId="1624" xr:uid="{026F0146-A0BC-40F6-8BBC-8C47881B7FFB}"/>
    <cellStyle name="40% - Accent2 2 2 4 2 2" xfId="3415" xr:uid="{BCABE985-80E5-4956-8242-54135C8B405A}"/>
    <cellStyle name="40% - Accent2 2 2 4 3" xfId="2585" xr:uid="{4758373B-C262-4EA8-9525-2683D118EF54}"/>
    <cellStyle name="40% - Accent2 2 2 5" xfId="1180" xr:uid="{1AC54EA4-25D2-4E6B-9067-0BCE0433B11B}"/>
    <cellStyle name="40% - Accent2 2 2 5 2" xfId="2995" xr:uid="{CE474002-D4AA-4C2A-85F9-8BBC5C85066A}"/>
    <cellStyle name="40% - Accent2 2 2 6" xfId="2159" xr:uid="{F54C9036-63F5-4CE9-87DE-AE5802036B34}"/>
    <cellStyle name="40% - Accent2 2 3" xfId="180" xr:uid="{A6CEB366-8607-452B-B563-7662D5DD3E17}"/>
    <cellStyle name="40% - Accent2 2 3 2" xfId="181" xr:uid="{EB62FDDA-B883-4A68-93F1-3E80BC88EC59}"/>
    <cellStyle name="40% - Accent2 2 3 2 2" xfId="693" xr:uid="{5F4A8940-B0D1-4874-8226-A0E1E36DC470}"/>
    <cellStyle name="40% - Accent2 2 3 2 2 2" xfId="1960" xr:uid="{ED492D1B-5F02-4470-88BB-B674095D90D3}"/>
    <cellStyle name="40% - Accent2 2 3 2 2 2 2" xfId="3751" xr:uid="{A8FF5AFA-D64D-413A-86D1-55CDFD25CBDD}"/>
    <cellStyle name="40% - Accent2 2 3 2 2 3" xfId="2590" xr:uid="{2C9FEC73-D4BC-4352-AD0F-C39A6CDC0600}"/>
    <cellStyle name="40% - Accent2 2 3 2 3" xfId="1527" xr:uid="{E468998E-C9BB-4DE1-AD05-446530BFAF81}"/>
    <cellStyle name="40% - Accent2 2 3 2 3 2" xfId="3321" xr:uid="{1834CA1B-1B43-4ECC-A537-7E6BFE51D00C}"/>
    <cellStyle name="40% - Accent2 2 3 2 4" xfId="2164" xr:uid="{876DEC15-51A8-4F8F-8C01-63AD1119A8E0}"/>
    <cellStyle name="40% - Accent2 2 3 3" xfId="692" xr:uid="{C3942A2F-397C-48F0-AE2A-32E122986A0C}"/>
    <cellStyle name="40% - Accent2 2 3 3 2" xfId="1729" xr:uid="{0B60C137-8329-42B5-8E5B-2CB7BA3C96E0}"/>
    <cellStyle name="40% - Accent2 2 3 3 2 2" xfId="3520" xr:uid="{FCA36CB2-F954-490C-9706-19FCC3D2561B}"/>
    <cellStyle name="40% - Accent2 2 3 3 3" xfId="2589" xr:uid="{FFF82064-6C8D-4D02-AB9B-9F60C54D2FB1}"/>
    <cellStyle name="40% - Accent2 2 3 4" xfId="1285" xr:uid="{CC690EB8-286B-4F36-A917-91C91BBAA5F5}"/>
    <cellStyle name="40% - Accent2 2 3 4 2" xfId="3100" xr:uid="{2D6D45FB-990E-42D8-B502-C8706CB17501}"/>
    <cellStyle name="40% - Accent2 2 3 5" xfId="2163" xr:uid="{10220387-1E78-453B-8481-094AA7F58938}"/>
    <cellStyle name="40% - Accent2 2 4" xfId="182" xr:uid="{30678F6D-D15D-46C1-A71D-85BC4EEA85B4}"/>
    <cellStyle name="40% - Accent2 2 4 2" xfId="183" xr:uid="{BFFBDDDD-1DB9-49AD-ADCC-A676060172B5}"/>
    <cellStyle name="40% - Accent2 2 4 2 2" xfId="695" xr:uid="{147E145F-86C3-4F2B-9F8C-70F1B5C8A176}"/>
    <cellStyle name="40% - Accent2 2 4 2 2 2" xfId="1890" xr:uid="{FC624283-B9E6-4D02-B97C-C00D3AAE8DA4}"/>
    <cellStyle name="40% - Accent2 2 4 2 2 2 2" xfId="3681" xr:uid="{A99044D7-BFAB-4103-B8A2-A6BDFF966C1D}"/>
    <cellStyle name="40% - Accent2 2 4 2 2 3" xfId="2592" xr:uid="{F362DC7D-6781-4011-878D-49BD87FEC993}"/>
    <cellStyle name="40% - Accent2 2 4 2 3" xfId="1457" xr:uid="{B1865939-1EF6-4211-B8D3-598D3967DFBC}"/>
    <cellStyle name="40% - Accent2 2 4 2 3 2" xfId="3251" xr:uid="{2EF8974C-044B-4FC3-AF84-DE099C422DF9}"/>
    <cellStyle name="40% - Accent2 2 4 2 4" xfId="2166" xr:uid="{CE26B085-5CA5-4ED8-860A-1F0F21021C87}"/>
    <cellStyle name="40% - Accent2 2 4 3" xfId="694" xr:uid="{6735D2DF-0EA1-49BA-B298-D1DC25853C2C}"/>
    <cellStyle name="40% - Accent2 2 4 3 2" xfId="1659" xr:uid="{B7876E5E-15C3-4B87-8149-904CE93322EC}"/>
    <cellStyle name="40% - Accent2 2 4 3 2 2" xfId="3450" xr:uid="{9E4654DA-691E-4E07-8B0D-447CB963F85B}"/>
    <cellStyle name="40% - Accent2 2 4 3 3" xfId="2591" xr:uid="{CECBB645-E4EB-4D0C-8F31-FA118C9B070D}"/>
    <cellStyle name="40% - Accent2 2 4 4" xfId="1215" xr:uid="{1DC78D3E-C092-45BB-916B-628B6056FFFD}"/>
    <cellStyle name="40% - Accent2 2 4 4 2" xfId="3030" xr:uid="{26952FBD-6645-4662-B11F-4DEB61D01056}"/>
    <cellStyle name="40% - Accent2 2 4 5" xfId="2165" xr:uid="{EAD11491-A7C7-41B5-8742-0F7F9B90AE8F}"/>
    <cellStyle name="40% - Accent2 2 5" xfId="184" xr:uid="{F96450E1-25F7-4949-A6C0-E59277C4F05F}"/>
    <cellStyle name="40% - Accent2 2 5 2" xfId="696" xr:uid="{4BB11CCA-0F48-485D-8FB7-FD94E1998E9D}"/>
    <cellStyle name="40% - Accent2 2 5 2 2" xfId="1779" xr:uid="{867A23BE-7F99-485A-AEDD-AA5614D06ECD}"/>
    <cellStyle name="40% - Accent2 2 5 2 2 2" xfId="3570" xr:uid="{727DCB46-3E2A-4DAC-92BA-39C55662A952}"/>
    <cellStyle name="40% - Accent2 2 5 2 3" xfId="2593" xr:uid="{E97B2856-7A5C-484C-B87E-76F7E6F6D9DC}"/>
    <cellStyle name="40% - Accent2 2 5 3" xfId="1356" xr:uid="{0C8DA339-2D2F-4523-9827-95E4100E51DD}"/>
    <cellStyle name="40% - Accent2 2 5 3 2" xfId="3150" xr:uid="{9283B1F5-ACE0-4DCF-AB94-B98A52452A66}"/>
    <cellStyle name="40% - Accent2 2 5 4" xfId="2167" xr:uid="{D50BBBCF-8EB0-4ADE-B718-17FA1651DC65}"/>
    <cellStyle name="40% - Accent2 2 6" xfId="185" xr:uid="{30337DAA-6382-4E3D-B072-6CF8E52F362A}"/>
    <cellStyle name="40% - Accent2 2 6 2" xfId="697" xr:uid="{814A4505-D8B6-4166-98A3-932E8BDB9B86}"/>
    <cellStyle name="40% - Accent2 2 6 2 2" xfId="1820" xr:uid="{95F3AE1F-1B56-4B4E-A3CE-C50DD7A5054F}"/>
    <cellStyle name="40% - Accent2 2 6 2 2 2" xfId="3611" xr:uid="{FE5460A2-4F8B-4EAA-8620-746117F40A00}"/>
    <cellStyle name="40% - Accent2 2 6 2 3" xfId="2594" xr:uid="{4EAD4818-A84B-46BB-8465-926FB55FD0CD}"/>
    <cellStyle name="40% - Accent2 2 6 3" xfId="1388" xr:uid="{27A83769-352E-435E-B908-36F0C49279A0}"/>
    <cellStyle name="40% - Accent2 2 6 3 2" xfId="3182" xr:uid="{699DCC8E-F1A2-481A-A69F-45E83228819C}"/>
    <cellStyle name="40% - Accent2 2 6 4" xfId="2168" xr:uid="{C3B653F1-68EB-4332-9C2B-11BB48E30476}"/>
    <cellStyle name="40% - Accent2 2 7" xfId="687" xr:uid="{55E311C0-F6AB-4F29-A285-D797A6D7EA3E}"/>
    <cellStyle name="40% - Accent2 2 7 2" xfId="1589" xr:uid="{FCF36402-79E8-4B6C-A2F1-E45C0ECCAAA8}"/>
    <cellStyle name="40% - Accent2 2 7 2 2" xfId="3380" xr:uid="{53E7B581-5692-4D73-AF8A-B5F18B5C814C}"/>
    <cellStyle name="40% - Accent2 2 7 3" xfId="2584" xr:uid="{E67ED7CA-0F72-4895-A058-D9B8A5894C05}"/>
    <cellStyle name="40% - Accent2 2 8" xfId="1122" xr:uid="{1CE9BB72-83F1-4A48-8937-0690721323FB}"/>
    <cellStyle name="40% - Accent2 2 8 2" xfId="2945" xr:uid="{D59971A6-1B43-447B-A23B-68AA4073AF62}"/>
    <cellStyle name="40% - Accent2 2 9" xfId="2158" xr:uid="{73DF7B62-1149-435C-9857-36C40BBF223E}"/>
    <cellStyle name="40% - Accent2 3" xfId="186" xr:uid="{129C0639-7B87-42BD-975F-1439E35521FD}"/>
    <cellStyle name="40% - Accent2 3 2" xfId="187" xr:uid="{EBB324DD-877D-493A-9244-C40834438A6A}"/>
    <cellStyle name="40% - Accent2 3 2 2" xfId="188" xr:uid="{B92A81E3-28FF-40CC-A5C6-76E453640DD8}"/>
    <cellStyle name="40% - Accent2 3 2 2 2" xfId="700" xr:uid="{6690D3FC-D792-4531-AAD7-7935591A286C}"/>
    <cellStyle name="40% - Accent2 3 2 2 2 2" xfId="1906" xr:uid="{8DA75BAB-9183-439F-9B77-C35E7978D7D2}"/>
    <cellStyle name="40% - Accent2 3 2 2 2 2 2" xfId="3697" xr:uid="{362A7D9E-BF2C-4EAA-AE05-CC22B6D35891}"/>
    <cellStyle name="40% - Accent2 3 2 2 2 3" xfId="2597" xr:uid="{3FA44152-9657-4AF0-A327-16C9B9A0BFB7}"/>
    <cellStyle name="40% - Accent2 3 2 2 3" xfId="1473" xr:uid="{7A729EA0-4215-4B54-A24E-DDB28204866D}"/>
    <cellStyle name="40% - Accent2 3 2 2 3 2" xfId="3267" xr:uid="{0E997AB5-071D-4978-9DDD-2DDBD4C9A04A}"/>
    <cellStyle name="40% - Accent2 3 2 2 4" xfId="2171" xr:uid="{172D7350-2958-40F2-9C47-73737A0324B5}"/>
    <cellStyle name="40% - Accent2 3 2 3" xfId="699" xr:uid="{84C8848F-3F4D-4554-A75E-DCD5B3B8C86B}"/>
    <cellStyle name="40% - Accent2 3 2 3 2" xfId="1675" xr:uid="{0C5A9562-45DB-43B2-AA25-F6DB9CD770B2}"/>
    <cellStyle name="40% - Accent2 3 2 3 2 2" xfId="3466" xr:uid="{4FDF4B86-2E3A-4A4E-A064-AC890D600F53}"/>
    <cellStyle name="40% - Accent2 3 2 3 3" xfId="2596" xr:uid="{724BC9E4-AD27-41DF-B4FB-2C2662291F25}"/>
    <cellStyle name="40% - Accent2 3 2 4" xfId="1231" xr:uid="{FEA97347-0B62-409D-B83F-EE86851C64DA}"/>
    <cellStyle name="40% - Accent2 3 2 4 2" xfId="3046" xr:uid="{042C2693-1D85-4D9C-9401-1590A2E2C853}"/>
    <cellStyle name="40% - Accent2 3 2 5" xfId="2170" xr:uid="{B72B34D3-3848-4390-A6CC-753313C7CDE0}"/>
    <cellStyle name="40% - Accent2 3 3" xfId="189" xr:uid="{977C3DF3-51B4-4D96-A9C3-6DB15D5CD325}"/>
    <cellStyle name="40% - Accent2 3 3 2" xfId="701" xr:uid="{3682737D-5B5C-4947-90CC-8EF50C04F582}"/>
    <cellStyle name="40% - Accent2 3 3 2 2" xfId="1836" xr:uid="{902835CF-07BD-4628-92EF-37D304CDF380}"/>
    <cellStyle name="40% - Accent2 3 3 2 2 2" xfId="3627" xr:uid="{44D2D83D-720C-4BEF-93F2-1E0DC49E829F}"/>
    <cellStyle name="40% - Accent2 3 3 2 3" xfId="2598" xr:uid="{BE3B8896-1A52-4289-BC1E-84D3A014CA52}"/>
    <cellStyle name="40% - Accent2 3 3 3" xfId="1403" xr:uid="{D1390E8A-9451-4773-9D83-3A4F4961FF13}"/>
    <cellStyle name="40% - Accent2 3 3 3 2" xfId="3197" xr:uid="{D5F5B4BC-8813-448F-BBC9-BD697B39A2AD}"/>
    <cellStyle name="40% - Accent2 3 3 4" xfId="2172" xr:uid="{44D2179A-D970-4EB1-A598-1D203625CC05}"/>
    <cellStyle name="40% - Accent2 3 4" xfId="698" xr:uid="{43A9366E-89A2-4FBE-95A2-D81DAB5D6382}"/>
    <cellStyle name="40% - Accent2 3 4 2" xfId="1605" xr:uid="{09110E14-CDE9-4F87-9616-E066A940E46B}"/>
    <cellStyle name="40% - Accent2 3 4 2 2" xfId="3396" xr:uid="{91ECFE97-A50B-4AB9-9FAB-C3BDDA7DA86F}"/>
    <cellStyle name="40% - Accent2 3 4 3" xfId="2595" xr:uid="{84D797EB-70FF-4AB6-95AD-CD6AE2A78E33}"/>
    <cellStyle name="40% - Accent2 3 5" xfId="1130" xr:uid="{13C6BD55-8FF6-4122-8C22-913D3DAE46C7}"/>
    <cellStyle name="40% - Accent2 3 5 2" xfId="2953" xr:uid="{96B14E38-34F9-4172-90A8-3B708424A7B9}"/>
    <cellStyle name="40% - Accent2 3 6" xfId="2169" xr:uid="{C5D5F72D-1DBE-49C3-9227-FD35352BCFC0}"/>
    <cellStyle name="40% - Accent2 4" xfId="190" xr:uid="{E1F32ADC-6022-4463-B611-DF9452F4A439}"/>
    <cellStyle name="40% - Accent2 4 2" xfId="191" xr:uid="{42D5FA19-2B30-408C-9398-DDF918714780}"/>
    <cellStyle name="40% - Accent2 4 2 2" xfId="703" xr:uid="{6FDA4147-EB65-4A05-87C7-85478287C2AA}"/>
    <cellStyle name="40% - Accent2 4 2 2 2" xfId="1941" xr:uid="{E8131F02-2F01-43B1-AA02-3DF4E797D347}"/>
    <cellStyle name="40% - Accent2 4 2 2 2 2" xfId="3732" xr:uid="{783844A5-AF2D-496C-8E47-51993CB62C64}"/>
    <cellStyle name="40% - Accent2 4 2 2 3" xfId="2600" xr:uid="{7832977C-ECDA-4A19-9FDC-F7E170AAAE44}"/>
    <cellStyle name="40% - Accent2 4 2 3" xfId="1508" xr:uid="{CEEF3BF2-E0C8-441A-BA06-447A9057E899}"/>
    <cellStyle name="40% - Accent2 4 2 3 2" xfId="3302" xr:uid="{4BD739DE-421C-476A-B03E-9647DB4E0CA0}"/>
    <cellStyle name="40% - Accent2 4 2 4" xfId="2174" xr:uid="{64379989-B426-4720-A367-C7C8F733B1DC}"/>
    <cellStyle name="40% - Accent2 4 3" xfId="702" xr:uid="{DFAD28CD-6CD9-43B1-AB53-05328D13D10A}"/>
    <cellStyle name="40% - Accent2 4 3 2" xfId="1710" xr:uid="{EC215AEE-F07E-4165-9121-C1DF34F27E62}"/>
    <cellStyle name="40% - Accent2 4 3 2 2" xfId="3501" xr:uid="{95DA9401-5DFE-4488-86FD-BD4F03394D24}"/>
    <cellStyle name="40% - Accent2 4 3 3" xfId="2599" xr:uid="{1091E0F3-D78C-44CE-B896-D36FBEEAAB27}"/>
    <cellStyle name="40% - Accent2 4 4" xfId="1266" xr:uid="{10082C63-2312-49B5-A28F-7C0151B13244}"/>
    <cellStyle name="40% - Accent2 4 4 2" xfId="3081" xr:uid="{64B85AAB-E37A-4531-929E-BAC00F4F5764}"/>
    <cellStyle name="40% - Accent2 4 5" xfId="2173" xr:uid="{31F607EB-7EDE-43FA-AB5C-D3498B73D4D4}"/>
    <cellStyle name="40% - Accent2 5" xfId="192" xr:uid="{7CD756D5-5791-46F3-BCFB-44D4981756C4}"/>
    <cellStyle name="40% - Accent2 5 2" xfId="193" xr:uid="{FF1320B6-0B4C-4B21-A460-2F82EAA06C99}"/>
    <cellStyle name="40% - Accent2 5 2 2" xfId="705" xr:uid="{6CE779B6-B32A-425F-951C-E8340BC9E0A6}"/>
    <cellStyle name="40% - Accent2 5 2 2 2" xfId="1871" xr:uid="{19D58D67-4097-4526-9CFA-251B4CE51FCC}"/>
    <cellStyle name="40% - Accent2 5 2 2 2 2" xfId="3662" xr:uid="{F2C7919A-2C66-45AC-89E3-2C0FB899D5F2}"/>
    <cellStyle name="40% - Accent2 5 2 2 3" xfId="2602" xr:uid="{1B442039-AD40-4BFE-BDB1-B541FB145F25}"/>
    <cellStyle name="40% - Accent2 5 2 3" xfId="1438" xr:uid="{AE25E8FB-53ED-41FB-9EBE-D69AAE3FC948}"/>
    <cellStyle name="40% - Accent2 5 2 3 2" xfId="3232" xr:uid="{F113E286-D0C6-4F2A-8F18-B632BE589DF4}"/>
    <cellStyle name="40% - Accent2 5 2 4" xfId="2176" xr:uid="{7672DB7A-F158-4830-82B7-254A37BAAC45}"/>
    <cellStyle name="40% - Accent2 5 3" xfId="704" xr:uid="{8E0E610A-EE5B-4A85-A14B-1074FDFAB703}"/>
    <cellStyle name="40% - Accent2 5 3 2" xfId="1640" xr:uid="{BF422FBB-DE00-4D4A-8C10-35CE64657FDC}"/>
    <cellStyle name="40% - Accent2 5 3 2 2" xfId="3431" xr:uid="{D9C51F8D-66BD-4FA4-8D39-2B1AF89CDF4F}"/>
    <cellStyle name="40% - Accent2 5 3 3" xfId="2601" xr:uid="{C78CD4AF-710D-42B6-898E-70D9C58A0FE1}"/>
    <cellStyle name="40% - Accent2 5 4" xfId="1196" xr:uid="{7BF54B09-22C8-408E-BED5-EAF14A1C3101}"/>
    <cellStyle name="40% - Accent2 5 4 2" xfId="3011" xr:uid="{4AC9F6E2-3F14-4F26-9EBC-05D3EB35AFA4}"/>
    <cellStyle name="40% - Accent2 5 5" xfId="2175" xr:uid="{E229A706-12B2-4C0A-B486-C5DA829E0F21}"/>
    <cellStyle name="40% - Accent2 6" xfId="194" xr:uid="{8AA7E5FB-F5F3-4711-9DE4-68197A223F65}"/>
    <cellStyle name="40% - Accent2 6 2" xfId="706" xr:uid="{E434EAB1-4B97-40A6-84D9-882484E7E712}"/>
    <cellStyle name="40% - Accent2 6 2 2" xfId="1761" xr:uid="{6BDC7F5C-3535-4686-95A4-3300CF8369C6}"/>
    <cellStyle name="40% - Accent2 6 2 2 2" xfId="3552" xr:uid="{835CE770-6571-4E85-9A9C-1CBD8A04C531}"/>
    <cellStyle name="40% - Accent2 6 2 3" xfId="2603" xr:uid="{F72A17C8-0C6B-4240-A357-9A705DFA681A}"/>
    <cellStyle name="40% - Accent2 6 3" xfId="1342" xr:uid="{4D75AE78-B639-4335-B842-269389044DDB}"/>
    <cellStyle name="40% - Accent2 6 3 2" xfId="3137" xr:uid="{248456DD-168F-4AA1-930B-C736D216331D}"/>
    <cellStyle name="40% - Accent2 6 4" xfId="2177" xr:uid="{E25E05AE-4BA7-4D29-8D68-4DCF69B46D97}"/>
    <cellStyle name="40% - Accent2 7" xfId="195" xr:uid="{ABF6F652-E94B-47D4-A12D-851E4FD0E7ED}"/>
    <cellStyle name="40% - Accent2 7 2" xfId="707" xr:uid="{8F7776BB-FD46-4016-A48E-08C0501A435C}"/>
    <cellStyle name="40% - Accent2 7 2 2" xfId="1798" xr:uid="{39CD8189-C761-44C9-8C54-024B7BFFBF52}"/>
    <cellStyle name="40% - Accent2 7 2 2 2" xfId="3589" xr:uid="{7941E55E-AB2F-4492-81BA-61D99489EE6C}"/>
    <cellStyle name="40% - Accent2 7 2 3" xfId="2604" xr:uid="{AB80750C-5D8B-4721-9A65-20B96F51274A}"/>
    <cellStyle name="40% - Accent2 7 3" xfId="1366" xr:uid="{B522C36E-D9F0-4A5E-B038-8051A10D688F}"/>
    <cellStyle name="40% - Accent2 7 3 2" xfId="3160" xr:uid="{32858BD2-BECF-403C-B8A2-CFE9432A699D}"/>
    <cellStyle name="40% - Accent2 7 4" xfId="2178" xr:uid="{B92F5735-3EC5-4840-9ABF-EF2E61829E9D}"/>
    <cellStyle name="40% - Accent2 8" xfId="1556" xr:uid="{A9BE70A3-6319-46FE-903C-AAE9F9BFD1F2}"/>
    <cellStyle name="40% - Accent2 8 2" xfId="3347" xr:uid="{9227ED73-EE3C-43CD-A0FF-09EE49FC7F89}"/>
    <cellStyle name="40% - Accent3 2" xfId="196" xr:uid="{CAB95969-62D9-4A2B-9A58-081610D86980}"/>
    <cellStyle name="40% - Accent3 2 2" xfId="197" xr:uid="{65D5AD9E-72C6-4DC5-B2EA-87EF43DA84D6}"/>
    <cellStyle name="40% - Accent3 2 2 2" xfId="198" xr:uid="{737DD165-E8FC-4687-965C-1B4CE655280F}"/>
    <cellStyle name="40% - Accent3 2 2 2 2" xfId="199" xr:uid="{FC2B3160-0FA9-40F5-9D28-2AB7D98F21A6}"/>
    <cellStyle name="40% - Accent3 2 2 2 2 2" xfId="711" xr:uid="{2BE10CC4-F3FF-4541-82BB-27975F25A7F5}"/>
    <cellStyle name="40% - Accent3 2 2 2 2 2 2" xfId="1927" xr:uid="{508988F1-3B7F-4470-AD99-71571A41D8A9}"/>
    <cellStyle name="40% - Accent3 2 2 2 2 2 2 2" xfId="3718" xr:uid="{E8AC5F8E-4EB6-4F5E-A1F9-0016206FEF06}"/>
    <cellStyle name="40% - Accent3 2 2 2 2 2 3" xfId="2608" xr:uid="{78C713E1-321A-43CD-B60A-943197453AA0}"/>
    <cellStyle name="40% - Accent3 2 2 2 2 3" xfId="1494" xr:uid="{327D0076-CC73-485D-99C3-D4FF26E776C8}"/>
    <cellStyle name="40% - Accent3 2 2 2 2 3 2" xfId="3288" xr:uid="{B34C8099-209C-4EB3-A4A0-328C34B47341}"/>
    <cellStyle name="40% - Accent3 2 2 2 2 4" xfId="2182" xr:uid="{49D2E08C-E419-4C0E-8F71-E036B3DEBF2B}"/>
    <cellStyle name="40% - Accent3 2 2 2 3" xfId="710" xr:uid="{95ED1EC9-B224-4625-8EC5-D264D7275E82}"/>
    <cellStyle name="40% - Accent3 2 2 2 3 2" xfId="1696" xr:uid="{7238FF0D-E38A-4FDA-98CE-FDBD215492F5}"/>
    <cellStyle name="40% - Accent3 2 2 2 3 2 2" xfId="3487" xr:uid="{08546105-27C2-44CB-A516-62F942AF23A9}"/>
    <cellStyle name="40% - Accent3 2 2 2 3 3" xfId="2607" xr:uid="{FECE88A4-F1D2-4FF3-A235-3617E90FB841}"/>
    <cellStyle name="40% - Accent3 2 2 2 4" xfId="1252" xr:uid="{8BD445C6-C754-4239-B615-1C4C1CD94976}"/>
    <cellStyle name="40% - Accent3 2 2 2 4 2" xfId="3067" xr:uid="{8066F31A-6ACA-427E-80D7-50A8AEA9C048}"/>
    <cellStyle name="40% - Accent3 2 2 2 5" xfId="2181" xr:uid="{C6ADC81B-4B14-4F5E-B6F7-B79CECE401B8}"/>
    <cellStyle name="40% - Accent3 2 2 3" xfId="200" xr:uid="{1C870BC2-997D-4E77-AA5F-42C704388D74}"/>
    <cellStyle name="40% - Accent3 2 2 3 2" xfId="712" xr:uid="{CA56D743-DFF9-43E5-86A1-4B3C891A8A11}"/>
    <cellStyle name="40% - Accent3 2 2 3 2 2" xfId="1857" xr:uid="{04BDB2CD-AF78-4E38-A269-1B4E532A66C0}"/>
    <cellStyle name="40% - Accent3 2 2 3 2 2 2" xfId="3648" xr:uid="{1D51716C-D4DF-4E3A-8255-4E1FEE52F1C1}"/>
    <cellStyle name="40% - Accent3 2 2 3 2 3" xfId="2609" xr:uid="{3A5030CB-491F-418F-9BBF-ADD246D471B6}"/>
    <cellStyle name="40% - Accent3 2 2 3 3" xfId="1424" xr:uid="{09AA1F38-09D5-4761-9D1D-8AF6CD8A3B5D}"/>
    <cellStyle name="40% - Accent3 2 2 3 3 2" xfId="3218" xr:uid="{06148EB9-2B30-452D-BCF1-69F7D395403D}"/>
    <cellStyle name="40% - Accent3 2 2 3 4" xfId="2183" xr:uid="{F05F4D7E-07DC-47C6-971C-7834D89EEEBD}"/>
    <cellStyle name="40% - Accent3 2 2 4" xfId="709" xr:uid="{E89C4DF3-748B-4680-8BCD-D80775B05BFD}"/>
    <cellStyle name="40% - Accent3 2 2 4 2" xfId="1626" xr:uid="{D8BB7329-22D0-416B-9992-7DC3FBC67B4F}"/>
    <cellStyle name="40% - Accent3 2 2 4 2 2" xfId="3417" xr:uid="{6DBD429C-7E7B-40FE-A4A2-1CFBF5F4FBD6}"/>
    <cellStyle name="40% - Accent3 2 2 4 3" xfId="2606" xr:uid="{DF83DF2E-A0C8-4495-A9CA-82E12A6D64AA}"/>
    <cellStyle name="40% - Accent3 2 2 5" xfId="1182" xr:uid="{55C40BD6-E2B9-48B5-BDDB-D42A88160031}"/>
    <cellStyle name="40% - Accent3 2 2 5 2" xfId="2997" xr:uid="{030E449D-665F-4E9F-8EA7-5D7EB2DEDC35}"/>
    <cellStyle name="40% - Accent3 2 2 6" xfId="2180" xr:uid="{CCD31A55-1DCA-414C-900A-65CAF871CB7E}"/>
    <cellStyle name="40% - Accent3 2 3" xfId="201" xr:uid="{99AFBF8A-CA0F-426F-BC7E-F6BB3628CBD5}"/>
    <cellStyle name="40% - Accent3 2 3 2" xfId="202" xr:uid="{9A775FC4-F7D3-4304-AB5D-289AB07EBFB7}"/>
    <cellStyle name="40% - Accent3 2 3 2 2" xfId="714" xr:uid="{F1633B13-36B3-4BB5-B564-56AF00C24C39}"/>
    <cellStyle name="40% - Accent3 2 3 2 2 2" xfId="1962" xr:uid="{4C16C5BC-13C4-45C6-A48C-DB74F5680237}"/>
    <cellStyle name="40% - Accent3 2 3 2 2 2 2" xfId="3753" xr:uid="{45855C8F-EB70-4F4F-8A37-BD0C5346F0D6}"/>
    <cellStyle name="40% - Accent3 2 3 2 2 3" xfId="2611" xr:uid="{15216B66-C03A-4975-B6D8-A2DA9EAB7827}"/>
    <cellStyle name="40% - Accent3 2 3 2 3" xfId="1529" xr:uid="{3B9B7028-1E6F-4978-94F2-9D121E41C609}"/>
    <cellStyle name="40% - Accent3 2 3 2 3 2" xfId="3323" xr:uid="{CC060AF6-62D4-49E3-B9D5-36422EB224D9}"/>
    <cellStyle name="40% - Accent3 2 3 2 4" xfId="2185" xr:uid="{11AC84D7-E215-4552-ACFF-2F19B7C74AD3}"/>
    <cellStyle name="40% - Accent3 2 3 3" xfId="713" xr:uid="{A5C29BBD-0D7F-4C36-99EB-E2D1492F34E9}"/>
    <cellStyle name="40% - Accent3 2 3 3 2" xfId="1731" xr:uid="{5D0DA86C-3F1D-4807-95F3-87437F4133FA}"/>
    <cellStyle name="40% - Accent3 2 3 3 2 2" xfId="3522" xr:uid="{CDD753A5-59D8-4EC0-AEAC-F537E7604152}"/>
    <cellStyle name="40% - Accent3 2 3 3 3" xfId="2610" xr:uid="{7B202095-E4C2-464B-94EC-549297D04091}"/>
    <cellStyle name="40% - Accent3 2 3 4" xfId="1287" xr:uid="{0CF7A14C-8AF8-4980-A9D8-2FF4FFAEAF05}"/>
    <cellStyle name="40% - Accent3 2 3 4 2" xfId="3102" xr:uid="{01633566-5B58-449C-9EC9-62FCB2DA8612}"/>
    <cellStyle name="40% - Accent3 2 3 5" xfId="2184" xr:uid="{51150918-6243-422D-9872-009214F0BC2B}"/>
    <cellStyle name="40% - Accent3 2 4" xfId="203" xr:uid="{588D21F7-E843-42E3-9E05-01D561619114}"/>
    <cellStyle name="40% - Accent3 2 4 2" xfId="204" xr:uid="{059ED435-9D20-4BD1-AC9C-9D50C62BDF82}"/>
    <cellStyle name="40% - Accent3 2 4 2 2" xfId="716" xr:uid="{C3155CA3-4FEE-4A0A-A413-AB0236D5E3A5}"/>
    <cellStyle name="40% - Accent3 2 4 2 2 2" xfId="1892" xr:uid="{D70B484D-2898-4485-98B0-931BE097E711}"/>
    <cellStyle name="40% - Accent3 2 4 2 2 2 2" xfId="3683" xr:uid="{C336AAB9-8CD9-4291-984A-8CC0F3E095ED}"/>
    <cellStyle name="40% - Accent3 2 4 2 2 3" xfId="2613" xr:uid="{D9E3E289-D5A5-4A81-9E02-B4FC75A64566}"/>
    <cellStyle name="40% - Accent3 2 4 2 3" xfId="1459" xr:uid="{4D8A590C-25C1-47C6-8CFD-8BE2D1CD8724}"/>
    <cellStyle name="40% - Accent3 2 4 2 3 2" xfId="3253" xr:uid="{D6EEB15C-8009-4296-9660-ADB6FDC1C367}"/>
    <cellStyle name="40% - Accent3 2 4 2 4" xfId="2187" xr:uid="{2C4417EB-B4DA-4D65-8ED4-43A71E02A103}"/>
    <cellStyle name="40% - Accent3 2 4 3" xfId="715" xr:uid="{686140AE-4B1F-4170-93C0-2ACDBB9B6F0F}"/>
    <cellStyle name="40% - Accent3 2 4 3 2" xfId="1661" xr:uid="{FC3A7DEA-00F9-4644-82C3-EC2D9991C413}"/>
    <cellStyle name="40% - Accent3 2 4 3 2 2" xfId="3452" xr:uid="{B3B113E9-3615-4E7E-ADF7-81BC078F3E6E}"/>
    <cellStyle name="40% - Accent3 2 4 3 3" xfId="2612" xr:uid="{9DE5FD65-7A30-4AB3-84DC-DB93D535870A}"/>
    <cellStyle name="40% - Accent3 2 4 4" xfId="1217" xr:uid="{ECF4B254-C437-415F-9028-8EF66A342D8E}"/>
    <cellStyle name="40% - Accent3 2 4 4 2" xfId="3032" xr:uid="{3CF902A4-C7C7-4CFF-9A33-8CEA1D17E375}"/>
    <cellStyle name="40% - Accent3 2 4 5" xfId="2186" xr:uid="{C56CFB82-4034-4D21-8D87-EFFA4EE49DDE}"/>
    <cellStyle name="40% - Accent3 2 5" xfId="205" xr:uid="{9533E2C6-3FA5-482B-A7EC-9C144431A420}"/>
    <cellStyle name="40% - Accent3 2 5 2" xfId="717" xr:uid="{BC2CD115-FB25-47CB-A787-956D52CB4542}"/>
    <cellStyle name="40% - Accent3 2 5 2 2" xfId="1781" xr:uid="{10556C38-447E-4616-AD49-0B2D86514D6C}"/>
    <cellStyle name="40% - Accent3 2 5 2 2 2" xfId="3572" xr:uid="{7B61E829-CCA1-4185-9893-68F939472F64}"/>
    <cellStyle name="40% - Accent3 2 5 2 3" xfId="2614" xr:uid="{A639B485-E350-42BA-837A-3CCB84234CCE}"/>
    <cellStyle name="40% - Accent3 2 5 3" xfId="1159" xr:uid="{45A75F56-96DB-4C55-B814-FE9764784148}"/>
    <cellStyle name="40% - Accent3 2 5 3 2" xfId="2975" xr:uid="{BEB47541-0C92-4FD5-941A-AA43248DE735}"/>
    <cellStyle name="40% - Accent3 2 5 4" xfId="2188" xr:uid="{7FE62E0A-EC70-414C-B818-5EB4FCC54927}"/>
    <cellStyle name="40% - Accent3 2 6" xfId="206" xr:uid="{B7BC895F-2E80-4E39-B0FA-FCDF16448A60}"/>
    <cellStyle name="40% - Accent3 2 6 2" xfId="718" xr:uid="{38C56EF7-C78A-445B-943A-345B591FDAB9}"/>
    <cellStyle name="40% - Accent3 2 6 2 2" xfId="1822" xr:uid="{568E8DFD-F44B-4C15-93B0-FAA7E6D88FA1}"/>
    <cellStyle name="40% - Accent3 2 6 2 2 2" xfId="3613" xr:uid="{0A9BD680-0506-490F-BEB6-1522C4350016}"/>
    <cellStyle name="40% - Accent3 2 6 2 3" xfId="2615" xr:uid="{D35F7547-74FC-461F-8F16-8A13C13B9D05}"/>
    <cellStyle name="40% - Accent3 2 6 3" xfId="1390" xr:uid="{8E08408E-3514-42C3-9A0A-131009DD79E2}"/>
    <cellStyle name="40% - Accent3 2 6 3 2" xfId="3184" xr:uid="{F0048B8B-675C-4D8C-8134-935C22EFC1B9}"/>
    <cellStyle name="40% - Accent3 2 6 4" xfId="2189" xr:uid="{D8261643-D057-466C-A42C-FC6062C4334C}"/>
    <cellStyle name="40% - Accent3 2 7" xfId="708" xr:uid="{9B2BD3B5-0D19-46D3-A686-DFA4EB206E22}"/>
    <cellStyle name="40% - Accent3 2 7 2" xfId="1591" xr:uid="{9D7A9ECA-77FE-48E3-8549-898FF85B92C8}"/>
    <cellStyle name="40% - Accent3 2 7 2 2" xfId="3382" xr:uid="{ABE237E3-8482-40A5-858E-752DB85E4F84}"/>
    <cellStyle name="40% - Accent3 2 7 3" xfId="2605" xr:uid="{232AE12B-E815-4CEE-8661-F57750A0174E}"/>
    <cellStyle name="40% - Accent3 2 8" xfId="1066" xr:uid="{1C81BA39-1244-4827-980B-3B486B29B1FC}"/>
    <cellStyle name="40% - Accent3 2 8 2" xfId="2934" xr:uid="{02D720D5-7F13-4D94-B3D2-4BCE73E363B0}"/>
    <cellStyle name="40% - Accent3 2 9" xfId="2179" xr:uid="{02B8C3EF-81CC-493D-ACB3-38F9DD1A1318}"/>
    <cellStyle name="40% - Accent3 3" xfId="207" xr:uid="{7D9FF579-FCE9-4A73-815F-075BFF33C186}"/>
    <cellStyle name="40% - Accent3 3 2" xfId="208" xr:uid="{8C0A7FF9-9938-48E2-9C1B-36CF740FFC8C}"/>
    <cellStyle name="40% - Accent3 3 2 2" xfId="209" xr:uid="{3BB8D4F9-6260-4320-9097-EA6E1D2913DB}"/>
    <cellStyle name="40% - Accent3 3 2 2 2" xfId="721" xr:uid="{2F561C4D-04A1-4CA4-9C8E-A42051AD4B87}"/>
    <cellStyle name="40% - Accent3 3 2 2 2 2" xfId="1908" xr:uid="{EA15FE9E-912B-4725-9481-7500EC79AEFD}"/>
    <cellStyle name="40% - Accent3 3 2 2 2 2 2" xfId="3699" xr:uid="{47276331-420D-4238-9654-E392446B879E}"/>
    <cellStyle name="40% - Accent3 3 2 2 2 3" xfId="2618" xr:uid="{BC1DEBCB-5E55-4529-941B-3B8D2561AB05}"/>
    <cellStyle name="40% - Accent3 3 2 2 3" xfId="1475" xr:uid="{53C05A20-AF2E-42B5-8558-07F732F79CBC}"/>
    <cellStyle name="40% - Accent3 3 2 2 3 2" xfId="3269" xr:uid="{62E469EC-395D-4F32-8D7C-D19EFA09ADD7}"/>
    <cellStyle name="40% - Accent3 3 2 2 4" xfId="2192" xr:uid="{9E39E8C6-1345-4051-A288-ED59FF2615BE}"/>
    <cellStyle name="40% - Accent3 3 2 3" xfId="720" xr:uid="{094CB1ED-8833-453C-915B-5CEE6394859C}"/>
    <cellStyle name="40% - Accent3 3 2 3 2" xfId="1677" xr:uid="{7AC02552-9D7B-46C2-A28A-C78158F1D931}"/>
    <cellStyle name="40% - Accent3 3 2 3 2 2" xfId="3468" xr:uid="{AA9388D7-F25B-4452-8785-25FC5D8CC254}"/>
    <cellStyle name="40% - Accent3 3 2 3 3" xfId="2617" xr:uid="{42582A88-5992-44A2-A226-4877430C5EA0}"/>
    <cellStyle name="40% - Accent3 3 2 4" xfId="1233" xr:uid="{E355C8C5-988A-4747-89AE-81B175D49215}"/>
    <cellStyle name="40% - Accent3 3 2 4 2" xfId="3048" xr:uid="{5C9CD6C2-1D5E-4578-919B-495B08426DEF}"/>
    <cellStyle name="40% - Accent3 3 2 5" xfId="2191" xr:uid="{DDCC2EAD-1CFF-4C98-8744-D761AFDAC4AB}"/>
    <cellStyle name="40% - Accent3 3 3" xfId="210" xr:uid="{B2F5F3B5-7F71-4EA7-82F1-66DFB448A9C4}"/>
    <cellStyle name="40% - Accent3 3 3 2" xfId="722" xr:uid="{4DD94F41-4EFB-41E1-98E2-7EEC43EE12A3}"/>
    <cellStyle name="40% - Accent3 3 3 2 2" xfId="1838" xr:uid="{7FC923AA-3A9A-46F1-A7C4-BA3370B5E0D7}"/>
    <cellStyle name="40% - Accent3 3 3 2 2 2" xfId="3629" xr:uid="{4FF8B023-BA6F-4BD3-86E5-5AEC6EED12D4}"/>
    <cellStyle name="40% - Accent3 3 3 2 3" xfId="2619" xr:uid="{1E9EAC85-8126-4F38-8069-7C681705044A}"/>
    <cellStyle name="40% - Accent3 3 3 3" xfId="1405" xr:uid="{C4F5FC5C-3B25-461A-A733-41CE28E62CD6}"/>
    <cellStyle name="40% - Accent3 3 3 3 2" xfId="3199" xr:uid="{7C0652D8-2B01-41AF-8791-7FE2FC0BD0E6}"/>
    <cellStyle name="40% - Accent3 3 3 4" xfId="2193" xr:uid="{6B4D399F-8E6F-4EF7-8F71-B225E68483D8}"/>
    <cellStyle name="40% - Accent3 3 4" xfId="719" xr:uid="{AD2247C3-F1D7-4E02-87D3-0344987BDD6E}"/>
    <cellStyle name="40% - Accent3 3 4 2" xfId="1607" xr:uid="{06A13813-A387-48BB-B29B-CA39100A4615}"/>
    <cellStyle name="40% - Accent3 3 4 2 2" xfId="3398" xr:uid="{EBD3DDF4-9D36-4EB8-8F50-0E0EC4EB714E}"/>
    <cellStyle name="40% - Accent3 3 4 3" xfId="2616" xr:uid="{C02AD8ED-5D4C-4C09-B855-AD21AFFAA0DB}"/>
    <cellStyle name="40% - Accent3 3 5" xfId="1132" xr:uid="{EEA4E807-9EC8-437D-8A26-5F4D3B0C1216}"/>
    <cellStyle name="40% - Accent3 3 5 2" xfId="2955" xr:uid="{5895F56F-FA73-4EA8-85E7-DCC0A53A4DC8}"/>
    <cellStyle name="40% - Accent3 3 6" xfId="2190" xr:uid="{B405DE79-94AC-47F2-B1C0-B6401F9C85AD}"/>
    <cellStyle name="40% - Accent3 4" xfId="211" xr:uid="{E51F2AB8-F94F-4C1D-9E44-9F76FC370C3F}"/>
    <cellStyle name="40% - Accent3 4 2" xfId="212" xr:uid="{EF2F4DED-35EC-41C1-A9CA-C2DE1D6B1B7A}"/>
    <cellStyle name="40% - Accent3 4 2 2" xfId="724" xr:uid="{326939F9-18FF-4F51-ABAF-7D5B1FBC4027}"/>
    <cellStyle name="40% - Accent3 4 2 2 2" xfId="1943" xr:uid="{BCF127BC-56C2-40F5-853D-A255EB54DA8A}"/>
    <cellStyle name="40% - Accent3 4 2 2 2 2" xfId="3734" xr:uid="{F7C03BCF-23BC-4DB1-8FC0-B8A92C4DBBB6}"/>
    <cellStyle name="40% - Accent3 4 2 2 3" xfId="2621" xr:uid="{422BDF21-7258-488E-BFA8-9DE413FE5E2C}"/>
    <cellStyle name="40% - Accent3 4 2 3" xfId="1510" xr:uid="{DCBDFBFC-1940-4528-BC2D-5866B8FD1427}"/>
    <cellStyle name="40% - Accent3 4 2 3 2" xfId="3304" xr:uid="{6392F22C-D65A-40E0-8571-7B776790CD82}"/>
    <cellStyle name="40% - Accent3 4 2 4" xfId="2195" xr:uid="{1F2B2038-F61B-44B8-A4FC-34418D868E36}"/>
    <cellStyle name="40% - Accent3 4 3" xfId="723" xr:uid="{B4B10669-CCF1-4975-8081-29A5355A1E74}"/>
    <cellStyle name="40% - Accent3 4 3 2" xfId="1712" xr:uid="{893236A9-4A84-4210-BC4A-56076112E9ED}"/>
    <cellStyle name="40% - Accent3 4 3 2 2" xfId="3503" xr:uid="{BE657897-E026-49C9-82E8-E5C3B303C761}"/>
    <cellStyle name="40% - Accent3 4 3 3" xfId="2620" xr:uid="{A5AB4645-D047-4EA4-9CF9-1875C3AEADA4}"/>
    <cellStyle name="40% - Accent3 4 4" xfId="1268" xr:uid="{9B39B345-64E2-416D-A637-7765A95108F7}"/>
    <cellStyle name="40% - Accent3 4 4 2" xfId="3083" xr:uid="{1004BF06-1FC7-4DB0-A705-62FE5CBC5820}"/>
    <cellStyle name="40% - Accent3 4 5" xfId="2194" xr:uid="{9ADA687E-EA44-4881-8D67-F5ECE69BF735}"/>
    <cellStyle name="40% - Accent3 5" xfId="213" xr:uid="{EAD326A1-2080-40EE-87DA-2B209B02C1E2}"/>
    <cellStyle name="40% - Accent3 5 2" xfId="214" xr:uid="{12FCC2CC-627E-42B7-8FA5-D482673BCA38}"/>
    <cellStyle name="40% - Accent3 5 2 2" xfId="726" xr:uid="{31242637-1660-4F88-8037-A4FDD41A4909}"/>
    <cellStyle name="40% - Accent3 5 2 2 2" xfId="1873" xr:uid="{E74F7216-82DD-465C-A67D-286A783EB4A3}"/>
    <cellStyle name="40% - Accent3 5 2 2 2 2" xfId="3664" xr:uid="{2A637266-EEDA-4640-89D6-8C1500762519}"/>
    <cellStyle name="40% - Accent3 5 2 2 3" xfId="2623" xr:uid="{EB53A8A1-D3D6-4131-AA8F-682375CDEEBC}"/>
    <cellStyle name="40% - Accent3 5 2 3" xfId="1440" xr:uid="{5487C04F-2D97-4072-8E37-6C5CA4678615}"/>
    <cellStyle name="40% - Accent3 5 2 3 2" xfId="3234" xr:uid="{CD0A11CE-BE30-4CB7-B46D-9B330EF86876}"/>
    <cellStyle name="40% - Accent3 5 2 4" xfId="2197" xr:uid="{060430D2-32B0-403B-BD94-6D1D7F11B146}"/>
    <cellStyle name="40% - Accent3 5 3" xfId="725" xr:uid="{E3753EBB-8D68-4170-8F5F-5F0D06884320}"/>
    <cellStyle name="40% - Accent3 5 3 2" xfId="1642" xr:uid="{DED246D3-34DA-4D2B-827B-5C7B9BEAF7BA}"/>
    <cellStyle name="40% - Accent3 5 3 2 2" xfId="3433" xr:uid="{7C45FA15-512C-492A-92EE-2A6C864323A2}"/>
    <cellStyle name="40% - Accent3 5 3 3" xfId="2622" xr:uid="{67998A7B-450B-4D8A-9532-EF8308F28FCA}"/>
    <cellStyle name="40% - Accent3 5 4" xfId="1198" xr:uid="{13F54EC3-7B28-4527-9858-94F8B33E6DA9}"/>
    <cellStyle name="40% - Accent3 5 4 2" xfId="3013" xr:uid="{5CCCD7AB-D1D2-4BA5-A4D3-14E3B12830A1}"/>
    <cellStyle name="40% - Accent3 5 5" xfId="2196" xr:uid="{B9B82B0D-5118-4784-AC67-9A07F9E5BA47}"/>
    <cellStyle name="40% - Accent3 6" xfId="215" xr:uid="{726CBA7C-F382-4D8C-99FB-6165CA326A2B}"/>
    <cellStyle name="40% - Accent3 6 2" xfId="727" xr:uid="{99CB297B-CB73-4E59-ABE3-21C6DFB17B04}"/>
    <cellStyle name="40% - Accent3 6 2 2" xfId="1763" xr:uid="{325E0DDF-9885-4E4E-917C-1B7514D98205}"/>
    <cellStyle name="40% - Accent3 6 2 2 2" xfId="3554" xr:uid="{6DB88C49-FA55-4E59-B13C-72278719C775}"/>
    <cellStyle name="40% - Accent3 6 2 3" xfId="2624" xr:uid="{BE782B2E-5E0B-4ECE-BD52-378833F1AD5D}"/>
    <cellStyle name="40% - Accent3 6 3" xfId="1344" xr:uid="{F22994D6-DCCF-4119-B80A-A5F0C3A7AECE}"/>
    <cellStyle name="40% - Accent3 6 3 2" xfId="3139" xr:uid="{923DD120-D977-406B-9AA7-9DC267BC38B3}"/>
    <cellStyle name="40% - Accent3 6 4" xfId="2198" xr:uid="{0129C9D2-60C0-4C0D-BCC9-D07569679D56}"/>
    <cellStyle name="40% - Accent3 7" xfId="216" xr:uid="{CDC92E30-7115-4DE5-9E7B-350018C65224}"/>
    <cellStyle name="40% - Accent3 7 2" xfId="728" xr:uid="{2AB3AA31-2059-48F6-9C61-8F234131702E}"/>
    <cellStyle name="40% - Accent3 7 2 2" xfId="1800" xr:uid="{CD697451-AC03-47E1-9A96-ED23E7A918E7}"/>
    <cellStyle name="40% - Accent3 7 2 2 2" xfId="3591" xr:uid="{79624DD4-2CFF-4934-809D-15389195FC34}"/>
    <cellStyle name="40% - Accent3 7 2 3" xfId="2625" xr:uid="{D5A6BA50-3B5B-4600-AEF2-42D41617BF81}"/>
    <cellStyle name="40% - Accent3 7 3" xfId="1368" xr:uid="{3917E50F-D489-4D56-B129-BF6D0920A421}"/>
    <cellStyle name="40% - Accent3 7 3 2" xfId="3162" xr:uid="{71CD8636-47BE-44E8-935D-DAD11D4CEA5F}"/>
    <cellStyle name="40% - Accent3 7 4" xfId="2199" xr:uid="{AC788A08-0240-4EE3-8613-846E5D5E7466}"/>
    <cellStyle name="40% - Accent3 8" xfId="1559" xr:uid="{C182D4C0-1FDB-4F65-81CB-7939E3E164D9}"/>
    <cellStyle name="40% - Accent3 8 2" xfId="3350" xr:uid="{1BF48618-BB0C-4F0A-9C6A-951E6DEC9277}"/>
    <cellStyle name="40% - Accent4 2" xfId="217" xr:uid="{0E56077E-7372-47B4-9E7D-84DAC585FBC6}"/>
    <cellStyle name="40% - Accent4 2 2" xfId="218" xr:uid="{7EC26139-4F08-489E-8BFA-066342E9DC70}"/>
    <cellStyle name="40% - Accent4 2 2 2" xfId="219" xr:uid="{2038FC1F-CCCB-407E-BFAB-211D465B502E}"/>
    <cellStyle name="40% - Accent4 2 2 2 2" xfId="220" xr:uid="{1814F3A4-1359-4B62-9712-A53DA1B01539}"/>
    <cellStyle name="40% - Accent4 2 2 2 2 2" xfId="732" xr:uid="{5B91DA62-E95D-4F45-A1FB-783A38A2C2D4}"/>
    <cellStyle name="40% - Accent4 2 2 2 2 2 2" xfId="1929" xr:uid="{7CA1D3A0-D40F-43D1-B5A2-3F5FCEE09D37}"/>
    <cellStyle name="40% - Accent4 2 2 2 2 2 2 2" xfId="3720" xr:uid="{D4EF8A02-F3A5-4431-A8F0-A8074E463D48}"/>
    <cellStyle name="40% - Accent4 2 2 2 2 2 3" xfId="2629" xr:uid="{1F070410-B8FC-4C09-A22E-A70C824A0F28}"/>
    <cellStyle name="40% - Accent4 2 2 2 2 3" xfId="1496" xr:uid="{0DBD8980-63F0-4E93-8D94-9D2B561D3AE1}"/>
    <cellStyle name="40% - Accent4 2 2 2 2 3 2" xfId="3290" xr:uid="{48BEAEE6-4503-4DA7-BF05-E7C7BBB6F496}"/>
    <cellStyle name="40% - Accent4 2 2 2 2 4" xfId="2203" xr:uid="{543E6D5C-4DF5-4F91-BF02-CC76FBD0765E}"/>
    <cellStyle name="40% - Accent4 2 2 2 3" xfId="731" xr:uid="{79DB6504-853E-4754-8193-08DD3BAA84B1}"/>
    <cellStyle name="40% - Accent4 2 2 2 3 2" xfId="1698" xr:uid="{9F57296D-47EC-4E83-92A1-62015F6029A5}"/>
    <cellStyle name="40% - Accent4 2 2 2 3 2 2" xfId="3489" xr:uid="{4BBB4643-472B-41CD-BB8F-51EA04EB5293}"/>
    <cellStyle name="40% - Accent4 2 2 2 3 3" xfId="2628" xr:uid="{C6DAE1A6-0062-44D3-8AAD-CC356B8448B9}"/>
    <cellStyle name="40% - Accent4 2 2 2 4" xfId="1254" xr:uid="{8E2792FE-4FC4-4D6C-9563-FBEC710A61CB}"/>
    <cellStyle name="40% - Accent4 2 2 2 4 2" xfId="3069" xr:uid="{35488E70-6522-41C0-A555-D7BE58216E36}"/>
    <cellStyle name="40% - Accent4 2 2 2 5" xfId="2202" xr:uid="{D748E829-6FEA-4C06-80BC-0470A7A013CE}"/>
    <cellStyle name="40% - Accent4 2 2 3" xfId="221" xr:uid="{AED44F01-97CA-490E-A7E3-1E1906DBA7F3}"/>
    <cellStyle name="40% - Accent4 2 2 3 2" xfId="733" xr:uid="{90F17E0C-5D1C-4861-BCDE-7DA710760334}"/>
    <cellStyle name="40% - Accent4 2 2 3 2 2" xfId="1859" xr:uid="{1A23B2F3-1964-4F1E-A8E6-F918717D881D}"/>
    <cellStyle name="40% - Accent4 2 2 3 2 2 2" xfId="3650" xr:uid="{41288836-B1C3-4222-B029-88807894F6D7}"/>
    <cellStyle name="40% - Accent4 2 2 3 2 3" xfId="2630" xr:uid="{7FD60525-9E5E-4384-8720-97C200297DB2}"/>
    <cellStyle name="40% - Accent4 2 2 3 3" xfId="1426" xr:uid="{728DD52F-EF36-4C97-8C6B-C0E521BA297D}"/>
    <cellStyle name="40% - Accent4 2 2 3 3 2" xfId="3220" xr:uid="{54E76BCC-96A7-4578-8FF2-D00EFC0ED412}"/>
    <cellStyle name="40% - Accent4 2 2 3 4" xfId="2204" xr:uid="{05AA6A20-9757-40E5-A5F6-0FDBFC24F72F}"/>
    <cellStyle name="40% - Accent4 2 2 4" xfId="730" xr:uid="{785E6FAC-F370-4A36-BB3C-B73BDC22A03D}"/>
    <cellStyle name="40% - Accent4 2 2 4 2" xfId="1628" xr:uid="{DE4298AC-B623-4318-92BC-952046E75F5E}"/>
    <cellStyle name="40% - Accent4 2 2 4 2 2" xfId="3419" xr:uid="{A39E7A1A-54E2-4FCC-BFDD-7BEFACC164C8}"/>
    <cellStyle name="40% - Accent4 2 2 4 3" xfId="2627" xr:uid="{2E5B9BA6-E6F8-4F0C-A5CB-AEBA8C4D2F8C}"/>
    <cellStyle name="40% - Accent4 2 2 5" xfId="1184" xr:uid="{C3E1678C-D753-46DC-9AB0-D57391B386A6}"/>
    <cellStyle name="40% - Accent4 2 2 5 2" xfId="2999" xr:uid="{BDC54704-25D3-43A4-B0B3-8E1909AF702B}"/>
    <cellStyle name="40% - Accent4 2 2 6" xfId="2201" xr:uid="{878296CA-CD4D-4B7E-8D06-FF2663F688C0}"/>
    <cellStyle name="40% - Accent4 2 3" xfId="222" xr:uid="{657742BC-3A76-4C68-B58B-966D199D55F7}"/>
    <cellStyle name="40% - Accent4 2 3 2" xfId="223" xr:uid="{71DFFA70-F65D-4556-B193-D1B825ECAD01}"/>
    <cellStyle name="40% - Accent4 2 3 2 2" xfId="735" xr:uid="{83BFC9BD-1860-4BE4-B25D-25D7322B8B6D}"/>
    <cellStyle name="40% - Accent4 2 3 2 2 2" xfId="1964" xr:uid="{550861A2-29DE-4CAC-8CE7-4399A5821279}"/>
    <cellStyle name="40% - Accent4 2 3 2 2 2 2" xfId="3755" xr:uid="{DB02E4EE-50F1-4496-A56E-A44F23A2C8E7}"/>
    <cellStyle name="40% - Accent4 2 3 2 2 3" xfId="2632" xr:uid="{32F18E26-4743-491F-855D-6EB7270F24CD}"/>
    <cellStyle name="40% - Accent4 2 3 2 3" xfId="1531" xr:uid="{5B3DA27B-C072-4C8C-A3D8-E070CC988140}"/>
    <cellStyle name="40% - Accent4 2 3 2 3 2" xfId="3325" xr:uid="{8EBE70AE-3492-4B3F-A425-4D14D0689874}"/>
    <cellStyle name="40% - Accent4 2 3 2 4" xfId="2206" xr:uid="{4827DBC7-8FCB-4158-A1A2-7F4ED5C6F4E9}"/>
    <cellStyle name="40% - Accent4 2 3 3" xfId="734" xr:uid="{F24B5D9F-2A8A-4250-90A0-B73BB212A2DF}"/>
    <cellStyle name="40% - Accent4 2 3 3 2" xfId="1733" xr:uid="{73982D55-E2E4-4443-A0FF-D45268F99EF4}"/>
    <cellStyle name="40% - Accent4 2 3 3 2 2" xfId="3524" xr:uid="{C982A2C1-ECE4-4F06-A7E7-89286C5058FB}"/>
    <cellStyle name="40% - Accent4 2 3 3 3" xfId="2631" xr:uid="{C1214547-52E3-4240-AF98-0B242B3EC142}"/>
    <cellStyle name="40% - Accent4 2 3 4" xfId="1289" xr:uid="{A8ABE133-3BE6-42D3-9F2A-483F72793918}"/>
    <cellStyle name="40% - Accent4 2 3 4 2" xfId="3104" xr:uid="{405E38F0-C18A-4A9E-9957-D704D036CAE7}"/>
    <cellStyle name="40% - Accent4 2 3 5" xfId="2205" xr:uid="{A1405AC4-FC91-4473-8750-61DAB3E80379}"/>
    <cellStyle name="40% - Accent4 2 4" xfId="224" xr:uid="{19B327F3-66F8-43EB-A366-E7DAAF751FA4}"/>
    <cellStyle name="40% - Accent4 2 4 2" xfId="225" xr:uid="{1950AC24-59C8-4EAA-B9CC-A6F24D0339A0}"/>
    <cellStyle name="40% - Accent4 2 4 2 2" xfId="737" xr:uid="{933BB592-BF90-40FA-B759-9ADDB3FF4CBF}"/>
    <cellStyle name="40% - Accent4 2 4 2 2 2" xfId="1894" xr:uid="{B300FFE4-4904-40DC-A8C9-096435A87871}"/>
    <cellStyle name="40% - Accent4 2 4 2 2 2 2" xfId="3685" xr:uid="{28FFE390-6585-4DA8-861E-1D86F4C8E5D7}"/>
    <cellStyle name="40% - Accent4 2 4 2 2 3" xfId="2634" xr:uid="{CC3D785F-1D70-4F7C-8221-FDB931E6A418}"/>
    <cellStyle name="40% - Accent4 2 4 2 3" xfId="1461" xr:uid="{4B3C03EE-1C56-436D-B768-D0573C55E58A}"/>
    <cellStyle name="40% - Accent4 2 4 2 3 2" xfId="3255" xr:uid="{3D4132F0-32CE-4971-842B-87EF90975848}"/>
    <cellStyle name="40% - Accent4 2 4 2 4" xfId="2208" xr:uid="{9EE312CB-7DB8-446E-A1AE-D74EAFB047EA}"/>
    <cellStyle name="40% - Accent4 2 4 3" xfId="736" xr:uid="{5B7CFF78-DC51-49FD-B0B9-2A04631D7F13}"/>
    <cellStyle name="40% - Accent4 2 4 3 2" xfId="1663" xr:uid="{2FF6B1A0-6994-4EFB-95B2-D47A5401DA7B}"/>
    <cellStyle name="40% - Accent4 2 4 3 2 2" xfId="3454" xr:uid="{3AA5FF10-2247-4711-89F9-74031234371E}"/>
    <cellStyle name="40% - Accent4 2 4 3 3" xfId="2633" xr:uid="{BBB37C8E-8B7C-46AA-8F81-A31635FC9BCC}"/>
    <cellStyle name="40% - Accent4 2 4 4" xfId="1219" xr:uid="{4DE3934B-9DFA-4CBF-92AB-EC77A62BBF9A}"/>
    <cellStyle name="40% - Accent4 2 4 4 2" xfId="3034" xr:uid="{69DFBBBC-6F63-420B-B4FE-95B468CE3C44}"/>
    <cellStyle name="40% - Accent4 2 4 5" xfId="2207" xr:uid="{E778B254-B11D-44C5-A4EC-7BD960473C17}"/>
    <cellStyle name="40% - Accent4 2 5" xfId="226" xr:uid="{9FEF7E66-77E7-46C5-9591-332F5E9504FE}"/>
    <cellStyle name="40% - Accent4 2 5 2" xfId="738" xr:uid="{C7BBC7CD-BAFE-4CA3-92EA-3DA8D9873F47}"/>
    <cellStyle name="40% - Accent4 2 5 2 2" xfId="1783" xr:uid="{F5E4730A-4A22-4018-946E-66BEB477A6CA}"/>
    <cellStyle name="40% - Accent4 2 5 2 2 2" xfId="3574" xr:uid="{7495FB57-35B9-4211-9BE1-006928CABAF2}"/>
    <cellStyle name="40% - Accent4 2 5 2 3" xfId="2635" xr:uid="{3113FE42-389F-4F91-9B31-17DD186DB52E}"/>
    <cellStyle name="40% - Accent4 2 5 3" xfId="1161" xr:uid="{1583665D-567A-41DC-B549-4EDC7DAA1A28}"/>
    <cellStyle name="40% - Accent4 2 5 3 2" xfId="2977" xr:uid="{67E8DE3B-0FCF-48D2-8AFB-D32CEFB4575B}"/>
    <cellStyle name="40% - Accent4 2 5 4" xfId="2209" xr:uid="{073A7E72-465B-4712-98C8-CD86C280B7EC}"/>
    <cellStyle name="40% - Accent4 2 6" xfId="227" xr:uid="{D7C13DFF-A398-476B-ACE3-334BDF2D80E6}"/>
    <cellStyle name="40% - Accent4 2 6 2" xfId="739" xr:uid="{49A5F027-3E8D-4FD8-9869-B1B35DBB30C3}"/>
    <cellStyle name="40% - Accent4 2 6 2 2" xfId="1824" xr:uid="{CF2FA8CD-6C4C-4903-ACBE-7DA8218F82FF}"/>
    <cellStyle name="40% - Accent4 2 6 2 2 2" xfId="3615" xr:uid="{329F4B8A-7DC5-4A37-8652-59E7919097BB}"/>
    <cellStyle name="40% - Accent4 2 6 2 3" xfId="2636" xr:uid="{C8634A13-1C60-4D03-A79B-F82F0C347172}"/>
    <cellStyle name="40% - Accent4 2 6 3" xfId="1392" xr:uid="{69BA168B-1162-4515-8A1A-D0B3C2530500}"/>
    <cellStyle name="40% - Accent4 2 6 3 2" xfId="3186" xr:uid="{2B310081-326B-4AF1-BADB-97877B6AA27E}"/>
    <cellStyle name="40% - Accent4 2 6 4" xfId="2210" xr:uid="{FFCD7978-880D-4064-9C24-E0F1E9FC3839}"/>
    <cellStyle name="40% - Accent4 2 7" xfId="729" xr:uid="{806BBE91-4BB8-462D-946C-1C15F20CF809}"/>
    <cellStyle name="40% - Accent4 2 7 2" xfId="1593" xr:uid="{C1070366-ED31-40BE-83C7-FC67820B4A77}"/>
    <cellStyle name="40% - Accent4 2 7 2 2" xfId="3384" xr:uid="{BFC3B4CC-5D63-4F9F-8841-3947C01D0090}"/>
    <cellStyle name="40% - Accent4 2 7 3" xfId="2626" xr:uid="{32DDB76F-7377-47FB-9905-F0E325C874B2}"/>
    <cellStyle name="40% - Accent4 2 8" xfId="1069" xr:uid="{E864D105-622F-423E-8C44-22EA6D104482}"/>
    <cellStyle name="40% - Accent4 2 8 2" xfId="2937" xr:uid="{92949D7B-9DAE-4762-98D7-6C1B458BE133}"/>
    <cellStyle name="40% - Accent4 2 9" xfId="2200" xr:uid="{985D6448-6844-463F-92C4-744634DD4AE5}"/>
    <cellStyle name="40% - Accent4 3" xfId="228" xr:uid="{3D13060F-E651-4503-8D67-0FDFA6A0C710}"/>
    <cellStyle name="40% - Accent4 3 2" xfId="229" xr:uid="{E07A6788-36F8-414B-B8D5-BAAEFC346B2E}"/>
    <cellStyle name="40% - Accent4 3 2 2" xfId="230" xr:uid="{E055E6E9-026A-4632-BB73-20C1A6BE6680}"/>
    <cellStyle name="40% - Accent4 3 2 2 2" xfId="742" xr:uid="{CAD82D64-FEB2-4CE1-BF6F-B59A02B5B47D}"/>
    <cellStyle name="40% - Accent4 3 2 2 2 2" xfId="1910" xr:uid="{8439F89A-20A3-4F7A-A122-D6EFF861C9F7}"/>
    <cellStyle name="40% - Accent4 3 2 2 2 2 2" xfId="3701" xr:uid="{20170043-E4F7-42A4-B4C0-7FF481FEFA59}"/>
    <cellStyle name="40% - Accent4 3 2 2 2 3" xfId="2639" xr:uid="{860CF7D9-F686-4502-935D-A6780F873C3F}"/>
    <cellStyle name="40% - Accent4 3 2 2 3" xfId="1477" xr:uid="{38BAD02B-B25C-4A22-8075-4DD3D3881D85}"/>
    <cellStyle name="40% - Accent4 3 2 2 3 2" xfId="3271" xr:uid="{08F31F04-0C61-4AC2-A0E8-1E72429F4592}"/>
    <cellStyle name="40% - Accent4 3 2 2 4" xfId="2213" xr:uid="{9A5BF85F-3763-4FBA-86EF-362EC265B0EB}"/>
    <cellStyle name="40% - Accent4 3 2 3" xfId="741" xr:uid="{CC90BFD3-1F1E-43C2-B20C-61F97A22B08B}"/>
    <cellStyle name="40% - Accent4 3 2 3 2" xfId="1679" xr:uid="{43ABD2A3-0ADE-4DA5-997B-8CE815E223F1}"/>
    <cellStyle name="40% - Accent4 3 2 3 2 2" xfId="3470" xr:uid="{59A4174B-46CD-4FD4-89C8-29FE56BD1A56}"/>
    <cellStyle name="40% - Accent4 3 2 3 3" xfId="2638" xr:uid="{EB1953C5-9B30-4751-8713-F7DCBBC252B3}"/>
    <cellStyle name="40% - Accent4 3 2 4" xfId="1235" xr:uid="{8B977C09-0004-482A-8013-C7E7A3687F15}"/>
    <cellStyle name="40% - Accent4 3 2 4 2" xfId="3050" xr:uid="{DA4B512C-325B-4F55-AC4B-9C20B8531CF6}"/>
    <cellStyle name="40% - Accent4 3 2 5" xfId="2212" xr:uid="{4FC40D41-DD12-43BB-8643-93A34ACBE0D4}"/>
    <cellStyle name="40% - Accent4 3 3" xfId="231" xr:uid="{56C772DA-979A-46B5-9DF7-37FB073A4930}"/>
    <cellStyle name="40% - Accent4 3 3 2" xfId="743" xr:uid="{6A20E7C4-8C74-432B-B3DE-DEF344B553A7}"/>
    <cellStyle name="40% - Accent4 3 3 2 2" xfId="1840" xr:uid="{D30BADE3-D96E-48D1-8147-7E9EF135362B}"/>
    <cellStyle name="40% - Accent4 3 3 2 2 2" xfId="3631" xr:uid="{3443B7BF-109C-4CDF-983A-B7B7B1F2D439}"/>
    <cellStyle name="40% - Accent4 3 3 2 3" xfId="2640" xr:uid="{5CB6EC4C-AE06-49E7-97BC-A2C806E7D160}"/>
    <cellStyle name="40% - Accent4 3 3 3" xfId="1407" xr:uid="{9237506E-31D8-4EF8-A3B4-FDCCDEA4A44D}"/>
    <cellStyle name="40% - Accent4 3 3 3 2" xfId="3201" xr:uid="{36326EEA-AE7C-4BB6-AB4E-DF6B2857FD10}"/>
    <cellStyle name="40% - Accent4 3 3 4" xfId="2214" xr:uid="{F548E9D5-C93F-4A8B-9425-5BFD3505AB3B}"/>
    <cellStyle name="40% - Accent4 3 4" xfId="740" xr:uid="{A5B0B899-4F76-4180-B9F8-B3B05D7175F4}"/>
    <cellStyle name="40% - Accent4 3 4 2" xfId="1609" xr:uid="{B3056451-2E18-495C-A814-98D7C498F24E}"/>
    <cellStyle name="40% - Accent4 3 4 2 2" xfId="3400" xr:uid="{BF86B0D3-E099-4039-9222-0ABECBFC2218}"/>
    <cellStyle name="40% - Accent4 3 4 3" xfId="2637" xr:uid="{766166A0-735B-41E9-9FD8-0737E84474AA}"/>
    <cellStyle name="40% - Accent4 3 5" xfId="1134" xr:uid="{3ACF55FE-4ECF-4994-9B42-A9F6884F5E6C}"/>
    <cellStyle name="40% - Accent4 3 5 2" xfId="2957" xr:uid="{E007A1DA-545A-4AF5-A2CD-739F9FF0B58B}"/>
    <cellStyle name="40% - Accent4 3 6" xfId="2211" xr:uid="{0C6494D1-9D80-4B5C-A6C1-C414F16ACF8E}"/>
    <cellStyle name="40% - Accent4 4" xfId="232" xr:uid="{049170D7-1F49-4DCC-A089-7EBEDCF3BCBE}"/>
    <cellStyle name="40% - Accent4 4 2" xfId="233" xr:uid="{F61049A0-8B1F-42C8-8D84-D7E7F2AD610C}"/>
    <cellStyle name="40% - Accent4 4 2 2" xfId="745" xr:uid="{2A6EE8E6-5DDB-4974-B664-00FD2AF0096F}"/>
    <cellStyle name="40% - Accent4 4 2 2 2" xfId="1945" xr:uid="{C263ABF8-5CD0-43FE-9F73-B6C24A73E6E2}"/>
    <cellStyle name="40% - Accent4 4 2 2 2 2" xfId="3736" xr:uid="{9C0403F7-1A4A-43B7-8A82-AB771EBBC2D1}"/>
    <cellStyle name="40% - Accent4 4 2 2 3" xfId="2642" xr:uid="{733AF9AA-6200-4311-B30D-4C29CAF6C806}"/>
    <cellStyle name="40% - Accent4 4 2 3" xfId="1512" xr:uid="{B5AFBA97-FB77-41B5-BEDA-20E541C32FF6}"/>
    <cellStyle name="40% - Accent4 4 2 3 2" xfId="3306" xr:uid="{CB1300A4-485D-4EA3-91C0-E3841598943E}"/>
    <cellStyle name="40% - Accent4 4 2 4" xfId="2216" xr:uid="{88B2C186-6030-4C04-A5FC-587691F928AC}"/>
    <cellStyle name="40% - Accent4 4 3" xfId="744" xr:uid="{540700F4-ADD5-42B6-9229-F0F0F591ED0B}"/>
    <cellStyle name="40% - Accent4 4 3 2" xfId="1714" xr:uid="{B621CF4C-EB53-488E-9149-A3B0B90C01DE}"/>
    <cellStyle name="40% - Accent4 4 3 2 2" xfId="3505" xr:uid="{21328377-B368-499D-99D9-C8CBA3E3358E}"/>
    <cellStyle name="40% - Accent4 4 3 3" xfId="2641" xr:uid="{ACD386A6-1BE8-4FE1-9BC2-BA1AF1926C74}"/>
    <cellStyle name="40% - Accent4 4 4" xfId="1270" xr:uid="{B1F0FE87-B1F4-4684-B851-425F6861FA43}"/>
    <cellStyle name="40% - Accent4 4 4 2" xfId="3085" xr:uid="{1EE33A27-E696-4938-93EE-D767D71487B6}"/>
    <cellStyle name="40% - Accent4 4 5" xfId="2215" xr:uid="{390B9B5D-8EB5-46C9-9803-9DC32E8A52A0}"/>
    <cellStyle name="40% - Accent4 5" xfId="234" xr:uid="{0EE79698-5F71-4246-B50A-042BBB30094F}"/>
    <cellStyle name="40% - Accent4 5 2" xfId="235" xr:uid="{2336B5C5-843C-4FD0-BA7C-362F4C461B52}"/>
    <cellStyle name="40% - Accent4 5 2 2" xfId="747" xr:uid="{29553C21-52A3-44F1-A04D-41EB55759E10}"/>
    <cellStyle name="40% - Accent4 5 2 2 2" xfId="1875" xr:uid="{1CDD2498-6635-4584-A848-0488CFF40F58}"/>
    <cellStyle name="40% - Accent4 5 2 2 2 2" xfId="3666" xr:uid="{11A79388-D167-4C61-88AA-1F31225A99BE}"/>
    <cellStyle name="40% - Accent4 5 2 2 3" xfId="2644" xr:uid="{895E845B-56BE-46D0-9E2E-45582A292455}"/>
    <cellStyle name="40% - Accent4 5 2 3" xfId="1442" xr:uid="{9C2C4768-91C9-46D8-B5CA-AC785D2BD650}"/>
    <cellStyle name="40% - Accent4 5 2 3 2" xfId="3236" xr:uid="{31A93CB3-9D83-4606-8B64-1156346F9B1F}"/>
    <cellStyle name="40% - Accent4 5 2 4" xfId="2218" xr:uid="{FD2E6130-3038-45E4-8E1B-F087589A8753}"/>
    <cellStyle name="40% - Accent4 5 3" xfId="746" xr:uid="{91349328-9A3F-418E-A129-0A5733F73874}"/>
    <cellStyle name="40% - Accent4 5 3 2" xfId="1644" xr:uid="{89FD7A60-3E6C-41BB-AAC2-A5EFE292E6E6}"/>
    <cellStyle name="40% - Accent4 5 3 2 2" xfId="3435" xr:uid="{07092C64-7078-43DB-97F2-D540CCD45D6D}"/>
    <cellStyle name="40% - Accent4 5 3 3" xfId="2643" xr:uid="{2FFFD0E3-DE70-49BB-B5D8-EC15F3F60849}"/>
    <cellStyle name="40% - Accent4 5 4" xfId="1200" xr:uid="{723D480F-8816-4B58-9DBD-037D8C21848F}"/>
    <cellStyle name="40% - Accent4 5 4 2" xfId="3015" xr:uid="{844CC04B-35BE-4AC8-A32A-4B335EA5B4FF}"/>
    <cellStyle name="40% - Accent4 5 5" xfId="2217" xr:uid="{D295C87A-521F-4D20-9FF4-45FCFA763D2E}"/>
    <cellStyle name="40% - Accent4 6" xfId="236" xr:uid="{53468FC2-028B-483C-B92E-1EFF2F6DD5C3}"/>
    <cellStyle name="40% - Accent4 6 2" xfId="748" xr:uid="{0DA937DD-B77D-4CCD-B6B7-5B84CB95D671}"/>
    <cellStyle name="40% - Accent4 6 2 2" xfId="1765" xr:uid="{38315457-3B20-45F4-A49B-B30BD08168DA}"/>
    <cellStyle name="40% - Accent4 6 2 2 2" xfId="3556" xr:uid="{FA042A8A-8AAF-49E9-A9D7-20652BEE3FE2}"/>
    <cellStyle name="40% - Accent4 6 2 3" xfId="2645" xr:uid="{7D29D1CD-918D-489C-8FAD-B04371EB8B29}"/>
    <cellStyle name="40% - Accent4 6 3" xfId="1346" xr:uid="{62556CBC-968D-4FB9-8DD9-0F311C3A9C5F}"/>
    <cellStyle name="40% - Accent4 6 3 2" xfId="3141" xr:uid="{F8111B00-C6D9-48C6-9245-A601698DE83F}"/>
    <cellStyle name="40% - Accent4 6 4" xfId="2219" xr:uid="{47151393-367C-4EB7-9CEF-92A86E0A9042}"/>
    <cellStyle name="40% - Accent4 7" xfId="237" xr:uid="{5EB3C764-F301-4573-83E2-31B9D3414BE4}"/>
    <cellStyle name="40% - Accent4 7 2" xfId="749" xr:uid="{D6AEADF1-1665-427A-9A7A-7D68558B3013}"/>
    <cellStyle name="40% - Accent4 7 2 2" xfId="1802" xr:uid="{9F928B82-BDC4-45DA-8022-807A6A89726D}"/>
    <cellStyle name="40% - Accent4 7 2 2 2" xfId="3593" xr:uid="{95A36F7F-315F-4182-AEBB-CC2FEC4AFB86}"/>
    <cellStyle name="40% - Accent4 7 2 3" xfId="2646" xr:uid="{9ACC9939-7463-49CD-A9B0-79B70F892DB6}"/>
    <cellStyle name="40% - Accent4 7 3" xfId="1370" xr:uid="{54E5284A-40B0-4A2E-B00D-F57E08D64B63}"/>
    <cellStyle name="40% - Accent4 7 3 2" xfId="3164" xr:uid="{D8D89460-DF47-4619-AA2D-55D1A663FC8A}"/>
    <cellStyle name="40% - Accent4 7 4" xfId="2220" xr:uid="{79F547D2-8E98-4D26-85EF-9F41EF353E37}"/>
    <cellStyle name="40% - Accent4 8" xfId="1562" xr:uid="{88ACF84A-AC17-4439-B895-7B8B16DA8B64}"/>
    <cellStyle name="40% - Accent4 8 2" xfId="3353" xr:uid="{77CFDA7B-BC6C-40D6-9A2F-EB71BFA10CC7}"/>
    <cellStyle name="40% - Accent5 2" xfId="238" xr:uid="{3E257363-218C-4BAE-855C-58EA2316ED6B}"/>
    <cellStyle name="40% - Accent5 2 2" xfId="239" xr:uid="{F19DADEA-3CEA-45AD-8062-94D4C03D9D35}"/>
    <cellStyle name="40% - Accent5 2 2 2" xfId="240" xr:uid="{A46CD9B8-86F6-4F9D-9B7F-CCA838768472}"/>
    <cellStyle name="40% - Accent5 2 2 2 2" xfId="241" xr:uid="{F03CA725-FE51-435A-9CAE-2CA6C1371EBF}"/>
    <cellStyle name="40% - Accent5 2 2 2 2 2" xfId="753" xr:uid="{4962E6FD-4E60-4B48-9B48-CE5284889866}"/>
    <cellStyle name="40% - Accent5 2 2 2 2 2 2" xfId="1931" xr:uid="{0670E604-58F9-4658-9044-FE51E3F69301}"/>
    <cellStyle name="40% - Accent5 2 2 2 2 2 2 2" xfId="3722" xr:uid="{6F96EA96-3883-441A-8AAC-57AB371CB6B6}"/>
    <cellStyle name="40% - Accent5 2 2 2 2 2 3" xfId="2650" xr:uid="{A3A50ABF-15D5-459A-9466-A327F2A2CBB4}"/>
    <cellStyle name="40% - Accent5 2 2 2 2 3" xfId="1498" xr:uid="{7C51C6E1-9D45-4C8C-B4C5-4EAD731E0B12}"/>
    <cellStyle name="40% - Accent5 2 2 2 2 3 2" xfId="3292" xr:uid="{0221AFC6-AEA8-48C3-A1DA-593566C556F4}"/>
    <cellStyle name="40% - Accent5 2 2 2 2 4" xfId="2224" xr:uid="{57288C7A-5C8F-4B1D-A125-40F883814F72}"/>
    <cellStyle name="40% - Accent5 2 2 2 3" xfId="752" xr:uid="{0FE2BB73-91E9-492C-B8D3-5CD4184E12DC}"/>
    <cellStyle name="40% - Accent5 2 2 2 3 2" xfId="1700" xr:uid="{595AC6BA-5D52-4336-98D5-B8A13553D3F5}"/>
    <cellStyle name="40% - Accent5 2 2 2 3 2 2" xfId="3491" xr:uid="{DDF40225-1D56-46B3-8EE5-DFE5E89A5E6B}"/>
    <cellStyle name="40% - Accent5 2 2 2 3 3" xfId="2649" xr:uid="{77A60F88-D6A9-4C4A-AA41-1206DCFFEEE3}"/>
    <cellStyle name="40% - Accent5 2 2 2 4" xfId="1256" xr:uid="{1DBAC21B-0B8E-4CA7-BE1A-38BD062A7FBE}"/>
    <cellStyle name="40% - Accent5 2 2 2 4 2" xfId="3071" xr:uid="{8B631FE2-9B7C-4185-B025-55641F8E439A}"/>
    <cellStyle name="40% - Accent5 2 2 2 5" xfId="2223" xr:uid="{99533810-BDE9-4EAC-B273-00D1C95DC245}"/>
    <cellStyle name="40% - Accent5 2 2 3" xfId="242" xr:uid="{DD100B15-D50F-412C-A97A-F6CD93FBCF68}"/>
    <cellStyle name="40% - Accent5 2 2 3 2" xfId="754" xr:uid="{DE508FB8-88E3-4039-BABE-43CA45ECE338}"/>
    <cellStyle name="40% - Accent5 2 2 3 2 2" xfId="1861" xr:uid="{334F7C60-0318-4AB1-91AE-085FA4155922}"/>
    <cellStyle name="40% - Accent5 2 2 3 2 2 2" xfId="3652" xr:uid="{44EB20D1-615E-49CF-A6F8-2284C12D4A5F}"/>
    <cellStyle name="40% - Accent5 2 2 3 2 3" xfId="2651" xr:uid="{18AFB5B1-26F9-4C18-AFDB-BEDBAB2927F4}"/>
    <cellStyle name="40% - Accent5 2 2 3 3" xfId="1428" xr:uid="{C5715093-F590-4B5F-9F68-C242E8E07C44}"/>
    <cellStyle name="40% - Accent5 2 2 3 3 2" xfId="3222" xr:uid="{0241584E-3832-44EA-816B-BE7AE148B150}"/>
    <cellStyle name="40% - Accent5 2 2 3 4" xfId="2225" xr:uid="{FF57819A-D2E6-413B-912C-FF8AEE87622C}"/>
    <cellStyle name="40% - Accent5 2 2 4" xfId="751" xr:uid="{5E42FE4D-CA04-4CCB-B848-0DCB39AF000C}"/>
    <cellStyle name="40% - Accent5 2 2 4 2" xfId="1630" xr:uid="{AEEA4405-37D1-4A93-84D4-4F73D9F9D223}"/>
    <cellStyle name="40% - Accent5 2 2 4 2 2" xfId="3421" xr:uid="{20D6DA05-AD5D-41C9-87EB-F44548EAB75E}"/>
    <cellStyle name="40% - Accent5 2 2 4 3" xfId="2648" xr:uid="{5C50229C-A4FA-424E-BEBE-3EF54F3DB79E}"/>
    <cellStyle name="40% - Accent5 2 2 5" xfId="1186" xr:uid="{98372D91-9F6B-4A7C-86F9-8F04A403E309}"/>
    <cellStyle name="40% - Accent5 2 2 5 2" xfId="3001" xr:uid="{94EFB83D-7119-4120-8962-590178978820}"/>
    <cellStyle name="40% - Accent5 2 2 6" xfId="2222" xr:uid="{A24B12CF-65EA-4AAF-8A11-145C05FB50D2}"/>
    <cellStyle name="40% - Accent5 2 3" xfId="243" xr:uid="{D4998BA1-4E95-49FE-A55C-E4CC5445B548}"/>
    <cellStyle name="40% - Accent5 2 3 2" xfId="244" xr:uid="{519D1CDF-63AF-45D4-8A19-0A888943252E}"/>
    <cellStyle name="40% - Accent5 2 3 2 2" xfId="756" xr:uid="{5EEE8261-7144-4E4B-B4A4-FF4F43A9C0CB}"/>
    <cellStyle name="40% - Accent5 2 3 2 2 2" xfId="1966" xr:uid="{F573244C-4C7E-4CD4-9140-F3EE9F97D8AA}"/>
    <cellStyle name="40% - Accent5 2 3 2 2 2 2" xfId="3757" xr:uid="{10221124-7AAD-44A5-B9B6-5E01E98CDFF4}"/>
    <cellStyle name="40% - Accent5 2 3 2 2 3" xfId="2653" xr:uid="{0C36EEC4-4CFA-436C-A30E-2DDA96774F26}"/>
    <cellStyle name="40% - Accent5 2 3 2 3" xfId="1533" xr:uid="{A61319A7-FB3F-4105-A6E8-C8E73F8FFD49}"/>
    <cellStyle name="40% - Accent5 2 3 2 3 2" xfId="3327" xr:uid="{2E2D6CD1-F68D-406F-8F4A-5E36AA45C75A}"/>
    <cellStyle name="40% - Accent5 2 3 2 4" xfId="2227" xr:uid="{4BA58D33-727E-4C53-AB78-DE5566A3E40B}"/>
    <cellStyle name="40% - Accent5 2 3 3" xfId="755" xr:uid="{6A78D09F-A9D4-4237-BDA1-B3136FF12721}"/>
    <cellStyle name="40% - Accent5 2 3 3 2" xfId="1735" xr:uid="{295E1576-FA84-4438-AA06-7C48C6ED7BAC}"/>
    <cellStyle name="40% - Accent5 2 3 3 2 2" xfId="3526" xr:uid="{5BE8406F-0164-48BB-9504-44C07CD39943}"/>
    <cellStyle name="40% - Accent5 2 3 3 3" xfId="2652" xr:uid="{E0DEFAE9-06E0-4D2E-99D4-D28602E9868B}"/>
    <cellStyle name="40% - Accent5 2 3 4" xfId="1291" xr:uid="{3F2A8227-15F0-444B-87DD-7BDD486DEAEC}"/>
    <cellStyle name="40% - Accent5 2 3 4 2" xfId="3106" xr:uid="{95189FC7-6716-486A-B208-91533BBF04B8}"/>
    <cellStyle name="40% - Accent5 2 3 5" xfId="2226" xr:uid="{AEB972EF-6A3F-4383-A94F-98E6D396964E}"/>
    <cellStyle name="40% - Accent5 2 4" xfId="245" xr:uid="{C2436437-9B70-492B-B5F2-23040FC29262}"/>
    <cellStyle name="40% - Accent5 2 4 2" xfId="246" xr:uid="{2DE8CD3F-91F0-4636-969D-640040E9D59E}"/>
    <cellStyle name="40% - Accent5 2 4 2 2" xfId="758" xr:uid="{8CD32996-CD0D-4642-9185-2903DA6DFFED}"/>
    <cellStyle name="40% - Accent5 2 4 2 2 2" xfId="1896" xr:uid="{54B2E162-AF56-44D7-9293-B98A4C925A13}"/>
    <cellStyle name="40% - Accent5 2 4 2 2 2 2" xfId="3687" xr:uid="{5D2E2151-DA70-458B-B0B3-3B3400112432}"/>
    <cellStyle name="40% - Accent5 2 4 2 2 3" xfId="2655" xr:uid="{FAF51AB2-E3C5-4DB0-B97E-670FAF880E92}"/>
    <cellStyle name="40% - Accent5 2 4 2 3" xfId="1463" xr:uid="{1DB4C6F8-64A3-47A4-A02E-2E548CDBC657}"/>
    <cellStyle name="40% - Accent5 2 4 2 3 2" xfId="3257" xr:uid="{98F5E7A3-060A-444D-8428-AC8246FEFB8A}"/>
    <cellStyle name="40% - Accent5 2 4 2 4" xfId="2229" xr:uid="{FE06E19E-9C95-4EEF-82C3-55C5840508E0}"/>
    <cellStyle name="40% - Accent5 2 4 3" xfId="757" xr:uid="{D43C8C0B-5BF8-43AB-81D4-76895C91E161}"/>
    <cellStyle name="40% - Accent5 2 4 3 2" xfId="1665" xr:uid="{AA6A326C-FF34-41ED-BA20-3175F4A8F1B4}"/>
    <cellStyle name="40% - Accent5 2 4 3 2 2" xfId="3456" xr:uid="{2B886EF8-8614-4E42-B915-269A622D287B}"/>
    <cellStyle name="40% - Accent5 2 4 3 3" xfId="2654" xr:uid="{B79A7BD3-5FBF-43F2-99DC-9AC4F5304746}"/>
    <cellStyle name="40% - Accent5 2 4 4" xfId="1221" xr:uid="{805D87E7-B43D-48DF-89B0-9D3BE5574A66}"/>
    <cellStyle name="40% - Accent5 2 4 4 2" xfId="3036" xr:uid="{5A3F4D3F-9253-4D76-ABE4-829EBA6A06D9}"/>
    <cellStyle name="40% - Accent5 2 4 5" xfId="2228" xr:uid="{661E8AA8-037F-4303-A68A-7C4CEDFED152}"/>
    <cellStyle name="40% - Accent5 2 5" xfId="247" xr:uid="{250B4B01-5F9F-449E-9D70-252250F2278D}"/>
    <cellStyle name="40% - Accent5 2 5 2" xfId="759" xr:uid="{29181AAC-AD39-4331-927D-22085DEFBE5C}"/>
    <cellStyle name="40% - Accent5 2 5 2 2" xfId="1785" xr:uid="{350B9DED-76CD-4DFD-BAC9-E393C27DA466}"/>
    <cellStyle name="40% - Accent5 2 5 2 2 2" xfId="3576" xr:uid="{D518919D-5879-41A4-8C92-68B487911654}"/>
    <cellStyle name="40% - Accent5 2 5 2 3" xfId="2656" xr:uid="{ADA6D22C-2F46-4D43-BFEE-19CA21BEC179}"/>
    <cellStyle name="40% - Accent5 2 5 3" xfId="1162" xr:uid="{9B2118A9-BD42-4EC9-9F24-4B151BF30887}"/>
    <cellStyle name="40% - Accent5 2 5 3 2" xfId="2978" xr:uid="{DA0D4677-4206-4E6C-8A13-68DF88F9D37A}"/>
    <cellStyle name="40% - Accent5 2 5 4" xfId="2230" xr:uid="{DF3CE0CF-25AB-41D1-94ED-ECCB4DB4D9A4}"/>
    <cellStyle name="40% - Accent5 2 6" xfId="248" xr:uid="{B089625E-6D4E-4F72-B08E-0D634A98787C}"/>
    <cellStyle name="40% - Accent5 2 6 2" xfId="760" xr:uid="{6614487F-FE4B-4716-AC85-7F3298CEACFE}"/>
    <cellStyle name="40% - Accent5 2 6 2 2" xfId="1826" xr:uid="{757E5DF7-1819-4DA4-AD07-B2F9F34E1879}"/>
    <cellStyle name="40% - Accent5 2 6 2 2 2" xfId="3617" xr:uid="{379917AD-F9B7-4C0E-AEE8-131DA218419C}"/>
    <cellStyle name="40% - Accent5 2 6 2 3" xfId="2657" xr:uid="{B8003754-3382-480A-A346-BBB7669B8855}"/>
    <cellStyle name="40% - Accent5 2 6 3" xfId="1394" xr:uid="{FB6F8789-B324-4500-8045-25E3F383AF63}"/>
    <cellStyle name="40% - Accent5 2 6 3 2" xfId="3188" xr:uid="{4C748857-5C8B-4D50-AB8B-B802EC9DBE1E}"/>
    <cellStyle name="40% - Accent5 2 6 4" xfId="2231" xr:uid="{BB68C156-B68C-4A9A-B9B9-8A14033F6DAE}"/>
    <cellStyle name="40% - Accent5 2 7" xfId="750" xr:uid="{0FA54E29-A605-48A6-8690-9587E42D9EFA}"/>
    <cellStyle name="40% - Accent5 2 7 2" xfId="1595" xr:uid="{496D4A0D-01A6-4B92-952E-CBF216CC6DCE}"/>
    <cellStyle name="40% - Accent5 2 7 2 2" xfId="3386" xr:uid="{FE5CA6FF-E54B-4A16-B3E7-0FE4A516D931}"/>
    <cellStyle name="40% - Accent5 2 7 3" xfId="2647" xr:uid="{C387D7B1-1B0C-4F1E-8C6E-76ADF475EEDF}"/>
    <cellStyle name="40% - Accent5 2 8" xfId="1075" xr:uid="{B4CCE0E6-165E-4527-B721-067313DEE165}"/>
    <cellStyle name="40% - Accent5 2 8 2" xfId="2940" xr:uid="{28354854-9C03-4498-8634-8180FBAB20C7}"/>
    <cellStyle name="40% - Accent5 2 9" xfId="2221" xr:uid="{A120FABB-7DD6-48FF-A971-D54BDBFA33AD}"/>
    <cellStyle name="40% - Accent5 3" xfId="249" xr:uid="{A9105B54-777C-41B6-BCE3-5362A24E3EB3}"/>
    <cellStyle name="40% - Accent5 3 2" xfId="250" xr:uid="{7C2854CD-82B4-4054-B8B2-18D8D424ECAF}"/>
    <cellStyle name="40% - Accent5 3 2 2" xfId="251" xr:uid="{5F0123BB-3B24-46A7-A3D2-BB5F1440A816}"/>
    <cellStyle name="40% - Accent5 3 2 2 2" xfId="763" xr:uid="{E8112C17-BD37-45C4-93BA-4BF1CFCF860C}"/>
    <cellStyle name="40% - Accent5 3 2 2 2 2" xfId="1912" xr:uid="{D98B09D3-5C92-4FE0-9ABD-BAB8CA0F5EF5}"/>
    <cellStyle name="40% - Accent5 3 2 2 2 2 2" xfId="3703" xr:uid="{B9EE7778-D786-459F-BE11-DD1D3D9881B9}"/>
    <cellStyle name="40% - Accent5 3 2 2 2 3" xfId="2660" xr:uid="{95B67E18-939C-4455-8652-1E74681E4D85}"/>
    <cellStyle name="40% - Accent5 3 2 2 3" xfId="1479" xr:uid="{9E8C46BC-80CA-4A6C-8293-CB1DC4414479}"/>
    <cellStyle name="40% - Accent5 3 2 2 3 2" xfId="3273" xr:uid="{2E436EFB-1B1C-4AC2-AC03-424D79776DE8}"/>
    <cellStyle name="40% - Accent5 3 2 2 4" xfId="2234" xr:uid="{EBDCDA2D-E66E-422D-AE37-C1B3B5A10302}"/>
    <cellStyle name="40% - Accent5 3 2 3" xfId="762" xr:uid="{DD63F8E8-84B9-4C33-AF69-AF958FE9275D}"/>
    <cellStyle name="40% - Accent5 3 2 3 2" xfId="1681" xr:uid="{D6C668C9-2C1A-4707-A1AA-3EC4342F2820}"/>
    <cellStyle name="40% - Accent5 3 2 3 2 2" xfId="3472" xr:uid="{98FB4765-BD37-4CB5-A6AA-87233E053DF2}"/>
    <cellStyle name="40% - Accent5 3 2 3 3" xfId="2659" xr:uid="{B7A5A1F5-AC2C-4077-A0E6-E7E9F30DCAD9}"/>
    <cellStyle name="40% - Accent5 3 2 4" xfId="1237" xr:uid="{4D949EC1-9406-4339-B2FF-A2DDD2088484}"/>
    <cellStyle name="40% - Accent5 3 2 4 2" xfId="3052" xr:uid="{4492855D-7C29-4337-8722-DA4D20C79C82}"/>
    <cellStyle name="40% - Accent5 3 2 5" xfId="2233" xr:uid="{3C6A1DEC-AC16-4964-887B-A85583E72719}"/>
    <cellStyle name="40% - Accent5 3 3" xfId="252" xr:uid="{87DDC9D5-CEC3-4F8B-9789-57A20DADA499}"/>
    <cellStyle name="40% - Accent5 3 3 2" xfId="764" xr:uid="{43ABC5B2-013A-4E68-B87E-970C23772EC0}"/>
    <cellStyle name="40% - Accent5 3 3 2 2" xfId="1842" xr:uid="{6F31516D-771F-4CC6-9D20-4DB6E6E202D9}"/>
    <cellStyle name="40% - Accent5 3 3 2 2 2" xfId="3633" xr:uid="{E7E03FB8-1F8C-41F4-A76B-5E4E2FD8690C}"/>
    <cellStyle name="40% - Accent5 3 3 2 3" xfId="2661" xr:uid="{C5CDD72D-5966-4949-B334-FF63FB96185A}"/>
    <cellStyle name="40% - Accent5 3 3 3" xfId="1409" xr:uid="{37E81BBF-0F04-403D-B579-DF42AD7365BB}"/>
    <cellStyle name="40% - Accent5 3 3 3 2" xfId="3203" xr:uid="{692DFD78-5F5A-4879-9276-4EBC5E9805D7}"/>
    <cellStyle name="40% - Accent5 3 3 4" xfId="2235" xr:uid="{FE585A1A-CE8D-4BC8-9D29-1EB48373DF7D}"/>
    <cellStyle name="40% - Accent5 3 4" xfId="761" xr:uid="{941C940E-195C-4891-A73A-0D7B480F0A10}"/>
    <cellStyle name="40% - Accent5 3 4 2" xfId="1611" xr:uid="{55772221-8037-4680-AD14-98F72E4FFF49}"/>
    <cellStyle name="40% - Accent5 3 4 2 2" xfId="3402" xr:uid="{22D6438F-0B0D-4248-B784-B33CCE039405}"/>
    <cellStyle name="40% - Accent5 3 4 3" xfId="2658" xr:uid="{1032C7FB-F0C6-4C43-BEB6-9B9E465BC6E6}"/>
    <cellStyle name="40% - Accent5 3 5" xfId="1136" xr:uid="{91ED0DC6-2BA5-4488-95FA-B5658781925C}"/>
    <cellStyle name="40% - Accent5 3 5 2" xfId="2959" xr:uid="{0820C68D-FC93-4D13-96AD-DE825382ED62}"/>
    <cellStyle name="40% - Accent5 3 6" xfId="2232" xr:uid="{119CE5CF-5A69-414E-A759-4647C480C2DD}"/>
    <cellStyle name="40% - Accent5 4" xfId="253" xr:uid="{F04F3FA1-E95C-4961-B4C4-229C3025DEB8}"/>
    <cellStyle name="40% - Accent5 4 2" xfId="254" xr:uid="{0F4AD0EE-FE3A-4E54-AC3F-E27FFE8BCAB2}"/>
    <cellStyle name="40% - Accent5 4 2 2" xfId="766" xr:uid="{9AD9B254-4976-4B65-96AC-422C36A0F816}"/>
    <cellStyle name="40% - Accent5 4 2 2 2" xfId="1947" xr:uid="{B86289F4-F962-4B35-9F79-337784BA0D22}"/>
    <cellStyle name="40% - Accent5 4 2 2 2 2" xfId="3738" xr:uid="{4F57F4C5-B0A9-4748-9FE0-721BA0F13DEF}"/>
    <cellStyle name="40% - Accent5 4 2 2 3" xfId="2663" xr:uid="{6FEBF6C0-46A1-4113-8552-125BD99CC427}"/>
    <cellStyle name="40% - Accent5 4 2 3" xfId="1514" xr:uid="{DDFEB348-D3B4-408B-86A1-52701531B7D0}"/>
    <cellStyle name="40% - Accent5 4 2 3 2" xfId="3308" xr:uid="{F0D37D56-9857-4B9B-9B85-281C569A3BAE}"/>
    <cellStyle name="40% - Accent5 4 2 4" xfId="2237" xr:uid="{F48404DD-4BD0-4F2B-8F6D-FFD71B94C3E4}"/>
    <cellStyle name="40% - Accent5 4 3" xfId="765" xr:uid="{63CC10FE-E6F5-4C89-8BD6-372FE4713479}"/>
    <cellStyle name="40% - Accent5 4 3 2" xfId="1716" xr:uid="{97C4E75A-7B89-45D6-B0A4-13A54C1E9866}"/>
    <cellStyle name="40% - Accent5 4 3 2 2" xfId="3507" xr:uid="{E9AEC7B3-2F3F-4801-94C9-B31354866061}"/>
    <cellStyle name="40% - Accent5 4 3 3" xfId="2662" xr:uid="{C58F74A2-B74F-40D8-A498-9D2C18F14E12}"/>
    <cellStyle name="40% - Accent5 4 4" xfId="1272" xr:uid="{80A6CD12-4933-4391-9ABE-D9598E59282A}"/>
    <cellStyle name="40% - Accent5 4 4 2" xfId="3087" xr:uid="{C95DD950-F89C-4059-A4CE-B28750F9B807}"/>
    <cellStyle name="40% - Accent5 4 5" xfId="2236" xr:uid="{86B72ADE-A6D9-468C-9FDC-FCC743250448}"/>
    <cellStyle name="40% - Accent5 5" xfId="255" xr:uid="{EDFEBFDE-8AC2-4088-BBB1-95B91D4842FC}"/>
    <cellStyle name="40% - Accent5 5 2" xfId="256" xr:uid="{40D2B198-3464-48CB-9F88-89AE93E85A71}"/>
    <cellStyle name="40% - Accent5 5 2 2" xfId="768" xr:uid="{E5470284-2336-4B33-977A-349D70B11A62}"/>
    <cellStyle name="40% - Accent5 5 2 2 2" xfId="1877" xr:uid="{859DA204-F73E-424D-B54D-CF57595B7EEC}"/>
    <cellStyle name="40% - Accent5 5 2 2 2 2" xfId="3668" xr:uid="{2EADA1F9-38F8-44BA-B9D2-F27E4E94490D}"/>
    <cellStyle name="40% - Accent5 5 2 2 3" xfId="2665" xr:uid="{817EBE1C-C15F-4F0C-BD31-5E53A322B8E8}"/>
    <cellStyle name="40% - Accent5 5 2 3" xfId="1444" xr:uid="{209B631B-5AFB-45B2-BBF0-72AFF575A7B5}"/>
    <cellStyle name="40% - Accent5 5 2 3 2" xfId="3238" xr:uid="{0A9C7D35-9450-4FBB-A741-B8AF9ACCAB61}"/>
    <cellStyle name="40% - Accent5 5 2 4" xfId="2239" xr:uid="{35A5AF3E-F42E-4BC9-926A-7173891219C8}"/>
    <cellStyle name="40% - Accent5 5 3" xfId="767" xr:uid="{9F0D617A-A56A-4B88-AFFB-0371B2ABA2F2}"/>
    <cellStyle name="40% - Accent5 5 3 2" xfId="1646" xr:uid="{70E03976-4808-44B8-93F1-8F0978940364}"/>
    <cellStyle name="40% - Accent5 5 3 2 2" xfId="3437" xr:uid="{16E900F7-64E5-4C6C-A2FE-4D75381A603E}"/>
    <cellStyle name="40% - Accent5 5 3 3" xfId="2664" xr:uid="{AC9C4E2A-F573-4718-B328-52394D1FA164}"/>
    <cellStyle name="40% - Accent5 5 4" xfId="1202" xr:uid="{3102E985-B9A7-4D5D-A024-76A08EF744EF}"/>
    <cellStyle name="40% - Accent5 5 4 2" xfId="3017" xr:uid="{875C8B2C-B1C3-49DA-B010-4F75B3489F85}"/>
    <cellStyle name="40% - Accent5 5 5" xfId="2238" xr:uid="{B96EC150-631E-4FFC-86D9-159DDB990C88}"/>
    <cellStyle name="40% - Accent5 6" xfId="257" xr:uid="{E279A689-680C-4391-A9C7-CA07966320C4}"/>
    <cellStyle name="40% - Accent5 6 2" xfId="769" xr:uid="{627C53B7-EAEE-4034-AE9B-4BC69A343D9E}"/>
    <cellStyle name="40% - Accent5 6 2 2" xfId="1767" xr:uid="{5FF6C4CF-0491-4713-8165-D8ADD43A75BA}"/>
    <cellStyle name="40% - Accent5 6 2 2 2" xfId="3558" xr:uid="{68D3A892-45F7-42F6-A8C2-29EFD81A4F51}"/>
    <cellStyle name="40% - Accent5 6 2 3" xfId="2666" xr:uid="{687117BC-F5AA-45D0-A996-6755CA422B95}"/>
    <cellStyle name="40% - Accent5 6 3" xfId="1348" xr:uid="{948326D7-25D4-4EC1-9172-7D665C678D06}"/>
    <cellStyle name="40% - Accent5 6 3 2" xfId="3143" xr:uid="{13C5C9DA-2CD6-470E-AF42-D41313EF1D04}"/>
    <cellStyle name="40% - Accent5 6 4" xfId="2240" xr:uid="{4E3F028E-6532-411C-B414-A1D3A393C1A0}"/>
    <cellStyle name="40% - Accent5 7" xfId="258" xr:uid="{A47F4144-9874-4138-987A-3DA970CF1BBE}"/>
    <cellStyle name="40% - Accent5 7 2" xfId="770" xr:uid="{F26B5C6B-96F9-4133-988A-3FD4C310E7EB}"/>
    <cellStyle name="40% - Accent5 7 2 2" xfId="1804" xr:uid="{0D6D7E46-7C5D-469D-AFAA-8DF73EA18494}"/>
    <cellStyle name="40% - Accent5 7 2 2 2" xfId="3595" xr:uid="{5B36E695-F8BE-4008-9176-158BA7344D35}"/>
    <cellStyle name="40% - Accent5 7 2 3" xfId="2667" xr:uid="{B334A132-348C-446D-9BC6-BF29C9A04335}"/>
    <cellStyle name="40% - Accent5 7 3" xfId="1372" xr:uid="{72E60AAC-0358-486A-B903-D8BE2C24D1C6}"/>
    <cellStyle name="40% - Accent5 7 3 2" xfId="3166" xr:uid="{E4274D7E-A834-49A1-BB7D-9E7C8518D6D3}"/>
    <cellStyle name="40% - Accent5 7 4" xfId="2241" xr:uid="{C085BC86-3E0D-44DF-88A4-4168B2138C26}"/>
    <cellStyle name="40% - Accent5 8" xfId="1565" xr:uid="{84F69062-01DB-4615-8A71-6A2796F893A9}"/>
    <cellStyle name="40% - Accent5 8 2" xfId="3356" xr:uid="{2B346F05-F7C2-490B-BEFD-2E4D9340C0A4}"/>
    <cellStyle name="40% - Accent6 2" xfId="259" xr:uid="{13EBB455-F304-4C40-AC96-D216C37F539B}"/>
    <cellStyle name="40% - Accent6 2 2" xfId="260" xr:uid="{32D57B80-BDB0-4A75-832D-A2A5BFA65DF2}"/>
    <cellStyle name="40% - Accent6 2 2 2" xfId="261" xr:uid="{B4A2F013-6B7A-4724-8DBF-AEACC5D5BA4E}"/>
    <cellStyle name="40% - Accent6 2 2 2 2" xfId="262" xr:uid="{23559362-AE83-41B6-A826-26B6CB217DC2}"/>
    <cellStyle name="40% - Accent6 2 2 2 2 2" xfId="774" xr:uid="{56A02066-F9FF-4619-A085-59CBDBFCEF58}"/>
    <cellStyle name="40% - Accent6 2 2 2 2 2 2" xfId="1933" xr:uid="{98B641E3-94D4-4738-B79F-0291A4D30658}"/>
    <cellStyle name="40% - Accent6 2 2 2 2 2 2 2" xfId="3724" xr:uid="{C76EA9BD-B4FB-47FE-A879-CC16D0A1C338}"/>
    <cellStyle name="40% - Accent6 2 2 2 2 2 3" xfId="2671" xr:uid="{0794C477-1D9A-4F76-88A7-D38BAF943CD2}"/>
    <cellStyle name="40% - Accent6 2 2 2 2 3" xfId="1500" xr:uid="{79D7D587-316B-4013-9A56-011AC70F0F60}"/>
    <cellStyle name="40% - Accent6 2 2 2 2 3 2" xfId="3294" xr:uid="{E11E3CB1-F93F-4BE2-B17D-82B28270F6FB}"/>
    <cellStyle name="40% - Accent6 2 2 2 2 4" xfId="2245" xr:uid="{5A4B5EF8-40BC-4199-B045-8E17B5507FDF}"/>
    <cellStyle name="40% - Accent6 2 2 2 3" xfId="773" xr:uid="{591A2F39-9181-40D5-84E2-97D27235CC22}"/>
    <cellStyle name="40% - Accent6 2 2 2 3 2" xfId="1702" xr:uid="{883E7E9E-CDA4-4C88-A2F7-0FA995522B66}"/>
    <cellStyle name="40% - Accent6 2 2 2 3 2 2" xfId="3493" xr:uid="{42E7FB4E-8197-4FCB-82D8-38354F4463CB}"/>
    <cellStyle name="40% - Accent6 2 2 2 3 3" xfId="2670" xr:uid="{F9ADCD79-1273-40CC-B54B-9CA859918496}"/>
    <cellStyle name="40% - Accent6 2 2 2 4" xfId="1258" xr:uid="{641FD0FB-44A4-4E80-B7F3-CCAECE184D57}"/>
    <cellStyle name="40% - Accent6 2 2 2 4 2" xfId="3073" xr:uid="{50DC3F16-8C83-4620-96BE-7842751D5BB2}"/>
    <cellStyle name="40% - Accent6 2 2 2 5" xfId="2244" xr:uid="{B81A7AB4-F65D-4432-BB4C-FFF5E2DBCE53}"/>
    <cellStyle name="40% - Accent6 2 2 3" xfId="263" xr:uid="{44CAE3D5-B335-4C1E-A61E-B3C4508DEABE}"/>
    <cellStyle name="40% - Accent6 2 2 3 2" xfId="775" xr:uid="{53CA952C-0A76-4537-A7FE-FE935DCE7E4B}"/>
    <cellStyle name="40% - Accent6 2 2 3 2 2" xfId="1863" xr:uid="{3A44681D-3897-44DF-A64D-072C4D6A38BC}"/>
    <cellStyle name="40% - Accent6 2 2 3 2 2 2" xfId="3654" xr:uid="{0A69B35B-7866-4A78-B799-95073A993224}"/>
    <cellStyle name="40% - Accent6 2 2 3 2 3" xfId="2672" xr:uid="{01CE99D3-61E3-4C03-B39D-E3E066EFA1F8}"/>
    <cellStyle name="40% - Accent6 2 2 3 3" xfId="1430" xr:uid="{143A6E1F-28F3-4FF6-8FE1-6549614ED0C7}"/>
    <cellStyle name="40% - Accent6 2 2 3 3 2" xfId="3224" xr:uid="{BDADFB25-B30E-4E78-92AF-47FB59786452}"/>
    <cellStyle name="40% - Accent6 2 2 3 4" xfId="2246" xr:uid="{631387AB-6672-4539-825F-D91E1E9C16D1}"/>
    <cellStyle name="40% - Accent6 2 2 4" xfId="772" xr:uid="{8192AF69-545E-44CA-B923-DFBEE05E25A8}"/>
    <cellStyle name="40% - Accent6 2 2 4 2" xfId="1632" xr:uid="{70F4773D-170C-4E3B-9D8B-9F0C11655B5D}"/>
    <cellStyle name="40% - Accent6 2 2 4 2 2" xfId="3423" xr:uid="{6D2BE0D3-900C-48C7-B136-FA51D7604BBF}"/>
    <cellStyle name="40% - Accent6 2 2 4 3" xfId="2669" xr:uid="{97AC92BD-C86D-4D58-B899-D4EF0900ED58}"/>
    <cellStyle name="40% - Accent6 2 2 5" xfId="1188" xr:uid="{227130A4-AED4-4F09-9F6B-A7AD9FA8D1F6}"/>
    <cellStyle name="40% - Accent6 2 2 5 2" xfId="3003" xr:uid="{1F9CCCE9-F594-4BBC-B3EB-BE944A7E645E}"/>
    <cellStyle name="40% - Accent6 2 2 6" xfId="2243" xr:uid="{F7DEAD60-90D0-4A37-A47A-8303418A68B6}"/>
    <cellStyle name="40% - Accent6 2 3" xfId="264" xr:uid="{09D462C3-D8C9-45DC-9215-6883A5246FE7}"/>
    <cellStyle name="40% - Accent6 2 3 2" xfId="265" xr:uid="{57A1EBB0-EA75-4C45-9D78-28CA63AA2B85}"/>
    <cellStyle name="40% - Accent6 2 3 2 2" xfId="777" xr:uid="{61264AC2-EF5A-4AD4-829B-5EBF166B6E2C}"/>
    <cellStyle name="40% - Accent6 2 3 2 2 2" xfId="1968" xr:uid="{A19B57F0-D12B-45C5-8B5C-8EE773B257E5}"/>
    <cellStyle name="40% - Accent6 2 3 2 2 2 2" xfId="3759" xr:uid="{9F304BEA-49F2-438D-A6F6-EF5030C031C4}"/>
    <cellStyle name="40% - Accent6 2 3 2 2 3" xfId="2674" xr:uid="{1B5EC8CC-9AB7-45DF-ABA7-E44A4AD1DE4B}"/>
    <cellStyle name="40% - Accent6 2 3 2 3" xfId="1535" xr:uid="{BDC98AE3-BF73-4023-A665-507C655E7B1A}"/>
    <cellStyle name="40% - Accent6 2 3 2 3 2" xfId="3329" xr:uid="{BD3B4F32-69B3-4993-91EE-0134FD80FB18}"/>
    <cellStyle name="40% - Accent6 2 3 2 4" xfId="2248" xr:uid="{B8215006-0542-45FC-94ED-094D772DD576}"/>
    <cellStyle name="40% - Accent6 2 3 3" xfId="776" xr:uid="{756BDE12-F216-4EA3-822E-F378347B8B58}"/>
    <cellStyle name="40% - Accent6 2 3 3 2" xfId="1737" xr:uid="{052A016F-A721-439A-817A-BEC6EF3FF21C}"/>
    <cellStyle name="40% - Accent6 2 3 3 2 2" xfId="3528" xr:uid="{758B50FF-BFE9-46A7-809A-284B60C94BE8}"/>
    <cellStyle name="40% - Accent6 2 3 3 3" xfId="2673" xr:uid="{57F8D16C-F2CB-4CC7-8BFE-EB9FA9001D16}"/>
    <cellStyle name="40% - Accent6 2 3 4" xfId="1293" xr:uid="{DF712B4A-35DF-4F62-83F0-4F5C7D638414}"/>
    <cellStyle name="40% - Accent6 2 3 4 2" xfId="3108" xr:uid="{84DFB2B4-0212-4D5E-833B-DA0C0DCA7F23}"/>
    <cellStyle name="40% - Accent6 2 3 5" xfId="2247" xr:uid="{8FB29D14-4140-4212-8134-D9E9598831FA}"/>
    <cellStyle name="40% - Accent6 2 4" xfId="266" xr:uid="{333CD185-3277-4253-9A39-3FFE8FA6B2F5}"/>
    <cellStyle name="40% - Accent6 2 4 2" xfId="267" xr:uid="{8354CC25-2FEC-4D19-A47D-4EEE61FCD5A7}"/>
    <cellStyle name="40% - Accent6 2 4 2 2" xfId="779" xr:uid="{D8E03C42-7BDF-46FC-A4C4-7E1F3B82FDEB}"/>
    <cellStyle name="40% - Accent6 2 4 2 2 2" xfId="1898" xr:uid="{704ACCD6-6D70-41C7-AFD5-3B76FB603E9C}"/>
    <cellStyle name="40% - Accent6 2 4 2 2 2 2" xfId="3689" xr:uid="{7680458F-96A1-42FD-9850-EABA1322200F}"/>
    <cellStyle name="40% - Accent6 2 4 2 2 3" xfId="2676" xr:uid="{CB66A602-CB4A-4FD4-8B92-510181119CBA}"/>
    <cellStyle name="40% - Accent6 2 4 2 3" xfId="1465" xr:uid="{3E5B7EC3-8BCB-425F-954E-8C8D297DBC27}"/>
    <cellStyle name="40% - Accent6 2 4 2 3 2" xfId="3259" xr:uid="{AA30C3EA-03A8-4061-A638-B7DAF013C250}"/>
    <cellStyle name="40% - Accent6 2 4 2 4" xfId="2250" xr:uid="{FC07AC9A-CE8D-4DCD-B9FB-D39C50328F52}"/>
    <cellStyle name="40% - Accent6 2 4 3" xfId="778" xr:uid="{FD6213BB-8E8D-4885-8608-DDC4CCBF8345}"/>
    <cellStyle name="40% - Accent6 2 4 3 2" xfId="1667" xr:uid="{18328824-636D-4F64-9919-46272CAD53F9}"/>
    <cellStyle name="40% - Accent6 2 4 3 2 2" xfId="3458" xr:uid="{305BDF52-FF93-4EB2-A6E7-16BF982E4C93}"/>
    <cellStyle name="40% - Accent6 2 4 3 3" xfId="2675" xr:uid="{7C87AC0C-77C9-4371-862D-E8DBF866F0F8}"/>
    <cellStyle name="40% - Accent6 2 4 4" xfId="1223" xr:uid="{4F5C78DD-6256-493F-BDF5-ABEDB05CF74C}"/>
    <cellStyle name="40% - Accent6 2 4 4 2" xfId="3038" xr:uid="{3680B11E-F163-45E1-B87C-CB6B937DD0DA}"/>
    <cellStyle name="40% - Accent6 2 4 5" xfId="2249" xr:uid="{62413FCD-769C-46F4-8AAF-876C3AC5F067}"/>
    <cellStyle name="40% - Accent6 2 5" xfId="268" xr:uid="{32DCB628-C453-46D8-BD9C-04D9EA22CF8E}"/>
    <cellStyle name="40% - Accent6 2 5 2" xfId="780" xr:uid="{129DE7CB-FEF2-459E-8AC9-CE805BCA993F}"/>
    <cellStyle name="40% - Accent6 2 5 2 2" xfId="1787" xr:uid="{664AC8DE-4AA6-49B9-BC0F-2EA88133CE45}"/>
    <cellStyle name="40% - Accent6 2 5 2 2 2" xfId="3578" xr:uid="{9599820A-172A-41FD-B5D8-03D2B6492ED6}"/>
    <cellStyle name="40% - Accent6 2 5 2 3" xfId="2677" xr:uid="{DCD3CFFB-6F6E-4413-84BD-B550B21FB19E}"/>
    <cellStyle name="40% - Accent6 2 5 3" xfId="1164" xr:uid="{DD10D26E-5F96-4B9B-BD33-14C8BB24B305}"/>
    <cellStyle name="40% - Accent6 2 5 3 2" xfId="2980" xr:uid="{030DA0C4-8671-497A-99FF-0CA294B5E0B6}"/>
    <cellStyle name="40% - Accent6 2 5 4" xfId="2251" xr:uid="{ABB8C616-C66D-4DD6-944D-BE5EF8AA4B93}"/>
    <cellStyle name="40% - Accent6 2 6" xfId="269" xr:uid="{E5D5F928-F171-448C-915E-EB200884FA20}"/>
    <cellStyle name="40% - Accent6 2 6 2" xfId="781" xr:uid="{FD86714F-5319-4243-ACAF-3077E84443CF}"/>
    <cellStyle name="40% - Accent6 2 6 2 2" xfId="1828" xr:uid="{F8123605-2538-4C26-9B36-2C831D1D5EA7}"/>
    <cellStyle name="40% - Accent6 2 6 2 2 2" xfId="3619" xr:uid="{6D9EFD80-0C1B-47E1-8C41-EC9B187374E2}"/>
    <cellStyle name="40% - Accent6 2 6 2 3" xfId="2678" xr:uid="{47AA3505-DB0C-4324-B53D-61D7BDA46429}"/>
    <cellStyle name="40% - Accent6 2 6 3" xfId="1396" xr:uid="{7010DD00-7087-4E93-B414-720CA5A55F38}"/>
    <cellStyle name="40% - Accent6 2 6 3 2" xfId="3190" xr:uid="{6D02BCD5-F680-404B-8A79-7776AD6A8E39}"/>
    <cellStyle name="40% - Accent6 2 6 4" xfId="2252" xr:uid="{D2AA4825-D1B5-491E-8A37-2B2411B0703C}"/>
    <cellStyle name="40% - Accent6 2 7" xfId="771" xr:uid="{51D99CE5-8DA0-4D18-BA96-8073DF52DD78}"/>
    <cellStyle name="40% - Accent6 2 7 2" xfId="1597" xr:uid="{07FE47AB-F731-4D81-B1AE-D9DC9FB8A77E}"/>
    <cellStyle name="40% - Accent6 2 7 2 2" xfId="3388" xr:uid="{DEE08F21-06E2-40EE-BC4E-6CC1C6FF5687}"/>
    <cellStyle name="40% - Accent6 2 7 3" xfId="2668" xr:uid="{E05EB996-483F-4A49-AC4D-5FDBAE842812}"/>
    <cellStyle name="40% - Accent6 2 8" xfId="1099" xr:uid="{266654A8-4C70-47A1-9C6E-29BE27967E63}"/>
    <cellStyle name="40% - Accent6 2 8 2" xfId="2942" xr:uid="{9C7E22E0-CCE1-4309-9933-B54B81C96DA5}"/>
    <cellStyle name="40% - Accent6 2 9" xfId="2242" xr:uid="{BB7674EB-66D9-47F2-8AE7-003C82AFD2AF}"/>
    <cellStyle name="40% - Accent6 3" xfId="270" xr:uid="{B371DACC-0B10-4170-84CD-EEC24B3C01A5}"/>
    <cellStyle name="40% - Accent6 3 2" xfId="271" xr:uid="{0C2B4E35-8A80-4B18-A9D3-7CA38C09294D}"/>
    <cellStyle name="40% - Accent6 3 2 2" xfId="272" xr:uid="{77C3CACD-6481-4FF8-AEEB-29E41B91F7A6}"/>
    <cellStyle name="40% - Accent6 3 2 2 2" xfId="784" xr:uid="{5F1A8841-01E3-430D-8AE5-E94F253A4C60}"/>
    <cellStyle name="40% - Accent6 3 2 2 2 2" xfId="1914" xr:uid="{FEF27976-15A6-4C9F-BA49-66233866E2FB}"/>
    <cellStyle name="40% - Accent6 3 2 2 2 2 2" xfId="3705" xr:uid="{5A1BDBEC-75B0-48BB-80BC-18BF070B097D}"/>
    <cellStyle name="40% - Accent6 3 2 2 2 3" xfId="2681" xr:uid="{1C6FCED9-C8A2-4057-A5C7-0A869916BD70}"/>
    <cellStyle name="40% - Accent6 3 2 2 3" xfId="1481" xr:uid="{53CE5DF8-F046-40C6-8E11-E75AD485F64F}"/>
    <cellStyle name="40% - Accent6 3 2 2 3 2" xfId="3275" xr:uid="{85D80BDF-E967-4E3C-8C95-A27978EFE043}"/>
    <cellStyle name="40% - Accent6 3 2 2 4" xfId="2255" xr:uid="{4A8B78CA-700A-4A36-A1AD-31BAE7D4EFC3}"/>
    <cellStyle name="40% - Accent6 3 2 3" xfId="783" xr:uid="{422BCBAD-6929-4A26-8191-6CED41DCF534}"/>
    <cellStyle name="40% - Accent6 3 2 3 2" xfId="1683" xr:uid="{F81F0BF2-692B-43B2-A5A6-9E96DC80C880}"/>
    <cellStyle name="40% - Accent6 3 2 3 2 2" xfId="3474" xr:uid="{2B003C63-27EF-4BDA-BB98-08792BFD183E}"/>
    <cellStyle name="40% - Accent6 3 2 3 3" xfId="2680" xr:uid="{BFE3F843-8B35-412C-9F0D-80D0FFE5A907}"/>
    <cellStyle name="40% - Accent6 3 2 4" xfId="1239" xr:uid="{EA1DA8DC-1D8D-45A7-8E44-7D97B315258E}"/>
    <cellStyle name="40% - Accent6 3 2 4 2" xfId="3054" xr:uid="{D6D0C467-CF56-4AFB-AEA0-0C627AFE53A0}"/>
    <cellStyle name="40% - Accent6 3 2 5" xfId="2254" xr:uid="{2217935F-CD28-47E0-8F7F-7B0386FD84EB}"/>
    <cellStyle name="40% - Accent6 3 3" xfId="273" xr:uid="{1842BD9A-5305-44FA-B60C-1C98D289647F}"/>
    <cellStyle name="40% - Accent6 3 3 2" xfId="785" xr:uid="{DC3EF7B6-9760-4BA8-9502-EAD9A18CACB7}"/>
    <cellStyle name="40% - Accent6 3 3 2 2" xfId="1844" xr:uid="{CEF7F46E-E738-473C-A7A7-E3800D67FAAD}"/>
    <cellStyle name="40% - Accent6 3 3 2 2 2" xfId="3635" xr:uid="{86EDBC80-FE2F-4705-90D6-8DE4938928F3}"/>
    <cellStyle name="40% - Accent6 3 3 2 3" xfId="2682" xr:uid="{66E29E44-7599-462B-AAD6-44E92C1159CA}"/>
    <cellStyle name="40% - Accent6 3 3 3" xfId="1411" xr:uid="{4029DCCA-4903-47A0-8BA2-3E051FDB94D4}"/>
    <cellStyle name="40% - Accent6 3 3 3 2" xfId="3205" xr:uid="{92D9AD78-ED92-4A36-8B38-BBCE4823AE2D}"/>
    <cellStyle name="40% - Accent6 3 3 4" xfId="2256" xr:uid="{E1D53E83-68B2-4FBA-9E7E-8E9DE075E3A0}"/>
    <cellStyle name="40% - Accent6 3 4" xfId="782" xr:uid="{FD9A7230-7D1C-40E5-9AF9-5EF8B53B50FF}"/>
    <cellStyle name="40% - Accent6 3 4 2" xfId="1613" xr:uid="{B2C5F3CA-CED6-40F2-8249-FA7C044C50D4}"/>
    <cellStyle name="40% - Accent6 3 4 2 2" xfId="3404" xr:uid="{9E66AFCA-5A8F-47A6-82B5-E95C9334D50E}"/>
    <cellStyle name="40% - Accent6 3 4 3" xfId="2679" xr:uid="{E8D5EC28-5AA3-47D2-8358-CA4C47C7A402}"/>
    <cellStyle name="40% - Accent6 3 5" xfId="1138" xr:uid="{ADC3570E-DF91-48F9-812D-E644F68FC1B2}"/>
    <cellStyle name="40% - Accent6 3 5 2" xfId="2961" xr:uid="{62309548-F564-4900-8C22-A3E8523CED32}"/>
    <cellStyle name="40% - Accent6 3 6" xfId="2253" xr:uid="{42B31DF7-2C35-4D68-B5CE-3F16AC5FDCB6}"/>
    <cellStyle name="40% - Accent6 4" xfId="274" xr:uid="{52FE7BE0-DC9E-4E75-8D4E-C1C2572239DC}"/>
    <cellStyle name="40% - Accent6 4 2" xfId="275" xr:uid="{57E7588D-8BD0-4E32-87AA-3E443945C534}"/>
    <cellStyle name="40% - Accent6 4 2 2" xfId="787" xr:uid="{C6B8CE17-ECCE-4384-875D-8E48B6A65172}"/>
    <cellStyle name="40% - Accent6 4 2 2 2" xfId="1949" xr:uid="{00C46C4A-0A66-4F0B-8D80-815808A0EE6E}"/>
    <cellStyle name="40% - Accent6 4 2 2 2 2" xfId="3740" xr:uid="{A34DE88A-0AB9-49C2-BD4B-F18889DBC90F}"/>
    <cellStyle name="40% - Accent6 4 2 2 3" xfId="2684" xr:uid="{A73A57A6-BD09-4C6B-9BA3-CB911D672B55}"/>
    <cellStyle name="40% - Accent6 4 2 3" xfId="1516" xr:uid="{10FF0871-D0EE-49D2-8CD1-15F8F1B569E3}"/>
    <cellStyle name="40% - Accent6 4 2 3 2" xfId="3310" xr:uid="{D810E19F-6D0A-4D4D-800C-00805FF4FF85}"/>
    <cellStyle name="40% - Accent6 4 2 4" xfId="2258" xr:uid="{04B0FF42-01B5-4472-93F1-3FC61B7A4180}"/>
    <cellStyle name="40% - Accent6 4 3" xfId="786" xr:uid="{AA8BF922-B646-49E1-B7B5-D3D2D18E71B9}"/>
    <cellStyle name="40% - Accent6 4 3 2" xfId="1718" xr:uid="{5616D279-2332-4DF2-8E68-BE860D4304D4}"/>
    <cellStyle name="40% - Accent6 4 3 2 2" xfId="3509" xr:uid="{FCFE7B90-AF49-4689-9714-CD1C05C514CB}"/>
    <cellStyle name="40% - Accent6 4 3 3" xfId="2683" xr:uid="{2C5BA192-14F8-4526-AA9A-DF6E87C08C9F}"/>
    <cellStyle name="40% - Accent6 4 4" xfId="1274" xr:uid="{3020E27B-41B7-46B3-A490-AAE5E9E5C63C}"/>
    <cellStyle name="40% - Accent6 4 4 2" xfId="3089" xr:uid="{31154B67-FD65-402B-A44A-B6CFA14E824B}"/>
    <cellStyle name="40% - Accent6 4 5" xfId="2257" xr:uid="{B0AC4EBA-A5A1-4F83-9768-CE252288A757}"/>
    <cellStyle name="40% - Accent6 5" xfId="276" xr:uid="{DDC681C8-8A5D-4C12-ABF5-F0A15B60076B}"/>
    <cellStyle name="40% - Accent6 5 2" xfId="277" xr:uid="{4D01E049-4467-47F0-8F59-4B0E29E4D422}"/>
    <cellStyle name="40% - Accent6 5 2 2" xfId="789" xr:uid="{5993FAB2-7FB4-4018-832A-C27693CEBE5E}"/>
    <cellStyle name="40% - Accent6 5 2 2 2" xfId="1879" xr:uid="{0D2C2870-3808-4707-82A4-82E4BB0A2254}"/>
    <cellStyle name="40% - Accent6 5 2 2 2 2" xfId="3670" xr:uid="{141E544A-A6B2-4B55-8E7F-07C7B691852D}"/>
    <cellStyle name="40% - Accent6 5 2 2 3" xfId="2686" xr:uid="{D6E0E0A6-F025-4602-9269-D9CCEBC29DB4}"/>
    <cellStyle name="40% - Accent6 5 2 3" xfId="1446" xr:uid="{EFCD2AD5-AD80-40A0-A805-5AEDDA40045A}"/>
    <cellStyle name="40% - Accent6 5 2 3 2" xfId="3240" xr:uid="{4DB8074D-992A-4F2A-9288-A3D263E65AF8}"/>
    <cellStyle name="40% - Accent6 5 2 4" xfId="2260" xr:uid="{0B47FFB6-AE3B-4D8C-842F-5C765118826A}"/>
    <cellStyle name="40% - Accent6 5 3" xfId="788" xr:uid="{4CD20857-2E98-4938-AB49-EDFF2DE6BBDC}"/>
    <cellStyle name="40% - Accent6 5 3 2" xfId="1648" xr:uid="{65411EB0-29F2-40F4-B777-080049F014DB}"/>
    <cellStyle name="40% - Accent6 5 3 2 2" xfId="3439" xr:uid="{97C0F6AE-0484-4400-A2F7-231902E5575B}"/>
    <cellStyle name="40% - Accent6 5 3 3" xfId="2685" xr:uid="{DBF07773-A6E4-4199-AF3B-ABE535B0CDBB}"/>
    <cellStyle name="40% - Accent6 5 4" xfId="1204" xr:uid="{EC8B0C3D-78B8-4FDC-93D2-3EC102F97A02}"/>
    <cellStyle name="40% - Accent6 5 4 2" xfId="3019" xr:uid="{5B23DC70-D044-4730-B546-A8480CD074CE}"/>
    <cellStyle name="40% - Accent6 5 5" xfId="2259" xr:uid="{BC1C5E51-E50A-4DC6-8487-B7A27282EB3F}"/>
    <cellStyle name="40% - Accent6 6" xfId="278" xr:uid="{A555D164-FDAB-4583-B55D-D78DFB110877}"/>
    <cellStyle name="40% - Accent6 6 2" xfId="790" xr:uid="{24F2E298-991D-4D7D-B836-8A21A2DD055B}"/>
    <cellStyle name="40% - Accent6 6 2 2" xfId="1769" xr:uid="{572D9217-7925-4AA2-9E51-B595AAFC7BB2}"/>
    <cellStyle name="40% - Accent6 6 2 2 2" xfId="3560" xr:uid="{B8592702-1DE9-4D84-B0BE-BE6A9A3AA5F5}"/>
    <cellStyle name="40% - Accent6 6 2 3" xfId="2687" xr:uid="{633961F0-488E-4246-A9EB-7272DE121622}"/>
    <cellStyle name="40% - Accent6 6 3" xfId="1350" xr:uid="{DB29BEC3-665A-4199-AA69-172A93553B13}"/>
    <cellStyle name="40% - Accent6 6 3 2" xfId="3145" xr:uid="{48C9EB24-1500-4651-8366-F11121D67623}"/>
    <cellStyle name="40% - Accent6 6 4" xfId="2261" xr:uid="{7D3E9215-889E-49B1-8147-4705678E8626}"/>
    <cellStyle name="40% - Accent6 7" xfId="279" xr:uid="{160BE882-809A-4282-B6C1-5E5270CCA2F5}"/>
    <cellStyle name="40% - Accent6 7 2" xfId="791" xr:uid="{65784AA8-64EA-4B42-AF79-964DF6A332A1}"/>
    <cellStyle name="40% - Accent6 7 2 2" xfId="1806" xr:uid="{3C842CA9-6E80-4C8B-A4B1-F6F38AECBEAE}"/>
    <cellStyle name="40% - Accent6 7 2 2 2" xfId="3597" xr:uid="{5AC5D795-7CBD-4395-BC5C-45C08E8D895B}"/>
    <cellStyle name="40% - Accent6 7 2 3" xfId="2688" xr:uid="{14C9632D-35B2-43E5-9F6A-464C2697A0DE}"/>
    <cellStyle name="40% - Accent6 7 3" xfId="1374" xr:uid="{A735AF88-B345-4634-935E-09CD6AF3537D}"/>
    <cellStyle name="40% - Accent6 7 3 2" xfId="3168" xr:uid="{6ADB8693-0618-44E5-8881-451264729228}"/>
    <cellStyle name="40% - Accent6 7 4" xfId="2262" xr:uid="{587EC21A-290F-4F2B-8793-948758C5526F}"/>
    <cellStyle name="40% - Accent6 8" xfId="1568" xr:uid="{2E5A585B-84FE-4772-B6BD-1F5299FBC7FB}"/>
    <cellStyle name="40% - Accent6 8 2" xfId="3359" xr:uid="{F3F95D80-0293-4CD1-8E39-B896DE90AA49}"/>
    <cellStyle name="60% - Accent1 2" xfId="280" xr:uid="{F66278B6-7A79-435C-A5E4-7C98A7C0EA30}"/>
    <cellStyle name="60% - Accent1 2 2" xfId="281" xr:uid="{4022B2FE-8165-4304-B10B-B2748D3E4495}"/>
    <cellStyle name="60% - Accent1 2 2 2" xfId="793" xr:uid="{12B0EB11-D998-4647-B007-D350DE645B3F}"/>
    <cellStyle name="60% - Accent1 2 2 2 2" xfId="1977" xr:uid="{D641F30C-103E-499A-A7B7-37D8E29B1605}"/>
    <cellStyle name="60% - Accent1 2 2 2 2 2" xfId="3768" xr:uid="{3EAE81C2-5363-43D9-AB83-0FF1DCB8CCC5}"/>
    <cellStyle name="60% - Accent1 2 2 2 3" xfId="2690" xr:uid="{11C33831-CE6E-44E3-A1FF-C0814A2CDBC1}"/>
    <cellStyle name="60% - Accent1 2 2 3" xfId="1303" xr:uid="{A57558F1-D675-4464-8DA2-E8B1B0B3F83E}"/>
    <cellStyle name="60% - Accent1 2 2 3 2" xfId="3115" xr:uid="{037F905F-C5A6-44AE-BFA8-DA4C1EE3AF78}"/>
    <cellStyle name="60% - Accent1 2 2 4" xfId="2264" xr:uid="{A8934628-095D-4832-84EC-CC3DC6182D9D}"/>
    <cellStyle name="60% - Accent1 2 3" xfId="792" xr:uid="{EDC2B0E3-61B0-4F5D-83AB-D04BFB2E62C3}"/>
    <cellStyle name="60% - Accent1 2 3 2" xfId="1570" xr:uid="{724C208F-E5C7-463F-A035-C679E93EA5DE}"/>
    <cellStyle name="60% - Accent1 2 3 2 2" xfId="3361" xr:uid="{903396FC-6C0B-430C-8100-335038FC2A7C}"/>
    <cellStyle name="60% - Accent1 2 3 3" xfId="2689" xr:uid="{EA70ACCF-5891-4D6B-AABE-D0A0B8F4B2BB}"/>
    <cellStyle name="60% - Accent1 2 4" xfId="1097" xr:uid="{F6B84CB0-17EA-4597-9930-259DD3CF8619}"/>
    <cellStyle name="60% - Accent1 2 5" xfId="2263" xr:uid="{A1157A9D-2417-4A47-9B1C-018CD7AC68CF}"/>
    <cellStyle name="60% - Accent1 3" xfId="282" xr:uid="{502F23FA-3474-4CF6-943F-9940B848C214}"/>
    <cellStyle name="60% - Accent1 3 2" xfId="1312" xr:uid="{9FE9C4A4-0208-4F79-B9FB-4BE5549B0866}"/>
    <cellStyle name="60% - Accent1 4" xfId="283" xr:uid="{EDB151D4-96E9-40C5-A9AC-BC1169F521E8}"/>
    <cellStyle name="60% - Accent1 4 2" xfId="794" xr:uid="{C630B446-431D-44FD-9D30-678630697DAB}"/>
    <cellStyle name="60% - Accent1 4 2 2" xfId="2691" xr:uid="{D58F3BE5-9145-4519-850C-47685BB0B476}"/>
    <cellStyle name="60% - Accent1 4 3" xfId="1554" xr:uid="{A1F204DC-999D-4713-9D7D-111255DF922E}"/>
    <cellStyle name="60% - Accent1 4 3 2" xfId="3345" xr:uid="{10396C45-B033-49E9-B7FF-CB81F9DE389F}"/>
    <cellStyle name="60% - Accent1 4 4" xfId="2265" xr:uid="{0EE6598F-805A-46AF-86DE-929E89EE123A}"/>
    <cellStyle name="60% - Accent1 5" xfId="971" xr:uid="{28875BE8-4424-407D-86E8-900F9AD57533}"/>
    <cellStyle name="60% - Accent2 2" xfId="284" xr:uid="{0FC4706D-52F0-4B6D-A3BA-9150FD59B922}"/>
    <cellStyle name="60% - Accent2 2 2" xfId="285" xr:uid="{DA736EDC-53C6-473A-AC45-42EC7C7684E7}"/>
    <cellStyle name="60% - Accent2 2 2 2" xfId="796" xr:uid="{19EDBA55-A66A-48E0-B419-1AB28F3A966E}"/>
    <cellStyle name="60% - Accent2 2 2 2 2" xfId="1978" xr:uid="{49AC60DD-4CE4-484A-B47E-BFB4F1B0FDD9}"/>
    <cellStyle name="60% - Accent2 2 2 2 2 2" xfId="3769" xr:uid="{A43AB151-4974-4D28-B040-A874382E5FD3}"/>
    <cellStyle name="60% - Accent2 2 2 2 3" xfId="2693" xr:uid="{B4B10582-C327-42ED-8A50-62274650884D}"/>
    <cellStyle name="60% - Accent2 2 2 3" xfId="1304" xr:uid="{5254FA4E-ED41-4531-8017-A5F865CCCC43}"/>
    <cellStyle name="60% - Accent2 2 2 3 2" xfId="3116" xr:uid="{1A4EABAA-2832-4F65-96DC-8EE283BD6675}"/>
    <cellStyle name="60% - Accent2 2 2 4" xfId="2267" xr:uid="{93F2D7CC-BA8C-4DF0-9625-D4AA1EE4E3D8}"/>
    <cellStyle name="60% - Accent2 2 3" xfId="795" xr:uid="{44F3BB8D-11B9-4CF1-AD37-6EB1031567E7}"/>
    <cellStyle name="60% - Accent2 2 3 2" xfId="1571" xr:uid="{1564E55C-43B8-4A55-B9AF-431E9F8C8F50}"/>
    <cellStyle name="60% - Accent2 2 3 2 2" xfId="3362" xr:uid="{AB183019-763C-4BC7-BDE0-EF125164547A}"/>
    <cellStyle name="60% - Accent2 2 3 3" xfId="2692" xr:uid="{D92F06A3-FA38-4AC6-957A-1E25F26CFFF9}"/>
    <cellStyle name="60% - Accent2 2 4" xfId="1101" xr:uid="{484C2CB5-5E60-4085-AA01-FB155AAE6562}"/>
    <cellStyle name="60% - Accent2 2 5" xfId="2266" xr:uid="{32C487A9-3B88-4EDA-9E4C-9FE4E1208646}"/>
    <cellStyle name="60% - Accent2 3" xfId="286" xr:uid="{51C0BEA7-2DBD-4411-9348-EF770671B894}"/>
    <cellStyle name="60% - Accent2 3 2" xfId="1313" xr:uid="{D533FE98-66A9-4BED-A4A5-9EAE606230C2}"/>
    <cellStyle name="60% - Accent2 4" xfId="287" xr:uid="{AEAE8B1B-AB0C-4932-B737-E1848B884383}"/>
    <cellStyle name="60% - Accent2 4 2" xfId="797" xr:uid="{542D4EE0-7F13-4159-91FC-1FDBDE0FC3A1}"/>
    <cellStyle name="60% - Accent2 4 2 2" xfId="2694" xr:uid="{4DFEDC8C-67FE-4A73-9900-82D9E78F9352}"/>
    <cellStyle name="60% - Accent2 4 3" xfId="1557" xr:uid="{9D9EF850-8679-480E-9C88-6D706CE083E0}"/>
    <cellStyle name="60% - Accent2 4 3 2" xfId="3348" xr:uid="{5E09479D-CEC1-42A5-A8F0-4CD62CC4D6D7}"/>
    <cellStyle name="60% - Accent2 4 4" xfId="2268" xr:uid="{AB01C035-FF6E-4988-9751-D0F30806D6EF}"/>
    <cellStyle name="60% - Accent2 5" xfId="972" xr:uid="{EC5F0D6D-2932-4510-9A4B-30255E9F4693}"/>
    <cellStyle name="60% - Accent3 2" xfId="288" xr:uid="{C354EFB9-4CE0-4B28-9999-6A4827C2D80A}"/>
    <cellStyle name="60% - Accent3 2 2" xfId="289" xr:uid="{7311635B-CDCA-463D-9B77-7523ADA8C183}"/>
    <cellStyle name="60% - Accent3 2 2 2" xfId="799" xr:uid="{16F11975-1293-47C7-BAF5-D8B772672F9E}"/>
    <cellStyle name="60% - Accent3 2 2 2 2" xfId="1979" xr:uid="{8810F583-75AB-499A-B880-0236F68E0E93}"/>
    <cellStyle name="60% - Accent3 2 2 2 2 2" xfId="3770" xr:uid="{D8677E41-64A9-4578-B847-965DD2F73C1A}"/>
    <cellStyle name="60% - Accent3 2 2 2 3" xfId="2696" xr:uid="{2687B555-8095-4F7E-9225-8FACF9675DA0}"/>
    <cellStyle name="60% - Accent3 2 2 3" xfId="1305" xr:uid="{C4DE246D-4F6E-4B93-A38D-50AA80DBD319}"/>
    <cellStyle name="60% - Accent3 2 2 3 2" xfId="3117" xr:uid="{006936EC-A3D0-4DF6-8093-6BF5F3B1E670}"/>
    <cellStyle name="60% - Accent3 2 2 4" xfId="2270" xr:uid="{B317DAB0-AF8B-4E98-9134-13152FD4E392}"/>
    <cellStyle name="60% - Accent3 2 3" xfId="798" xr:uid="{0AABE292-8A20-4A77-8F1E-F27689104754}"/>
    <cellStyle name="60% - Accent3 2 3 2" xfId="1572" xr:uid="{7FB08E15-6DAA-40EE-8A8A-29830D6E9CC5}"/>
    <cellStyle name="60% - Accent3 2 3 2 2" xfId="3363" xr:uid="{E8FDA461-41EE-4571-A751-BB9D158BF372}"/>
    <cellStyle name="60% - Accent3 2 3 3" xfId="2695" xr:uid="{B4A3F681-94AC-4BAF-AD46-7CE820BE9A5E}"/>
    <cellStyle name="60% - Accent3 2 4" xfId="1074" xr:uid="{C1C79FFA-AF59-41F9-BDE0-3CDCBCF7D8AF}"/>
    <cellStyle name="60% - Accent3 2 5" xfId="2269" xr:uid="{8AE7CC01-73D4-4A30-AD6A-3E4E844DE11B}"/>
    <cellStyle name="60% - Accent3 3" xfId="290" xr:uid="{0A63F6C1-123A-454A-BD7C-8BAAC1838CB7}"/>
    <cellStyle name="60% - Accent3 3 2" xfId="1314" xr:uid="{6EDA9C06-797E-4687-94A9-3A1C8DCF9E0A}"/>
    <cellStyle name="60% - Accent3 4" xfId="291" xr:uid="{1C07C68F-7E81-4795-9533-F913EB7BBBE3}"/>
    <cellStyle name="60% - Accent3 4 2" xfId="800" xr:uid="{91E17338-0D51-4CC4-B4D0-802428CC4E15}"/>
    <cellStyle name="60% - Accent3 4 2 2" xfId="2697" xr:uid="{BF852927-B4BE-48D9-9DE9-50CD5EF6D7EF}"/>
    <cellStyle name="60% - Accent3 4 3" xfId="1560" xr:uid="{D9A00BEA-0953-447D-9180-12207D94AF30}"/>
    <cellStyle name="60% - Accent3 4 3 2" xfId="3351" xr:uid="{C5D796A3-7512-491D-B598-5E1679EC35EB}"/>
    <cellStyle name="60% - Accent3 4 4" xfId="2271" xr:uid="{1B161EAC-D5B7-4E42-83ED-C1416D7496C0}"/>
    <cellStyle name="60% - Accent3 5" xfId="973" xr:uid="{6F1FECAD-8B68-4C9D-B334-935EF016659F}"/>
    <cellStyle name="60% - Accent4 2" xfId="292" xr:uid="{49E36332-9FF4-4790-B089-197664A3D7D5}"/>
    <cellStyle name="60% - Accent4 2 2" xfId="293" xr:uid="{AD72B7BF-974E-4D69-8945-62A3FFDEEA48}"/>
    <cellStyle name="60% - Accent4 2 2 2" xfId="802" xr:uid="{ED8F5B17-021B-4EE3-A876-0683F03DD9E5}"/>
    <cellStyle name="60% - Accent4 2 2 2 2" xfId="1980" xr:uid="{23CD589F-805B-4D7E-BC6C-DDCF3012A368}"/>
    <cellStyle name="60% - Accent4 2 2 2 2 2" xfId="3771" xr:uid="{52927FBF-2AC9-40D8-8319-541E1E32D1A2}"/>
    <cellStyle name="60% - Accent4 2 2 2 3" xfId="2699" xr:uid="{F4E7F3B1-60DB-4140-88B1-7BFDD442632D}"/>
    <cellStyle name="60% - Accent4 2 2 3" xfId="1306" xr:uid="{BD7ABD47-0B7A-404F-802C-FA67F00FAA43}"/>
    <cellStyle name="60% - Accent4 2 2 3 2" xfId="3118" xr:uid="{F76AB760-1B35-4B72-8D2D-D738AB8FEDE9}"/>
    <cellStyle name="60% - Accent4 2 2 4" xfId="2273" xr:uid="{B930E1ED-E2A8-4279-ACB6-81BB1F7069C0}"/>
    <cellStyle name="60% - Accent4 2 3" xfId="801" xr:uid="{AB4D3B87-890C-4B4B-B1BB-F0DC1B9AB9D4}"/>
    <cellStyle name="60% - Accent4 2 3 2" xfId="1573" xr:uid="{7CF07436-643E-43FC-A774-9692843FFE51}"/>
    <cellStyle name="60% - Accent4 2 3 2 2" xfId="3364" xr:uid="{CFAA2EEC-08D2-4072-9EA1-FA108AB400F9}"/>
    <cellStyle name="60% - Accent4 2 3 3" xfId="2698" xr:uid="{D649DADB-1F5B-4800-ABA8-D809EC8DD790}"/>
    <cellStyle name="60% - Accent4 2 4" xfId="1072" xr:uid="{754641F1-EA7B-4B59-97AC-F014E7067062}"/>
    <cellStyle name="60% - Accent4 2 5" xfId="2272" xr:uid="{7A63AB19-051C-41F7-92CA-5A0C2C1F9D5B}"/>
    <cellStyle name="60% - Accent4 3" xfId="294" xr:uid="{41B4C23A-DEC8-4997-ABC4-E32C61412277}"/>
    <cellStyle name="60% - Accent4 3 2" xfId="1315" xr:uid="{B87339FA-9739-4913-8465-D612D56AD5D3}"/>
    <cellStyle name="60% - Accent4 4" xfId="295" xr:uid="{0446B445-277C-4DBC-BD62-A31055821D8A}"/>
    <cellStyle name="60% - Accent4 4 2" xfId="803" xr:uid="{0BDEB829-FFBE-4E81-B277-341DB5009D44}"/>
    <cellStyle name="60% - Accent4 4 2 2" xfId="2700" xr:uid="{D8D8770C-C990-4F77-B475-C68985CD4725}"/>
    <cellStyle name="60% - Accent4 4 3" xfId="1563" xr:uid="{DD04CCB5-77A6-438F-8E81-83FB5ACDE9C4}"/>
    <cellStyle name="60% - Accent4 4 3 2" xfId="3354" xr:uid="{D7BED5DD-3161-4054-BF48-574758C870CB}"/>
    <cellStyle name="60% - Accent4 4 4" xfId="2274" xr:uid="{D068F005-D8DB-44A2-9A42-DBCD7EA7E2EF}"/>
    <cellStyle name="60% - Accent4 5" xfId="974" xr:uid="{D2D83827-7361-4966-A7E0-49D49FEE60AC}"/>
    <cellStyle name="60% - Accent5 2" xfId="296" xr:uid="{5F3F3317-1DE7-4952-B005-E662CFB716B6}"/>
    <cellStyle name="60% - Accent5 2 2" xfId="297" xr:uid="{D75ADE6C-EB29-4877-979A-692F1AD479CF}"/>
    <cellStyle name="60% - Accent5 2 2 2" xfId="805" xr:uid="{8AF839D5-EDF5-42BC-B0C0-819B14800330}"/>
    <cellStyle name="60% - Accent5 2 2 2 2" xfId="1981" xr:uid="{A0B0D04F-6203-4BAC-B66B-13DF56EE4FB3}"/>
    <cellStyle name="60% - Accent5 2 2 2 2 2" xfId="3772" xr:uid="{AC63DB5A-2136-43A4-92D5-69FFAF4AE35E}"/>
    <cellStyle name="60% - Accent5 2 2 2 3" xfId="2702" xr:uid="{C7E4D2B3-687C-4AF1-B7BB-3B09AD0AAF1B}"/>
    <cellStyle name="60% - Accent5 2 2 3" xfId="1307" xr:uid="{7AD4C7A3-367A-4388-BFB9-DCC1C6D40D95}"/>
    <cellStyle name="60% - Accent5 2 2 3 2" xfId="3119" xr:uid="{65E6C271-155C-4A3D-B872-A6BED5B9544E}"/>
    <cellStyle name="60% - Accent5 2 2 4" xfId="2276" xr:uid="{3A73569B-0C66-4ADE-A638-CEAE29BDBDDE}"/>
    <cellStyle name="60% - Accent5 2 3" xfId="804" xr:uid="{1F4327DA-A4B7-4129-936C-D37A48657CA9}"/>
    <cellStyle name="60% - Accent5 2 3 2" xfId="1574" xr:uid="{FD2B0CCE-AAAC-459B-A8B3-E955D68296FD}"/>
    <cellStyle name="60% - Accent5 2 3 2 2" xfId="3365" xr:uid="{0F39123B-F06E-4626-9B64-A0CBE3A5E88D}"/>
    <cellStyle name="60% - Accent5 2 3 3" xfId="2701" xr:uid="{00AF7B12-0396-43E0-9AB0-B6415FA1BF9E}"/>
    <cellStyle name="60% - Accent5 2 4" xfId="1070" xr:uid="{4EFC9FFB-477B-44FD-8402-3FA669133C85}"/>
    <cellStyle name="60% - Accent5 2 5" xfId="2275" xr:uid="{D528F7B1-9B55-4CA5-A233-A9BA89508BD8}"/>
    <cellStyle name="60% - Accent5 3" xfId="298" xr:uid="{A99E9691-CD5C-4BA2-B216-7439C075D31C}"/>
    <cellStyle name="60% - Accent5 3 2" xfId="1316" xr:uid="{53BE2270-C0C9-40A0-AAB0-97C4E6808E27}"/>
    <cellStyle name="60% - Accent5 4" xfId="299" xr:uid="{E9D7239C-6F3C-4942-8A22-8F307E301855}"/>
    <cellStyle name="60% - Accent5 4 2" xfId="806" xr:uid="{05EFA36B-D450-4588-9003-34C2C9B73806}"/>
    <cellStyle name="60% - Accent5 4 2 2" xfId="2703" xr:uid="{349D754B-5E57-40F3-A706-701A7B21F140}"/>
    <cellStyle name="60% - Accent5 4 3" xfId="1566" xr:uid="{34BDA333-7DB8-4FCF-B702-6EF1EA1261E9}"/>
    <cellStyle name="60% - Accent5 4 3 2" xfId="3357" xr:uid="{47CC9C33-EE31-4772-A450-2651BC262558}"/>
    <cellStyle name="60% - Accent5 4 4" xfId="2277" xr:uid="{B41401B0-F0C1-4875-9D06-355D8CCE1B9A}"/>
    <cellStyle name="60% - Accent5 5" xfId="975" xr:uid="{286B875C-DF1C-467E-81F0-7201F7AB201F}"/>
    <cellStyle name="60% - Accent6 2" xfId="300" xr:uid="{2DDA241B-AD9C-439B-9043-1FE307AA194B}"/>
    <cellStyle name="60% - Accent6 2 2" xfId="301" xr:uid="{E43264CC-A799-4DB0-BB07-B79340EAAF16}"/>
    <cellStyle name="60% - Accent6 2 2 2" xfId="808" xr:uid="{AE33BC45-FE32-45A0-89A5-B61828422472}"/>
    <cellStyle name="60% - Accent6 2 2 2 2" xfId="1982" xr:uid="{D5ABA4F6-3464-4C72-A428-1951B08BBD05}"/>
    <cellStyle name="60% - Accent6 2 2 2 2 2" xfId="3773" xr:uid="{B7E7C1DE-F5F4-44C4-BD88-92E69F547E80}"/>
    <cellStyle name="60% - Accent6 2 2 2 3" xfId="2705" xr:uid="{363D4FF5-EA87-4B73-AFB8-53853B1E7929}"/>
    <cellStyle name="60% - Accent6 2 2 3" xfId="1308" xr:uid="{D5AE14B1-985F-4D2B-A084-87CF8E671E54}"/>
    <cellStyle name="60% - Accent6 2 2 3 2" xfId="3120" xr:uid="{29DD034D-FF3D-43D2-8A44-22A3A2110432}"/>
    <cellStyle name="60% - Accent6 2 2 4" xfId="2279" xr:uid="{275BA769-F873-42AB-978E-2E1A165018F1}"/>
    <cellStyle name="60% - Accent6 2 3" xfId="807" xr:uid="{2338C825-D192-4B75-ACA6-27D8B1F09232}"/>
    <cellStyle name="60% - Accent6 2 3 2" xfId="1575" xr:uid="{2FC124A4-6897-4AB5-8B21-242A02BE75A6}"/>
    <cellStyle name="60% - Accent6 2 3 2 2" xfId="3366" xr:uid="{BBF14020-22F1-4A04-912B-1B8E29ADA137}"/>
    <cellStyle name="60% - Accent6 2 3 3" xfId="2704" xr:uid="{D9A4EDAA-E128-4D8B-BCFA-95C3A88A951A}"/>
    <cellStyle name="60% - Accent6 2 4" xfId="1093" xr:uid="{CA7F79F4-8E72-49D4-8B8A-02CE643F6333}"/>
    <cellStyle name="60% - Accent6 2 5" xfId="2278" xr:uid="{57A3EE88-8A5A-4ACF-82D2-E2FCCD07F8B9}"/>
    <cellStyle name="60% - Accent6 3" xfId="302" xr:uid="{6989934E-3E7A-46A4-9248-3A587255CADA}"/>
    <cellStyle name="60% - Accent6 3 2" xfId="1317" xr:uid="{1F5C7911-E105-4C9E-BCCA-A042603BB2B9}"/>
    <cellStyle name="60% - Accent6 4" xfId="303" xr:uid="{4BE75E50-373E-45D3-83AE-29B67470FFEA}"/>
    <cellStyle name="60% - Accent6 4 2" xfId="809" xr:uid="{A4A8EB45-950E-4EBE-ACA7-8DDB20DC0990}"/>
    <cellStyle name="60% - Accent6 4 2 2" xfId="2706" xr:uid="{F5E3D251-2867-4EFE-B14F-9DCDAE755FA5}"/>
    <cellStyle name="60% - Accent6 4 3" xfId="1569" xr:uid="{4A262349-E3F1-42BB-A5FB-35A2ADF62E89}"/>
    <cellStyle name="60% - Accent6 4 3 2" xfId="3360" xr:uid="{B7FC6BCF-9D2A-44BB-B0E7-DB3D57697AAB}"/>
    <cellStyle name="60% - Accent6 4 4" xfId="2280" xr:uid="{D8702A02-F654-469B-8B5E-5C4C17C5307A}"/>
    <cellStyle name="60% - Accent6 5" xfId="976" xr:uid="{90CB2975-E066-49BC-9363-6930AC64ED69}"/>
    <cellStyle name="Accent1 2" xfId="1090" xr:uid="{1EFC85E2-3A12-4CC8-B8BF-E31AC9186D41}"/>
    <cellStyle name="Accent2 2" xfId="1087" xr:uid="{037637C1-C9CA-48C0-AC30-16E3F15A7EA3}"/>
    <cellStyle name="Accent3 2" xfId="1083" xr:uid="{3D54BEDF-03B2-42AC-89F1-B9C10A93D3F8}"/>
    <cellStyle name="Accent4 2" xfId="1080" xr:uid="{CD0756E4-95C0-4316-8915-94AECB21F17E}"/>
    <cellStyle name="Accent5 2" xfId="1076" xr:uid="{C50B20BA-1987-4B49-9BC8-759B9BC98BAB}"/>
    <cellStyle name="Accent6 2" xfId="1096" xr:uid="{D1E43FA2-DAC5-4C68-838E-EE1DE4809CFE}"/>
    <cellStyle name="Bad 2" xfId="1092" xr:uid="{E8107FD5-0C42-4604-9503-0976A525D83E}"/>
    <cellStyle name="Calculation 2" xfId="1089" xr:uid="{7BF83175-8546-4F9D-83C9-7BFD4C27D4D7}"/>
    <cellStyle name="Check Cell 2" xfId="1086" xr:uid="{14E6EE52-ACC8-4316-BF71-AADA17A4A3EE}"/>
    <cellStyle name="Comma" xfId="1" builtinId="3"/>
    <cellStyle name="Comma [0] 2" xfId="21" xr:uid="{8270493A-4B9E-400D-99E9-D984519CC83B}"/>
    <cellStyle name="Comma [0] 3" xfId="15" xr:uid="{C5BAEF1A-49E8-442B-8CED-BEB6E9C76316}"/>
    <cellStyle name="Comma 10" xfId="305" xr:uid="{F94AB9A8-E2BB-4B29-8EEF-09D0D3112AA7}"/>
    <cellStyle name="Comma 10 2" xfId="810" xr:uid="{3D6EED03-85AC-4557-A0D9-7D01382528F4}"/>
    <cellStyle name="Comma 10 2 2" xfId="1792" xr:uid="{715C56B7-7136-4686-A52B-5D9DAA8DFF00}"/>
    <cellStyle name="Comma 10 2 2 2" xfId="3583" xr:uid="{42633334-50FB-4B6D-A160-108D1E4564BF}"/>
    <cellStyle name="Comma 10 2 3" xfId="2707" xr:uid="{222E5F23-CB4A-4523-A1F4-FFD4E6610577}"/>
    <cellStyle name="Comma 10 3" xfId="1360" xr:uid="{5C6E5B32-E3D5-47FF-8571-7CF01FA227A9}"/>
    <cellStyle name="Comma 10 3 2" xfId="3154" xr:uid="{92B96A37-9541-47F6-9D3C-C82F0C3C1CE4}"/>
    <cellStyle name="Comma 10 4" xfId="2281" xr:uid="{0F84C51E-CC6C-4AC6-80BE-B2ACAAC4ECEB}"/>
    <cellStyle name="Comma 11" xfId="304" xr:uid="{93720D4B-4FAB-458A-872B-7B9DF7647B35}"/>
    <cellStyle name="Comma 11 2" xfId="1546" xr:uid="{B22B0BB9-BEED-45B5-9766-96216837EFDC}"/>
    <cellStyle name="Comma 11 2 2" xfId="3337" xr:uid="{3CF12719-73BC-478A-9620-15835F57ABED}"/>
    <cellStyle name="Comma 12" xfId="1549" xr:uid="{B31FFC22-9970-4656-AC5F-7FAFE8B0AAAC}"/>
    <cellStyle name="Comma 12 2" xfId="3340" xr:uid="{0CAD4B0A-EAC5-4F6B-BF20-D3196E2DFF54}"/>
    <cellStyle name="Comma 13" xfId="1545" xr:uid="{733B291D-B648-45FD-A846-2C58AA6569CD}"/>
    <cellStyle name="Comma 13 2" xfId="1995" xr:uid="{0FACC425-289A-4B7A-AC22-CB0170BD1C34}"/>
    <cellStyle name="Comma 14" xfId="1985" xr:uid="{9B5BD143-FB99-45EF-95ED-148D68E2C5B8}"/>
    <cellStyle name="Comma 14 2" xfId="3776" xr:uid="{D9723B8A-4545-404B-AE3A-654A8178CA3A}"/>
    <cellStyle name="Comma 15" xfId="1309" xr:uid="{A606B31B-8069-4BAA-A112-6D6FBF30534E}"/>
    <cellStyle name="Comma 15 2" xfId="3121" xr:uid="{0B4381FB-FC2E-4634-92A6-ECD55AF3FB2D}"/>
    <cellStyle name="Comma 16" xfId="966" xr:uid="{E4A388D2-423F-4CAF-983E-8EA3A2C63D0C}"/>
    <cellStyle name="Comma 17" xfId="1543" xr:uid="{0782789E-EBAE-43E4-A661-13EB461A0E35}"/>
    <cellStyle name="Comma 18" xfId="26" xr:uid="{7976DBE1-09A7-4119-A877-F0864228AA87}"/>
    <cellStyle name="Comma 19" xfId="2004" xr:uid="{3E4F8A7C-415A-43B5-BD58-49500EA73855}"/>
    <cellStyle name="Comma 2" xfId="7" xr:uid="{D972E145-CF5E-41C8-B488-D8E87A664EE0}"/>
    <cellStyle name="Comma 2 2" xfId="24" xr:uid="{02E3F030-9BEB-432F-B4C5-5AA0EDFFE612}"/>
    <cellStyle name="Comma 2 2 2" xfId="306" xr:uid="{99E3554C-4525-46E6-A591-1558AABCDBE3}"/>
    <cellStyle name="Comma 2 2 2 2" xfId="307" xr:uid="{03AB97A4-26DD-45E0-B25C-82E3FF1B1F27}"/>
    <cellStyle name="Comma 2 2 2 2 2" xfId="812" xr:uid="{DBC65A17-94C5-4847-BD81-A2A6616455EB}"/>
    <cellStyle name="Comma 2 2 2 2 2 2" xfId="1790" xr:uid="{9A4A5E53-FFAC-4F64-BB34-95017825467B}"/>
    <cellStyle name="Comma 2 2 2 2 2 2 2" xfId="3581" xr:uid="{79A0AE51-2984-41D2-9CDF-9C04FAECABD4}"/>
    <cellStyle name="Comma 2 2 2 2 2 3" xfId="2709" xr:uid="{98467184-A4C7-471A-A7BC-A9752658B5CA}"/>
    <cellStyle name="Comma 2 2 2 2 3" xfId="1299" xr:uid="{4291424A-8A04-4979-83E3-46CE4BE589EC}"/>
    <cellStyle name="Comma 2 2 2 2 3 2" xfId="3114" xr:uid="{9FE1AC7A-A436-4CB9-B472-237B76D28D2A}"/>
    <cellStyle name="Comma 2 2 2 2 4" xfId="2283" xr:uid="{0CBC371F-4CD5-49D4-A9E2-BB42EC4D51AD}"/>
    <cellStyle name="Comma 2 2 2 3" xfId="308" xr:uid="{9910D58F-749E-449F-BF06-1289FD672D99}"/>
    <cellStyle name="Comma 2 2 2 3 2" xfId="813" xr:uid="{FD21F7FC-E692-4E29-98AB-FD0E6660BECA}"/>
    <cellStyle name="Comma 2 2 2 3 2 2" xfId="1976" xr:uid="{E1412AEE-CB24-462F-A378-944AB5F3D487}"/>
    <cellStyle name="Comma 2 2 2 3 2 2 2" xfId="3767" xr:uid="{DC4D00EB-27F9-41F6-9CEB-95518A7910C0}"/>
    <cellStyle name="Comma 2 2 2 3 2 3" xfId="2710" xr:uid="{B59E1F29-ABAA-4B30-8371-13760AF1735C}"/>
    <cellStyle name="Comma 2 2 2 3 3" xfId="1542" xr:uid="{3E0AD8D4-A1A2-45E9-AD8F-0CD753A68C98}"/>
    <cellStyle name="Comma 2 2 2 3 3 2" xfId="3336" xr:uid="{9BE87F91-A264-49AD-914D-A894282E397A}"/>
    <cellStyle name="Comma 2 2 2 3 4" xfId="2284" xr:uid="{B98CE147-0C14-4C2B-A04B-FA62150A99A5}"/>
    <cellStyle name="Comma 2 2 2 4" xfId="309" xr:uid="{F5404ECF-8B25-4503-9F86-F91B1D395AF6}"/>
    <cellStyle name="Comma 2 2 2 5" xfId="811" xr:uid="{D28E32B4-4596-43D3-8180-7D23CCE18DB3}"/>
    <cellStyle name="Comma 2 2 2 5 2" xfId="1745" xr:uid="{6D7594C5-D269-484D-B83D-A6A2DE3291ED}"/>
    <cellStyle name="Comma 2 2 2 5 2 2" xfId="3536" xr:uid="{45AD3CC9-95BB-441C-822C-1E56E78EAE9F}"/>
    <cellStyle name="Comma 2 2 2 5 3" xfId="2708" xr:uid="{8506CDA7-9D09-4404-BE0A-91C6D4795D40}"/>
    <cellStyle name="Comma 2 2 2 6" xfId="2282" xr:uid="{04B51EE6-8209-4B56-80AA-CBBEB8594800}"/>
    <cellStyle name="Comma 2 2 3" xfId="1050" xr:uid="{CE4B8531-94BF-42AF-B746-ADDE847A853C}"/>
    <cellStyle name="Comma 2 3" xfId="310" xr:uid="{36FD8B51-14A1-41D5-8C78-3BD89F5FA9BC}"/>
    <cellStyle name="Comma 2 3 2" xfId="311" xr:uid="{D450B7C0-188C-4A45-AA47-D5DBBB0F2E65}"/>
    <cellStyle name="Comma 2 3 2 2" xfId="312" xr:uid="{1143EF06-C41A-4563-9B35-394F601C80C3}"/>
    <cellStyle name="Comma 2 3 2 3" xfId="313" xr:uid="{BD9060BD-B9AD-444A-9FE4-D6A22ADD74C3}"/>
    <cellStyle name="Comma 2 3 2 3 2" xfId="314" xr:uid="{D9B90915-8CD1-42F2-A6F8-DBED91368D45}"/>
    <cellStyle name="Comma 2 3 2 3 3" xfId="1991" xr:uid="{88416454-5D7C-4232-B73A-8EF34A1A3E12}"/>
    <cellStyle name="Comma 2 3 2 3 3 2" xfId="2001" xr:uid="{D1711D4E-0482-41EA-8143-653E4DB63DCE}"/>
    <cellStyle name="Comma 2 3 2 4" xfId="1324" xr:uid="{058051EA-A1F6-4495-A191-EBEA475FEF19}"/>
    <cellStyle name="Comma 2 3 3" xfId="1142" xr:uid="{B96FFD18-2BB9-4CBF-82D4-75169B264553}"/>
    <cellStyle name="Comma 2 3 4" xfId="1079" xr:uid="{4318E633-F586-422F-A614-7D8FF69D3ECA}"/>
    <cellStyle name="Comma 2 4" xfId="315" xr:uid="{7564A353-1313-4768-9BB8-178130A02F72}"/>
    <cellStyle name="Comma 2 4 2" xfId="316" xr:uid="{8FE12E37-C25B-4F7A-A12D-2BA6B5FB1E2B}"/>
    <cellStyle name="Comma 2 4 2 2" xfId="815" xr:uid="{31236266-4E58-4031-A78C-13BA97BD3F8C}"/>
    <cellStyle name="Comma 2 4 2 2 2" xfId="1751" xr:uid="{34B2CF4F-69AD-47F2-B007-2887E18DB10F}"/>
    <cellStyle name="Comma 2 4 2 2 2 2" xfId="3542" xr:uid="{46580D18-8A12-4525-AA49-7CC6E0D3338C}"/>
    <cellStyle name="Comma 2 4 2 2 3" xfId="2712" xr:uid="{687A91C3-D30C-4CBD-9777-65B741FCC78A}"/>
    <cellStyle name="Comma 2 4 2 3" xfId="1335" xr:uid="{55943C2D-4B3E-43A7-8628-09DBEBC211DF}"/>
    <cellStyle name="Comma 2 4 2 3 2" xfId="3130" xr:uid="{A0645E2F-74EE-4D20-BE8F-C959A5B8970C}"/>
    <cellStyle name="Comma 2 4 2 4" xfId="2286" xr:uid="{CCBDCA4C-ABD3-44D4-BB68-CB2D3BD98FD1}"/>
    <cellStyle name="Comma 2 4 3" xfId="317" xr:uid="{2C2CF646-65A5-422F-9490-1197414FB8CE}"/>
    <cellStyle name="Comma 2 4 3 2" xfId="816" xr:uid="{D3A96793-B783-41F1-B516-4EFDEF0A24B7}"/>
    <cellStyle name="Comma 2 4 3 2 2" xfId="1771" xr:uid="{32F1033B-5779-431C-BE9F-371E67E0695C}"/>
    <cellStyle name="Comma 2 4 3 2 2 2" xfId="3562" xr:uid="{FE74B9D3-67D4-4DEF-8582-C8639A2C2CF4}"/>
    <cellStyle name="Comma 2 4 3 2 3" xfId="2713" xr:uid="{60426AD1-34CB-4BFA-BB17-A072A259547A}"/>
    <cellStyle name="Comma 2 4 3 3" xfId="1351" xr:uid="{A1906727-5616-45A4-8D7D-4ACC301B607C}"/>
    <cellStyle name="Comma 2 4 3 3 2" xfId="3146" xr:uid="{9584C6CE-4B5C-47FB-AA47-B93F9A0B4376}"/>
    <cellStyle name="Comma 2 4 3 4" xfId="2287" xr:uid="{9AE49F1C-5CF7-430D-AEDA-415ED5FF46D8}"/>
    <cellStyle name="Comma 2 4 4" xfId="318" xr:uid="{719E2861-6A0A-4A56-90B2-819BE687EC3C}"/>
    <cellStyle name="Comma 2 4 4 2" xfId="817" xr:uid="{0159D579-365F-4396-8D22-DBE938FB4D1B}"/>
    <cellStyle name="Comma 2 4 4 2 2" xfId="1808" xr:uid="{EAFC83B1-9C1E-42F5-A202-05C622C41850}"/>
    <cellStyle name="Comma 2 4 4 2 2 2" xfId="3599" xr:uid="{AD326AA5-F486-48F2-B4BB-1CAB426DF1C6}"/>
    <cellStyle name="Comma 2 4 4 2 3" xfId="2714" xr:uid="{3EDC2EFE-B5E9-465D-9689-FC27870000EE}"/>
    <cellStyle name="Comma 2 4 4 3" xfId="1376" xr:uid="{3A711E96-3A6D-4C21-8AA0-B587FCCAAB92}"/>
    <cellStyle name="Comma 2 4 4 3 2" xfId="3170" xr:uid="{CBCB882B-58A7-4FBC-8496-3A2DDE383B42}"/>
    <cellStyle name="Comma 2 4 4 4" xfId="2288" xr:uid="{1EDB09FA-D637-4DE2-918B-FA60FCE7E8EF}"/>
    <cellStyle name="Comma 2 4 5" xfId="319" xr:uid="{4DAC9724-1E13-4FFA-AFE6-0C4FD1ADEE2D}"/>
    <cellStyle name="Comma 2 4 6" xfId="814" xr:uid="{D047C121-F80E-497F-B099-CE428A0FA968}"/>
    <cellStyle name="Comma 2 4 6 2" xfId="1577" xr:uid="{58EB3F11-678F-42F7-9865-E6CC842303C5}"/>
    <cellStyle name="Comma 2 4 6 2 2" xfId="3368" xr:uid="{642708BD-2CE1-4EC5-9E70-3DBBA6FBC67A}"/>
    <cellStyle name="Comma 2 4 6 3" xfId="2711" xr:uid="{9EA10F50-3B4A-4267-A1D5-4C19C35251BE}"/>
    <cellStyle name="Comma 2 4 7" xfId="1145" xr:uid="{6931BE10-E46B-4C84-AA83-43BA80101AEB}"/>
    <cellStyle name="Comma 2 4 7 2" xfId="2965" xr:uid="{27514977-8397-46F4-98FC-4F5230A47E22}"/>
    <cellStyle name="Comma 2 4 8" xfId="2285" xr:uid="{1B5AF963-021B-4F12-B1D1-2BA74626F5BD}"/>
    <cellStyle name="Comma 2 5" xfId="320" xr:uid="{BC7BC8E0-5DBD-48ED-A0B8-36197DDE78B7}"/>
    <cellStyle name="Comma 20" xfId="2005" xr:uid="{B6DBD4C2-FA75-4D6F-A9C1-A6FAD21927D2}"/>
    <cellStyle name="Comma 21" xfId="2006" xr:uid="{90293071-B080-49A3-899C-56C79E1A2B0D}"/>
    <cellStyle name="Comma 22" xfId="2007" xr:uid="{4A946AC4-4BE5-4680-8F9D-7ACBE5B563F2}"/>
    <cellStyle name="Comma 23" xfId="2008" xr:uid="{712B4D6A-97BC-476E-947A-6E526F47BBDC}"/>
    <cellStyle name="Comma 24" xfId="2009" xr:uid="{86A83EFE-53D3-4C8F-893E-F4BC8BA63040}"/>
    <cellStyle name="Comma 25" xfId="3777" xr:uid="{F6238084-E1FE-48D4-B665-59F357FE17F0}"/>
    <cellStyle name="Comma 26" xfId="3780" xr:uid="{067BB4FB-75BF-4310-B619-BDF433FC64CA}"/>
    <cellStyle name="Comma 27" xfId="3781" xr:uid="{FD6777D2-70E6-4AEC-AFAA-89FA88F19B89}"/>
    <cellStyle name="Comma 28" xfId="3782" xr:uid="{35E86D49-746C-483D-8DB9-9204A97607AA}"/>
    <cellStyle name="Comma 29" xfId="3783" xr:uid="{B0A0319F-F41A-4B96-A994-F07C03E636C4}"/>
    <cellStyle name="Comma 3" xfId="20" xr:uid="{A494BE31-CBF6-4611-BD90-5E9F686FBE2A}"/>
    <cellStyle name="Comma 3 2" xfId="322" xr:uid="{06E801EF-CAF4-430B-AE17-CDC0BB924802}"/>
    <cellStyle name="Comma 3 2 2" xfId="323" xr:uid="{6E6ACF25-65D4-4AD3-8D0D-214C7C3E0A41}"/>
    <cellStyle name="Comma 3 2 3" xfId="819" xr:uid="{3AF71312-D765-447D-804A-6F7C7F94CE7D}"/>
    <cellStyle name="Comma 3 2 3 2" xfId="1321" xr:uid="{FCDF2F7C-04E5-48D0-BC75-B51D8DC64843}"/>
    <cellStyle name="Comma 3 2 3 2 2" xfId="3122" xr:uid="{C10535EA-2914-445E-A3F0-49AAE6A9E9AE}"/>
    <cellStyle name="Comma 3 2 3 3" xfId="2716" xr:uid="{15B138CA-8A16-4B5D-AEEF-FC3A946698E7}"/>
    <cellStyle name="Comma 3 2 4" xfId="1052" xr:uid="{6BB1F305-B276-483B-BCDE-352D1BF835D9}"/>
    <cellStyle name="Comma 3 2 5" xfId="2290" xr:uid="{72FF5A77-B5B6-4ED3-BCB5-D1C67853675F}"/>
    <cellStyle name="Comma 3 3" xfId="324" xr:uid="{32E26A64-C3A1-414B-A071-ED33893657FC}"/>
    <cellStyle name="Comma 3 3 2" xfId="1053" xr:uid="{7353ED13-1D42-4F95-BE70-080913C4F2D9}"/>
    <cellStyle name="Comma 3 4" xfId="818" xr:uid="{7A99B377-82A9-4CBF-BEB8-2393D800E4B3}"/>
    <cellStyle name="Comma 3 4 2" xfId="1095" xr:uid="{A714C17E-F4E9-4AF1-BA0A-8E18AE359735}"/>
    <cellStyle name="Comma 3 4 3" xfId="2715" xr:uid="{9CA11E49-486F-4782-89D7-18C972509580}"/>
    <cellStyle name="Comma 3 5" xfId="1152" xr:uid="{D567469F-DD78-4080-AFE1-6531A4E824AC}"/>
    <cellStyle name="Comma 3 6" xfId="980" xr:uid="{8EDBA35C-E8FA-49D2-A639-E33A2A9370FC}"/>
    <cellStyle name="Comma 3 6 2" xfId="2868" xr:uid="{C1998690-D55F-4CE5-B439-54E67233A00D}"/>
    <cellStyle name="Comma 3 7" xfId="321" xr:uid="{360BD5BA-4E2F-420B-90EF-D9E0A2945484}"/>
    <cellStyle name="Comma 3 7 2" xfId="2289" xr:uid="{20975999-638F-4346-A783-CECFAD97BF4C}"/>
    <cellStyle name="Comma 30" xfId="3784" xr:uid="{0CC661F0-7427-4DF2-9586-6323D63627E9}"/>
    <cellStyle name="Comma 31" xfId="3785" xr:uid="{7D1C972C-58A5-496B-A8FF-AB31D8329C79}"/>
    <cellStyle name="Comma 32" xfId="3786" xr:uid="{8D3D8AC1-4B1F-4E02-9668-EE8489239C32}"/>
    <cellStyle name="Comma 33" xfId="3787" xr:uid="{DB6B74AE-8DCC-4185-8ED8-C41A0D3F1FF4}"/>
    <cellStyle name="Comma 34" xfId="3788" xr:uid="{B3E55E46-88D6-4DCA-B8A8-EEF756DEE34B}"/>
    <cellStyle name="Comma 35" xfId="3789" xr:uid="{E8F45973-7AE8-4DFE-BA08-21489C4D3C8A}"/>
    <cellStyle name="Comma 36" xfId="3790" xr:uid="{CFBE80CF-AA64-40CB-8B6C-C8A5477FB4C8}"/>
    <cellStyle name="Comma 37" xfId="3791" xr:uid="{EACB18FC-C800-4AF9-AB99-6D1E4587D30C}"/>
    <cellStyle name="Comma 38" xfId="3792" xr:uid="{9329AB8E-A4DE-4E25-917E-522C106D7E81}"/>
    <cellStyle name="Comma 39" xfId="3793" xr:uid="{20DDA9C7-9977-43F8-8A64-F86FA48DE491}"/>
    <cellStyle name="Comma 4" xfId="14" xr:uid="{D3044ACC-4FD4-499C-8239-6E2606F3DB9B}"/>
    <cellStyle name="Comma 4 2" xfId="325" xr:uid="{921AD8ED-8608-4BE4-BA78-05A480628BB1}"/>
    <cellStyle name="Comma 4 2 2" xfId="326" xr:uid="{E57921AA-1000-4407-A662-45CB554D8AFF}"/>
    <cellStyle name="Comma 4 2 3" xfId="820" xr:uid="{FD471907-C6BE-4EB8-AFB5-6B326D082D05}"/>
    <cellStyle name="Comma 4 2 3 2" xfId="1326" xr:uid="{6C2C8B6E-35D2-40F3-A5E3-339DF6D2AF4F}"/>
    <cellStyle name="Comma 4 2 3 2 2" xfId="3125" xr:uid="{A63164C7-1C7B-4386-8C78-3330187DBCB9}"/>
    <cellStyle name="Comma 4 2 3 3" xfId="2717" xr:uid="{683ACF8D-4204-4993-9B02-EE0D20984945}"/>
    <cellStyle name="Comma 4 2 4" xfId="2291" xr:uid="{40351B17-8E0D-4353-97D5-5723CAC91EFA}"/>
    <cellStyle name="Comma 4 3" xfId="1091" xr:uid="{72318EEA-BCA9-4A97-9FFD-E749BD78D145}"/>
    <cellStyle name="Comma 40" xfId="3794" xr:uid="{78AB02AD-AF6C-4BA6-AA92-CBD17D71A811}"/>
    <cellStyle name="Comma 41" xfId="3795" xr:uid="{A2BA7A91-AE84-46C3-B161-56A6CDBF6ED5}"/>
    <cellStyle name="Comma 42" xfId="3796" xr:uid="{C28C7BF2-8785-4AF0-B29F-C42C6CC452D9}"/>
    <cellStyle name="Comma 43" xfId="3797" xr:uid="{CCB95E4C-31BE-48DE-9E50-C7C9D62BB24C}"/>
    <cellStyle name="Comma 44" xfId="3798" xr:uid="{04F78B9F-82CD-4E6D-96C2-FAA09D1E2AB7}"/>
    <cellStyle name="Comma 45" xfId="3799" xr:uid="{7B62B0DC-DAFD-45F8-AA98-BAE169B38895}"/>
    <cellStyle name="Comma 46" xfId="3800" xr:uid="{87ED506E-B355-4C1D-8157-973E35B161B9}"/>
    <cellStyle name="Comma 47" xfId="3801" xr:uid="{93D3C747-3E29-4EFD-9D40-B4BEA3B3E96C}"/>
    <cellStyle name="Comma 48" xfId="3802" xr:uid="{5809F7BE-E1F7-4B2E-8CA6-09547AF67E38}"/>
    <cellStyle name="Comma 49" xfId="3803" xr:uid="{D4ABD2AD-8D74-4786-B6E4-ABA3A2748D4E}"/>
    <cellStyle name="Comma 5" xfId="327" xr:uid="{D83226B8-DA47-49BC-89F9-5AEB8B51A152}"/>
    <cellStyle name="Comma 5 2" xfId="328" xr:uid="{1A138C58-67A5-475C-ADCA-1C3B48C6E4E4}"/>
    <cellStyle name="Comma 5 3" xfId="329" xr:uid="{F2763D25-E421-4C39-A41B-6AA41758053D}"/>
    <cellStyle name="Comma 5 4" xfId="330" xr:uid="{C636FCE8-7B0E-49FE-B4CA-BA567F246D69}"/>
    <cellStyle name="Comma 5 4 2" xfId="821" xr:uid="{85A4BA76-0C7C-419F-9F2B-97E27269BFAF}"/>
    <cellStyle name="Comma 5 4 2 2" xfId="1748" xr:uid="{4F15D96D-4331-498E-A001-6E92F3C169A2}"/>
    <cellStyle name="Comma 5 4 2 2 2" xfId="3539" xr:uid="{D06C1B52-C1F2-4082-8AF1-835E323FBB25}"/>
    <cellStyle name="Comma 5 4 2 3" xfId="2718" xr:uid="{5471BF93-7726-4B32-B7DC-D3DEC6191042}"/>
    <cellStyle name="Comma 5 4 3" xfId="1332" xr:uid="{18601823-179A-4D1A-82FA-5A313655D803}"/>
    <cellStyle name="Comma 5 4 3 2" xfId="3127" xr:uid="{E5ABABF4-C698-484E-A640-CFDB90CD25C2}"/>
    <cellStyle name="Comma 5 4 4" xfId="2292" xr:uid="{247EE33D-BD4F-4EA6-86FC-1C9B957C078F}"/>
    <cellStyle name="Comma 50" xfId="3804" xr:uid="{67A7EAB4-9F68-42B4-BA77-DB0084C03DC8}"/>
    <cellStyle name="Comma 51" xfId="3805" xr:uid="{5A7ED009-9D2D-4F71-9DF7-312BE8D76DBB}"/>
    <cellStyle name="Comma 52" xfId="3806" xr:uid="{E5D1C7B8-5507-4078-B9E9-0401BCBAEA49}"/>
    <cellStyle name="Comma 53" xfId="3807" xr:uid="{AC144346-CBA2-4099-9B9F-40A6552AED50}"/>
    <cellStyle name="Comma 54" xfId="3808" xr:uid="{4135552F-35CD-4A1F-8189-202A3CD3CAF3}"/>
    <cellStyle name="Comma 55" xfId="3809" xr:uid="{DAD06431-378D-4C8E-BC44-B8D4F1DDA576}"/>
    <cellStyle name="Comma 56" xfId="3810" xr:uid="{1974FCCA-E9E9-4D3C-90A2-1ED6E626A075}"/>
    <cellStyle name="Comma 57" xfId="3811" xr:uid="{D9DED2F4-7C3C-4FC1-919A-4855DD8FAB3C}"/>
    <cellStyle name="Comma 58" xfId="3812" xr:uid="{2D482736-EE90-4D25-BAAB-C675FA3BB7FF}"/>
    <cellStyle name="Comma 59" xfId="3813" xr:uid="{DD962EDE-20C6-4B8A-9F93-A2F0F74A680A}"/>
    <cellStyle name="Comma 6" xfId="331" xr:uid="{7BA28907-1CA0-4465-8497-550440073944}"/>
    <cellStyle name="Comma 6 2" xfId="332" xr:uid="{36D28B35-CD8D-485F-B6E4-1EAEA0BC0DC1}"/>
    <cellStyle name="Comma 6 2 2" xfId="1353" xr:uid="{69716F46-D289-4839-8234-D6555E9BF44F}"/>
    <cellStyle name="Comma 6 2 3" xfId="1124" xr:uid="{8B3FC160-7AA9-4EBA-BF39-7C1C5538FDD6}"/>
    <cellStyle name="Comma 6 2 3 2" xfId="2947" xr:uid="{DA3D1F54-193E-4A30-8847-F084DFA85520}"/>
    <cellStyle name="Comma 6 3" xfId="333" xr:uid="{8329D4B2-9300-4A48-9EFB-7C9D158D6D54}"/>
    <cellStyle name="Comma 6 3 2" xfId="822" xr:uid="{89BE2182-013D-46F8-94E1-C72086258F8C}"/>
    <cellStyle name="Comma 6 3 2 2" xfId="1750" xr:uid="{B3B38F4A-0EC5-453F-A30A-7C9EA458FFEB}"/>
    <cellStyle name="Comma 6 3 2 2 2" xfId="3541" xr:uid="{0EE91421-D6AC-4143-B135-652B788D1455}"/>
    <cellStyle name="Comma 6 3 2 3" xfId="2719" xr:uid="{62FE16A8-5EA8-40AF-960F-E213358D4A78}"/>
    <cellStyle name="Comma 6 3 3" xfId="1334" xr:uid="{3A217B43-7028-4346-A29A-FBF9A73BD358}"/>
    <cellStyle name="Comma 6 3 3 2" xfId="3129" xr:uid="{8063F338-C4B2-4A73-91A2-CECBA5F40F9B}"/>
    <cellStyle name="Comma 6 3 4" xfId="2293" xr:uid="{08830A4A-F210-4F96-85A6-221914C8C8CE}"/>
    <cellStyle name="Comma 60" xfId="3814" xr:uid="{C2572828-40C3-48E1-B8DF-E7E16F62D4C0}"/>
    <cellStyle name="Comma 61" xfId="3815" xr:uid="{D2B853F2-08B0-4BF9-B5DE-5E6C48182667}"/>
    <cellStyle name="Comma 62" xfId="3816" xr:uid="{F0450A6B-7B06-4196-A7F4-D8B6C51DBD14}"/>
    <cellStyle name="Comma 63" xfId="3817" xr:uid="{A7519C73-5495-41EB-83D8-B29D5B87FF5F}"/>
    <cellStyle name="Comma 64" xfId="3818" xr:uid="{58812842-C347-4C8F-A790-0251EABF22C6}"/>
    <cellStyle name="Comma 65" xfId="3819" xr:uid="{10321ECA-AF08-45A9-ACA9-A9B6047B5EB1}"/>
    <cellStyle name="Comma 66" xfId="3820" xr:uid="{00F3C489-742F-4127-8D47-6DC41F66BAF9}"/>
    <cellStyle name="Comma 67" xfId="3821" xr:uid="{AEA6CDCE-438A-4C62-8BDC-E488E7D461AB}"/>
    <cellStyle name="Comma 68" xfId="3822" xr:uid="{8B61AF6C-11B3-4D31-80EC-56CEC333FABF}"/>
    <cellStyle name="Comma 69" xfId="3778" xr:uid="{AD25F05A-68E2-46A2-89F4-EFE1BCBBC325}"/>
    <cellStyle name="Comma 7" xfId="334" xr:uid="{057AC8B4-4A92-474A-A5A7-C8658CE0542A}"/>
    <cellStyle name="Comma 7 2" xfId="335" xr:uid="{F9B5137F-EC7A-4BC9-B89C-CBE320C56190}"/>
    <cellStyle name="Comma 7 2 2" xfId="824" xr:uid="{1220CE96-2213-442F-95C3-2B629999E11E}"/>
    <cellStyle name="Comma 7 2 2 2" xfId="1974" xr:uid="{B78B5A30-289C-41DD-A331-1B254ECC0EB4}"/>
    <cellStyle name="Comma 7 2 2 2 2" xfId="3765" xr:uid="{582EADFA-B3B0-4AB1-A42D-E6BEF5AE8E9D}"/>
    <cellStyle name="Comma 7 2 2 3" xfId="2721" xr:uid="{73AC451A-DEDF-4A78-BD3A-689DFF935425}"/>
    <cellStyle name="Comma 7 2 3" xfId="1540" xr:uid="{9F75D94B-C7D1-4BDE-8BAF-195121735FF2}"/>
    <cellStyle name="Comma 7 2 3 2" xfId="3334" xr:uid="{16423531-6C95-4289-B327-21E4421B50EB}"/>
    <cellStyle name="Comma 7 2 4" xfId="2295" xr:uid="{2A466F38-57F1-42B4-9CC6-554D8AD11736}"/>
    <cellStyle name="Comma 7 3" xfId="823" xr:uid="{2ED4B17F-5A3A-4335-B5A8-D66236977DFF}"/>
    <cellStyle name="Comma 7 3 2" xfId="1743" xr:uid="{E2F006EC-1490-4FDA-8493-D759F141AA2C}"/>
    <cellStyle name="Comma 7 3 2 2" xfId="3534" xr:uid="{8E933DEF-5853-441F-8982-A53818C8787E}"/>
    <cellStyle name="Comma 7 3 3" xfId="2720" xr:uid="{7243592A-8703-49E4-8A59-383E61291C61}"/>
    <cellStyle name="Comma 7 4" xfId="1139" xr:uid="{3FDEA200-FF4D-4529-A827-6A392823DAA6}"/>
    <cellStyle name="Comma 7 4 2" xfId="2962" xr:uid="{54F3216E-95EC-4BA0-9D1A-BEB65EBA7FA5}"/>
    <cellStyle name="Comma 7 5" xfId="2294" xr:uid="{BAA2A1AF-D0FB-4A01-9B8E-C8F3A76EABDF}"/>
    <cellStyle name="Comma 70" xfId="3824" xr:uid="{C126E549-9941-4F96-96C4-B9232891D76F}"/>
    <cellStyle name="Comma 8" xfId="336" xr:uid="{6126C82C-08D3-4101-BACD-366F8A40764D}"/>
    <cellStyle name="Comma 8 2" xfId="337" xr:uid="{3ABE30C8-BF04-41B7-B065-AB09E16B70A5}"/>
    <cellStyle name="Comma 8 3" xfId="338" xr:uid="{4C618B02-58F8-4B21-850A-B849152A4801}"/>
    <cellStyle name="Comma 8 3 2" xfId="339" xr:uid="{7FF1BE79-F586-4EA3-86ED-07F94D995443}"/>
    <cellStyle name="Comma 8 3 2 2" xfId="340" xr:uid="{8C9AAE0A-FD94-402B-B32E-9B30767A1759}"/>
    <cellStyle name="Comma 8 3 2 3" xfId="1988" xr:uid="{682353ED-958A-4053-BCC7-A1AAF9871571}"/>
    <cellStyle name="Comma 8 3 2 3 2" xfId="1998" xr:uid="{3E0E7827-3BBA-4A52-9E1E-9E2F7F853847}"/>
    <cellStyle name="Comma 8 4" xfId="1318" xr:uid="{109E5371-8478-4AA3-9D87-7F63F3DB7F80}"/>
    <cellStyle name="Comma 9" xfId="341" xr:uid="{76CE8104-FAF8-4141-B9FD-A830D6ACDF63}"/>
    <cellStyle name="Comma 9 2" xfId="825" xr:uid="{2202A40C-51B1-483F-A977-CCCC17516B28}"/>
    <cellStyle name="Comma 9 2 2" xfId="1755" xr:uid="{438BCAC0-C785-41EA-BF1D-A0E5833C6C57}"/>
    <cellStyle name="Comma 9 2 2 2" xfId="3546" xr:uid="{01E28032-9325-4623-B076-812147DA126D}"/>
    <cellStyle name="Comma 9 2 3" xfId="2722" xr:uid="{E70AA9DC-7557-4212-B7F9-EF04C72DCA7C}"/>
    <cellStyle name="Comma 9 3" xfId="1337" xr:uid="{30CFE154-AE96-444F-80A0-7DF3184A564D}"/>
    <cellStyle name="Comma 9 3 2" xfId="3132" xr:uid="{11634520-5A1B-40E4-BBC7-0B00FD5EB64B}"/>
    <cellStyle name="Comma 9 4" xfId="2296" xr:uid="{1905DB4A-222A-42F0-B120-8815FBA62F0C}"/>
    <cellStyle name="Comma0" xfId="984" xr:uid="{777DAE59-BBBC-4D1F-873A-CBAAB8E47EB6}"/>
    <cellStyle name="Comma0 2" xfId="1056" xr:uid="{CC8E6ABA-5CAC-4D89-8A0E-DBE1C1C85761}"/>
    <cellStyle name="Comma0 3" xfId="1085" xr:uid="{2E8E1C71-867F-46F4-A5AB-0DAD431B7178}"/>
    <cellStyle name="Comma0 4" xfId="2871" xr:uid="{6511C854-4115-49CB-963C-166D280DEBEB}"/>
    <cellStyle name="Currency [0] 2" xfId="19" xr:uid="{98BA1BA6-35D6-422E-9719-F809B193ECB3}"/>
    <cellStyle name="Currency [0] 3" xfId="13" xr:uid="{271852AF-9015-49F0-9B35-7041BFB32057}"/>
    <cellStyle name="Currency 2" xfId="18" xr:uid="{16084B5A-E5EA-4638-9D88-A08636E225B5}"/>
    <cellStyle name="Currency 2 2" xfId="343" xr:uid="{4B0DDFF0-6D9C-4127-B76A-61C9478FC6B6}"/>
    <cellStyle name="Currency 2 2 2" xfId="344" xr:uid="{B7767173-B1FB-4D90-AE2D-071562BE3109}"/>
    <cellStyle name="Currency 2 2 2 2" xfId="827" xr:uid="{50A59A1E-3BE5-4408-B04B-9CD0E662B581}"/>
    <cellStyle name="Currency 2 2 2 2 2" xfId="1789" xr:uid="{BCAAF033-422A-4CE5-9FCE-42E50355C0B6}"/>
    <cellStyle name="Currency 2 2 2 2 2 2" xfId="3580" xr:uid="{925FE88C-FA2D-491C-92FF-0A079750959C}"/>
    <cellStyle name="Currency 2 2 2 2 3" xfId="2724" xr:uid="{291D48B0-BEA0-4684-91D1-063877A44638}"/>
    <cellStyle name="Currency 2 2 2 3" xfId="1359" xr:uid="{AA40098D-8B71-480B-9DCE-E487E30F6ED3}"/>
    <cellStyle name="Currency 2 2 2 3 2" xfId="3153" xr:uid="{09ED85A9-867C-4C57-8BB8-CBE4F38F7F3B}"/>
    <cellStyle name="Currency 2 2 2 4" xfId="2298" xr:uid="{A0AB8184-3C06-4C3B-96DA-56A998EFA950}"/>
    <cellStyle name="Currency 2 2 3" xfId="1328" xr:uid="{5390A33F-697E-4576-9567-756051E261DD}"/>
    <cellStyle name="Currency 2 2 4" xfId="1298" xr:uid="{FCA1A139-EA9B-41A0-BA41-7C772559956A}"/>
    <cellStyle name="Currency 2 2 4 2" xfId="3113" xr:uid="{715CA9C6-6D93-460F-8ABD-E00CED3D9149}"/>
    <cellStyle name="Currency 2 3" xfId="345" xr:uid="{4408CEC4-4078-4606-83C2-9C4BE378E249}"/>
    <cellStyle name="Currency 2 3 2" xfId="828" xr:uid="{9FA45EC7-424C-4133-9C85-0CAFB2522DFB}"/>
    <cellStyle name="Currency 2 3 2 2" xfId="1975" xr:uid="{148B3FE7-7670-45E9-B36C-B3BE1A6878C4}"/>
    <cellStyle name="Currency 2 3 2 2 2" xfId="3766" xr:uid="{40CF088F-9D7B-491A-9642-D67FE0C08445}"/>
    <cellStyle name="Currency 2 3 2 3" xfId="2725" xr:uid="{A18DD994-14A8-4222-A73B-8BBFBDDA6A89}"/>
    <cellStyle name="Currency 2 3 3" xfId="1541" xr:uid="{93B5674E-3D98-47A7-AB0C-E14B5DDD1173}"/>
    <cellStyle name="Currency 2 3 3 2" xfId="3335" xr:uid="{D4259CBC-41C6-4185-9CF4-313B237246BC}"/>
    <cellStyle name="Currency 2 3 4" xfId="2299" xr:uid="{E9929FD6-9CF3-49BD-BE8C-1E10BD575291}"/>
    <cellStyle name="Currency 2 4" xfId="826" xr:uid="{0CEF9660-C715-4F63-B963-F391F2232285}"/>
    <cellStyle name="Currency 2 4 2" xfId="1744" xr:uid="{065C6D3E-ED16-421C-8994-3E55F07D3554}"/>
    <cellStyle name="Currency 2 4 2 2" xfId="3535" xr:uid="{AD7413A7-C5EA-4811-A541-EBF6A9AA4E8C}"/>
    <cellStyle name="Currency 2 4 3" xfId="2723" xr:uid="{1AE522AC-EF6E-4F9F-8A72-D430A812DE10}"/>
    <cellStyle name="Currency 2 5" xfId="1082" xr:uid="{E02D3AA9-2330-4DA0-8530-2DF2136CE98C}"/>
    <cellStyle name="Currency 2 6" xfId="342" xr:uid="{3964B970-F951-4B86-89AA-A009FF05348D}"/>
    <cellStyle name="Currency 2 6 2" xfId="2297" xr:uid="{C48EB534-83D8-4EF4-A4BD-3A83D8FD801D}"/>
    <cellStyle name="Currency 3" xfId="12" xr:uid="{36C9659B-FAD7-4F06-A9B3-CAE02D3E8D04}"/>
    <cellStyle name="Currency 4" xfId="25" xr:uid="{70DABBB3-9C73-4996-8CEE-3A39F68C954F}"/>
    <cellStyle name="Currency 5" xfId="3779" xr:uid="{7FA0A2B5-A762-48F7-838F-6ECEC27B7223}"/>
    <cellStyle name="Currency 6" xfId="3823" xr:uid="{1E428ECF-9334-4398-89B2-A27688C0BD95}"/>
    <cellStyle name="Currency0" xfId="982" xr:uid="{D8E4C91B-F803-4465-A691-4F5FF4C8DB51}"/>
    <cellStyle name="Currency0 2" xfId="1057" xr:uid="{195365F3-4918-474F-B5DB-EBFB47128AEF}"/>
    <cellStyle name="Currency0 3" xfId="1078" xr:uid="{71419326-5BC0-4161-B4E0-6536907BC668}"/>
    <cellStyle name="Currency0 4" xfId="2869" xr:uid="{41530C3E-FF49-4DD1-95E7-7569326E386A}"/>
    <cellStyle name="Date" xfId="979" xr:uid="{BDC2A655-FBF5-40BD-8A53-B0A149FD1AD5}"/>
    <cellStyle name="Date 2" xfId="1058" xr:uid="{C1A356BF-0F42-4178-B9AB-68170CB2BEBC}"/>
    <cellStyle name="Date 3" xfId="1094" xr:uid="{01468AB2-B363-4B5D-B8EE-56DF9A46D569}"/>
    <cellStyle name="Date 4" xfId="2867" xr:uid="{0C157762-6885-49BA-AB57-D084F6137A32}"/>
    <cellStyle name="Fixed" xfId="985" xr:uid="{AC8165BA-DA78-4329-8196-53785657521E}"/>
    <cellStyle name="Fixed 2" xfId="1059" xr:uid="{B6DC54F6-A6F9-4899-9BCA-8D27074AAC66}"/>
    <cellStyle name="Fixed 3" xfId="1088" xr:uid="{56DF5F0D-2CE4-450D-9C45-C9FD851E4A42}"/>
    <cellStyle name="Fixed 4" xfId="2872" xr:uid="{BD3BD0EA-406A-40DF-8FFB-193D42C953E5}"/>
    <cellStyle name="Good 2" xfId="1084" xr:uid="{7399D6F0-33DA-41AF-B40A-94F729C6640A}"/>
    <cellStyle name="Heading 1 2" xfId="981" xr:uid="{98F56B9B-8105-4CB0-9A63-E5381E5FB7D2}"/>
    <cellStyle name="Heading 1 2 2" xfId="1077" xr:uid="{4975C5FF-C34A-4A3F-A9AD-4BA85C079197}"/>
    <cellStyle name="Heading 1 3" xfId="983" xr:uid="{E599A5D7-BF49-4B6A-A90D-95D720A62A30}"/>
    <cellStyle name="Heading 1 3 2" xfId="1118" xr:uid="{33B18738-7559-46BC-AC73-0C509EEFC876}"/>
    <cellStyle name="Heading 1 3 3" xfId="2870" xr:uid="{CEEF4644-73BC-47FD-B16B-56BDE88CF76A}"/>
    <cellStyle name="Heading 1 4" xfId="1060" xr:uid="{3154AAB5-BF73-4C26-98C6-F357019020DA}"/>
    <cellStyle name="Heading 1 5" xfId="1081" xr:uid="{F518D475-7318-4C59-92F2-1B93DB20832B}"/>
    <cellStyle name="Heading 2 2" xfId="987" xr:uid="{150DF3AF-FF77-4AEB-9689-4B9DBC456F62}"/>
    <cellStyle name="Heading 2 2 2" xfId="1103" xr:uid="{B79393A4-0758-43E2-9C28-D83395A663B7}"/>
    <cellStyle name="Heading 2 3" xfId="978" xr:uid="{B508BC7E-EA48-4617-854F-AFE971484704}"/>
    <cellStyle name="Heading 2 3 2" xfId="1119" xr:uid="{22BBB846-6670-4D69-B71A-465EC22C804D}"/>
    <cellStyle name="Heading 2 3 3" xfId="2866" xr:uid="{8F1D2407-7E00-4118-B074-807BDD21D157}"/>
    <cellStyle name="Heading 2 4" xfId="1061" xr:uid="{F70F2A5A-04F1-4B24-88AE-8876F6DB98ED}"/>
    <cellStyle name="Heading 2 5" xfId="1102" xr:uid="{93E358BF-DFCD-4983-9844-BEE25458BBC2}"/>
    <cellStyle name="Heading 3 2" xfId="1104" xr:uid="{3998517F-861A-4D30-8A35-E551423618DC}"/>
    <cellStyle name="Heading 4 2" xfId="1105" xr:uid="{CB757E5C-DA50-4A6D-A1AD-1FAE41F56D44}"/>
    <cellStyle name="Hyperlink" xfId="2" builtinId="8"/>
    <cellStyle name="Hyperlink 2" xfId="22" xr:uid="{D47B3539-2105-401A-A639-A0AA29FCC94E}"/>
    <cellStyle name="Hyperlink 2 2" xfId="1051" xr:uid="{611EA360-294E-42B8-8F12-0481AACF4534}"/>
    <cellStyle name="Hyperlink 3" xfId="16" xr:uid="{71F43495-95B3-470A-AAC1-44C5C2FEB12C}"/>
    <cellStyle name="Input 2" xfId="1106" xr:uid="{4E1A6BC7-188B-4292-9591-26F243645AE3}"/>
    <cellStyle name="Linked Cell 2" xfId="1107" xr:uid="{947F2FF3-EC22-4CA8-B52C-FF6C5DAD960D}"/>
    <cellStyle name="Neutral 2" xfId="346" xr:uid="{87E7D726-CD7C-4675-9E28-6F8467E73D77}"/>
    <cellStyle name="Neutral 2 2" xfId="1302" xr:uid="{6E8DFB5D-CE10-435C-A4E4-94D1F68C30AF}"/>
    <cellStyle name="Neutral 2 3" xfId="1108" xr:uid="{0999C75A-526D-431E-870C-E3FD62F65EFD}"/>
    <cellStyle name="Neutral 3" xfId="347" xr:uid="{8654B150-BB55-4F50-9A8D-040F64939B59}"/>
    <cellStyle name="Neutral 3 2" xfId="1310" xr:uid="{0AD6A1F6-3855-44FD-9781-D70DBF7BA956}"/>
    <cellStyle name="Neutral 4" xfId="348" xr:uid="{015F7654-6B97-43E9-8B0E-807997D20D4A}"/>
    <cellStyle name="Neutral 4 2" xfId="969" xr:uid="{350CC1EE-BBE9-414B-9566-A90A0F17AC33}"/>
    <cellStyle name="Normal" xfId="0" builtinId="0"/>
    <cellStyle name="Normal 10" xfId="349" xr:uid="{A0F76EFF-8ED3-446B-B383-E17CDA3CAE13}"/>
    <cellStyle name="Normal 10 2" xfId="350" xr:uid="{025FA0F8-E903-4762-99AD-BF9F9C977DAE}"/>
    <cellStyle name="Normal 10 2 2" xfId="351" xr:uid="{5B9E6861-B8CA-4F4F-94E7-47DC3BB147F5}"/>
    <cellStyle name="Normal 10 2 2 2" xfId="352" xr:uid="{E2C360D5-D13D-4C77-B0D2-254D99E32C9C}"/>
    <cellStyle name="Normal 10 2 2 2 2" xfId="832" xr:uid="{1875F6FA-749C-472F-83FA-1FE9F116E448}"/>
    <cellStyle name="Normal 10 2 2 2 2 2" xfId="1920" xr:uid="{91D5A1B5-8F4A-45D4-8BA2-675E27A0A2F7}"/>
    <cellStyle name="Normal 10 2 2 2 2 2 2" xfId="3711" xr:uid="{80C00D49-6E68-4AB6-A422-6CDDEB2ADDC8}"/>
    <cellStyle name="Normal 10 2 2 2 2 3" xfId="2729" xr:uid="{B5349D0B-7143-45AC-9D0A-A96C7C00963D}"/>
    <cellStyle name="Normal 10 2 2 2 3" xfId="1487" xr:uid="{BF2E4D1B-7846-44C8-8707-D8E2BABF57A9}"/>
    <cellStyle name="Normal 10 2 2 2 3 2" xfId="3281" xr:uid="{82E29E1C-4FF7-41A6-A9F9-759F96D778C4}"/>
    <cellStyle name="Normal 10 2 2 2 4" xfId="2303" xr:uid="{187F2BA3-24ED-41DA-9055-D83D07D988EC}"/>
    <cellStyle name="Normal 10 2 2 3" xfId="831" xr:uid="{2FD68809-AF8D-4268-913D-4FA1ADF18128}"/>
    <cellStyle name="Normal 10 2 2 3 2" xfId="1689" xr:uid="{D9C3AE6D-9B6A-4E87-909B-8244C3A66E27}"/>
    <cellStyle name="Normal 10 2 2 3 2 2" xfId="3480" xr:uid="{E06912A5-2E0A-46A7-87CA-BED82D2AE7D9}"/>
    <cellStyle name="Normal 10 2 2 3 3" xfId="2728" xr:uid="{5D01A63A-8A34-42EE-B9F0-2AB0BDD95339}"/>
    <cellStyle name="Normal 10 2 2 4" xfId="1245" xr:uid="{DB0DFA71-A81C-4D45-A32C-B85C6DB60DDC}"/>
    <cellStyle name="Normal 10 2 2 4 2" xfId="3060" xr:uid="{A3FDCD38-3BC7-4CED-9E16-DB45D6CCEA7C}"/>
    <cellStyle name="Normal 10 2 2 5" xfId="2302" xr:uid="{EC64C5FA-D7C7-453F-97F0-15A27AB54721}"/>
    <cellStyle name="Normal 10 2 3" xfId="353" xr:uid="{E54D9632-1281-4205-9ADA-58546CB36902}"/>
    <cellStyle name="Normal 10 2 3 2" xfId="833" xr:uid="{BE037A5F-A98D-4F7A-BD73-5A805E02D570}"/>
    <cellStyle name="Normal 10 2 3 2 2" xfId="1850" xr:uid="{97F88EF0-5BC3-4E66-9292-183FFFCA827A}"/>
    <cellStyle name="Normal 10 2 3 2 2 2" xfId="3641" xr:uid="{ACE816E8-50EC-4304-9C3F-80B01526734B}"/>
    <cellStyle name="Normal 10 2 3 2 3" xfId="2730" xr:uid="{4863BAC7-CDE9-4BDC-929F-4E87F3F60FEB}"/>
    <cellStyle name="Normal 10 2 3 3" xfId="1417" xr:uid="{6B380B41-184D-4688-AB23-F97D3AA98808}"/>
    <cellStyle name="Normal 10 2 3 3 2" xfId="3211" xr:uid="{C0208535-3302-4509-95DB-BD428B0E961B}"/>
    <cellStyle name="Normal 10 2 3 4" xfId="2304" xr:uid="{8E9DE636-A368-49F2-8ED9-6280C2774140}"/>
    <cellStyle name="Normal 10 2 4" xfId="830" xr:uid="{40130D17-3687-4DF7-A36C-9C991822CAD4}"/>
    <cellStyle name="Normal 10 2 4 2" xfId="1619" xr:uid="{5998245C-E6B3-4DC1-BD66-A0A559D52990}"/>
    <cellStyle name="Normal 10 2 4 2 2" xfId="3410" xr:uid="{61C81503-5A0F-4CE6-B361-A4634C00097F}"/>
    <cellStyle name="Normal 10 2 4 3" xfId="2727" xr:uid="{A36BDCEE-3BEF-4EE9-84E5-875EF61C5E9D}"/>
    <cellStyle name="Normal 10 2 5" xfId="1175" xr:uid="{5C2670EF-3558-4A6A-9D1B-657DB7C7D166}"/>
    <cellStyle name="Normal 10 2 5 2" xfId="2990" xr:uid="{8F7631FC-B1F3-43F3-8A62-AE941964B7C2}"/>
    <cellStyle name="Normal 10 2 6" xfId="2301" xr:uid="{8F8101B1-776A-41AE-999E-ADFE3F89746D}"/>
    <cellStyle name="Normal 10 3" xfId="354" xr:uid="{25F1EF51-B8CA-4943-9151-F15A44474314}"/>
    <cellStyle name="Normal 10 3 2" xfId="355" xr:uid="{BE09A734-A5E9-422D-8D41-E7AC573A8644}"/>
    <cellStyle name="Normal 10 3 2 2" xfId="835" xr:uid="{1BD9362E-AE7F-4FFA-BE86-15346BA7F369}"/>
    <cellStyle name="Normal 10 3 2 2 2" xfId="1955" xr:uid="{41990B51-03F0-46C8-90EE-3055865CAAE8}"/>
    <cellStyle name="Normal 10 3 2 2 2 2" xfId="3746" xr:uid="{82CD76AB-A81A-4505-A3D3-2836B2A5AF60}"/>
    <cellStyle name="Normal 10 3 2 2 3" xfId="2732" xr:uid="{D636FA7E-6329-40D6-8A05-355418C24A34}"/>
    <cellStyle name="Normal 10 3 2 3" xfId="1522" xr:uid="{4BE15AB8-50E4-4EFB-A81F-B483E0C3F44A}"/>
    <cellStyle name="Normal 10 3 2 3 2" xfId="3316" xr:uid="{8C2B3364-E6F9-4748-844D-41829A3E0773}"/>
    <cellStyle name="Normal 10 3 2 4" xfId="2306" xr:uid="{B8B1AA85-27A4-4075-A497-0CFFA8915EEA}"/>
    <cellStyle name="Normal 10 3 3" xfId="834" xr:uid="{3A3C58EE-1AAD-451C-81F8-8DF28C3B8A0F}"/>
    <cellStyle name="Normal 10 3 3 2" xfId="1724" xr:uid="{DCF31A33-DDDF-41F1-985E-55B2558C7EBB}"/>
    <cellStyle name="Normal 10 3 3 2 2" xfId="3515" xr:uid="{8BAF7336-34ED-4410-8D22-BDA45F24E35D}"/>
    <cellStyle name="Normal 10 3 3 3" xfId="2731" xr:uid="{995E89C3-9498-4FEC-B8F6-7088542A9DFD}"/>
    <cellStyle name="Normal 10 3 4" xfId="1280" xr:uid="{7F4081E1-74C8-41D2-9735-041996D9D088}"/>
    <cellStyle name="Normal 10 3 4 2" xfId="3095" xr:uid="{368B4CEE-B671-483F-BBB7-9EB65621A590}"/>
    <cellStyle name="Normal 10 3 5" xfId="2305" xr:uid="{5DFF4F1E-7B33-40C6-969D-66C159EBBC54}"/>
    <cellStyle name="Normal 10 4" xfId="356" xr:uid="{4249976A-C588-4126-81D3-0CCD1275325A}"/>
    <cellStyle name="Normal 10 4 2" xfId="357" xr:uid="{2E693809-D9EB-40C8-8C7A-B0D67D4655E0}"/>
    <cellStyle name="Normal 10 4 2 2" xfId="837" xr:uid="{D3E4BAF9-641F-4A56-AC16-799932A98F78}"/>
    <cellStyle name="Normal 10 4 2 2 2" xfId="1885" xr:uid="{422F09FA-E12C-42C6-8993-6B703D581B2E}"/>
    <cellStyle name="Normal 10 4 2 2 2 2" xfId="3676" xr:uid="{3264A794-C23C-41DC-9AB0-A8B52409D5FF}"/>
    <cellStyle name="Normal 10 4 2 2 3" xfId="2734" xr:uid="{DA8844FD-BA88-4CD5-9779-7F085BB13919}"/>
    <cellStyle name="Normal 10 4 2 3" xfId="1452" xr:uid="{CF373E7D-069F-4489-9864-BD9E02B580C1}"/>
    <cellStyle name="Normal 10 4 2 3 2" xfId="3246" xr:uid="{A87C600F-D55E-4764-B2D0-661FEFBE53F1}"/>
    <cellStyle name="Normal 10 4 2 4" xfId="2308" xr:uid="{2B6FECF1-BEAB-456D-9436-445296DA7AB3}"/>
    <cellStyle name="Normal 10 4 3" xfId="836" xr:uid="{20FD4460-115D-4315-9C24-CBFFEAD39542}"/>
    <cellStyle name="Normal 10 4 3 2" xfId="1654" xr:uid="{FB9FF6F1-C519-4183-A2E5-EA06484AFE55}"/>
    <cellStyle name="Normal 10 4 3 2 2" xfId="3445" xr:uid="{E6B68B6B-A196-4A4A-BB70-C4B995DEF7A1}"/>
    <cellStyle name="Normal 10 4 3 3" xfId="2733" xr:uid="{E9BD85C8-685E-4899-9382-E21BF254BCF4}"/>
    <cellStyle name="Normal 10 4 4" xfId="1210" xr:uid="{50B95412-DEF4-4D80-B927-EF2B6CBFDF7D}"/>
    <cellStyle name="Normal 10 4 4 2" xfId="3025" xr:uid="{4795709E-D80E-4125-A489-F2D97E3FB163}"/>
    <cellStyle name="Normal 10 4 5" xfId="2307" xr:uid="{892201F5-09F1-4651-9D14-A35CC77406EB}"/>
    <cellStyle name="Normal 10 5" xfId="358" xr:uid="{3AD8C100-39D3-4C4B-BE4F-1E859EEDC481}"/>
    <cellStyle name="Normal 10 5 2" xfId="838" xr:uid="{6E9A6757-9E2B-417C-9860-F7D80B39FA61}"/>
    <cellStyle name="Normal 10 5 2 2" xfId="1815" xr:uid="{DF7C0BA9-8E4D-46E3-94B8-783AA8E2F55E}"/>
    <cellStyle name="Normal 10 5 2 2 2" xfId="3606" xr:uid="{5ED1A394-D09A-44E1-90D2-BD5641BA0669}"/>
    <cellStyle name="Normal 10 5 2 3" xfId="2735" xr:uid="{B5A255F4-4FE8-4956-90E9-CE1844093E94}"/>
    <cellStyle name="Normal 10 5 3" xfId="1383" xr:uid="{08FF624C-31C0-46C3-8974-0313AF16DCD1}"/>
    <cellStyle name="Normal 10 5 3 2" xfId="3177" xr:uid="{0F2F5386-1B12-4DFA-8BFF-D98EEDFBB63A}"/>
    <cellStyle name="Normal 10 5 4" xfId="2309" xr:uid="{02661CC9-D4F2-4F15-81AE-DA5B0F21B859}"/>
    <cellStyle name="Normal 10 6" xfId="829" xr:uid="{1F716065-9D4D-4E4F-96E7-B49932A1ABFD}"/>
    <cellStyle name="Normal 10 6 2" xfId="1584" xr:uid="{08D49076-DA72-4FBE-833A-30FD4AA7D324}"/>
    <cellStyle name="Normal 10 6 2 2" xfId="3375" xr:uid="{726E2600-31EE-467B-91FD-16C4FA297F91}"/>
    <cellStyle name="Normal 10 6 3" xfId="2726" xr:uid="{316D0282-4D6D-45A1-A8AE-351E2FCFE5E2}"/>
    <cellStyle name="Normal 10 7" xfId="988" xr:uid="{9EFF2ED5-F9C8-40E9-A07F-D25AC4F06944}"/>
    <cellStyle name="Normal 10 7 2" xfId="2873" xr:uid="{50D9CB43-1032-4491-8EAB-8DD16A63D4C3}"/>
    <cellStyle name="Normal 10 8" xfId="2300" xr:uid="{092ABBCD-170C-44FC-A692-89AC120A24DC}"/>
    <cellStyle name="Normal 11" xfId="359" xr:uid="{5A62669F-A0BD-493B-A9A8-BAFB6378ABF9}"/>
    <cellStyle name="Normal 11 2" xfId="360" xr:uid="{E727DC86-9624-47D4-9181-22DB1EB42CD3}"/>
    <cellStyle name="Normal 11 2 2" xfId="840" xr:uid="{EFFE8614-E30C-406F-91B6-4227233615FD}"/>
    <cellStyle name="Normal 11 2 2 2" xfId="1973" xr:uid="{02256CBE-ED55-436E-89BD-AC6E9B2A4D2D}"/>
    <cellStyle name="Normal 11 2 2 2 2" xfId="3764" xr:uid="{7592D5B8-C2EB-4EF3-B4B5-EA661D6AA3A1}"/>
    <cellStyle name="Normal 11 2 2 3" xfId="2737" xr:uid="{8B2CCE59-4007-4D13-B657-17E3CFDB7084}"/>
    <cellStyle name="Normal 11 2 3" xfId="1539" xr:uid="{58012832-B057-4558-8C13-AD3833EDE3CA}"/>
    <cellStyle name="Normal 11 2 3 2" xfId="3333" xr:uid="{77905080-A75B-4BC3-976F-9D3BBED3C400}"/>
    <cellStyle name="Normal 11 2 4" xfId="2311" xr:uid="{A909C811-D49B-4343-AE81-48A10463C56D}"/>
    <cellStyle name="Normal 11 3" xfId="839" xr:uid="{552133EF-DFE6-42BF-A431-E4BA7A71FF21}"/>
    <cellStyle name="Normal 11 3 2" xfId="1742" xr:uid="{CE0A306C-83FF-46ED-A778-D1617FB5655C}"/>
    <cellStyle name="Normal 11 3 2 2" xfId="3533" xr:uid="{723CCD37-A99A-4AF5-922B-C546543CFCB1}"/>
    <cellStyle name="Normal 11 3 3" xfId="2736" xr:uid="{C4120511-0B1F-4178-A73F-6ECEF078A150}"/>
    <cellStyle name="Normal 11 4" xfId="989" xr:uid="{FCC5D6D6-2EEA-40A1-9A5D-B5993BE7A547}"/>
    <cellStyle name="Normal 11 4 2" xfId="2874" xr:uid="{D895427C-F76E-4844-8CCF-18A543E2E8EF}"/>
    <cellStyle name="Normal 11 5" xfId="2310" xr:uid="{27AF65E4-AEE9-4300-A374-B24463CE8159}"/>
    <cellStyle name="Normal 12" xfId="361" xr:uid="{53D75FB9-9375-49E7-AACF-9FFBC1F2CA49}"/>
    <cellStyle name="Normal 12 2" xfId="362" xr:uid="{7B894E96-32E1-4B68-AA7D-E251C272375B}"/>
    <cellStyle name="Normal 12 2 2" xfId="841" xr:uid="{B0F98962-82C0-4CA6-81EC-3F768F2C642D}"/>
    <cellStyle name="Normal 12 2 2 2" xfId="1754" xr:uid="{CB9E8529-80CA-4FDE-9852-0F3E02984FB9}"/>
    <cellStyle name="Normal 12 2 2 2 2" xfId="3545" xr:uid="{EC3D1D86-F759-491D-A510-DB1E8973469C}"/>
    <cellStyle name="Normal 12 2 2 3" xfId="2738" xr:uid="{D5A80A73-6BEF-4200-83D9-5E96176D05A4}"/>
    <cellStyle name="Normal 12 2 3" xfId="1336" xr:uid="{A487D49D-AE88-434D-A852-225DE247A945}"/>
    <cellStyle name="Normal 12 2 3 2" xfId="3131" xr:uid="{F267D55B-2062-4E17-A752-BB898A4480FD}"/>
    <cellStyle name="Normal 12 2 4" xfId="2312" xr:uid="{A47BA177-E311-4E10-8CEC-BAD723548F38}"/>
    <cellStyle name="Normal 12 3" xfId="1311" xr:uid="{E8F8396E-9416-4B4E-B0DC-2B93A8DF241B}"/>
    <cellStyle name="Normal 12 4" xfId="990" xr:uid="{3D91E4F4-3D92-4F88-A1FB-FBD6B48988FA}"/>
    <cellStyle name="Normal 12 4 2" xfId="2875" xr:uid="{3A825534-188B-48A8-A028-A5C90A8C958B}"/>
    <cellStyle name="Normal 13" xfId="363" xr:uid="{6DA44D17-CF95-4A09-A524-EAA7F689B091}"/>
    <cellStyle name="Normal 13 2" xfId="842" xr:uid="{49550F43-54B0-4772-B989-AD67DC303FB5}"/>
    <cellStyle name="Normal 13 2 2" xfId="1791" xr:uid="{005711BC-D374-41AD-9CC4-331F62402F3E}"/>
    <cellStyle name="Normal 13 2 2 2" xfId="3582" xr:uid="{1A18F72C-CB11-47DC-8074-33D40E1C3EE3}"/>
    <cellStyle name="Normal 13 2 3" xfId="2739" xr:uid="{E2D2A45C-CBB1-4B9B-9F91-E9C4B6FF3DD1}"/>
    <cellStyle name="Normal 13 3" xfId="991" xr:uid="{367747D5-9953-4E35-8B49-8F6E04FA8872}"/>
    <cellStyle name="Normal 13 3 2" xfId="2876" xr:uid="{A6171504-1B5E-4060-A7C3-B98B2443E4E3}"/>
    <cellStyle name="Normal 13 4" xfId="2313" xr:uid="{79380D81-2C07-4B1E-9847-8B268D52D0D2}"/>
    <cellStyle name="Normal 14" xfId="27" xr:uid="{00930239-2E0B-4B49-ADBE-7AA8A786EE1B}"/>
    <cellStyle name="Normal 14 2" xfId="992" xr:uid="{37B8AD6E-C7C2-44EF-B2A1-3DEE9D5F4394}"/>
    <cellStyle name="Normal 14 2 2" xfId="2877" xr:uid="{8018775C-4EF5-49A3-AB6E-19B6B03E0EAE}"/>
    <cellStyle name="Normal 15" xfId="993" xr:uid="{9C000999-74FB-4650-B147-EDA5976CB73B}"/>
    <cellStyle name="Normal 15 2" xfId="2878" xr:uid="{493705CA-CD23-4D03-9544-5082C39F72D3}"/>
    <cellStyle name="Normal 16" xfId="994" xr:uid="{4ECA596B-C62D-4A11-B8B5-F894D80F4273}"/>
    <cellStyle name="Normal 16 2" xfId="1544" xr:uid="{8835CF4E-826E-4C9B-AE34-71B9547EB24F}"/>
    <cellStyle name="Normal 16 2 2" xfId="1994" xr:uid="{03453F6A-E355-4100-8C4C-0255D04F60DF}"/>
    <cellStyle name="Normal 16 3" xfId="2879" xr:uid="{4AF790EF-74C9-4DD8-9F53-219ED8130F2F}"/>
    <cellStyle name="Normal 17" xfId="995" xr:uid="{6DED90F9-8172-4F2F-9F15-58079A5767FC}"/>
    <cellStyle name="Normal 17 2" xfId="2880" xr:uid="{B73F1FBC-AB81-4076-B2D4-1FC00B2168AE}"/>
    <cellStyle name="Normal 176" xfId="9" xr:uid="{F8AC4239-55E0-4BB6-AC84-85E7EBD85BE5}"/>
    <cellStyle name="Normal 18" xfId="996" xr:uid="{4DDFDB4C-C0A5-47C0-9D74-FAF79DC8EEEB}"/>
    <cellStyle name="Normal 18 2" xfId="2881" xr:uid="{8A060E90-557F-4E54-A026-B8CEDC4D8397}"/>
    <cellStyle name="Normal 19" xfId="997" xr:uid="{01DBD9A5-4E76-4D51-812F-CF5C4446FA34}"/>
    <cellStyle name="Normal 19 2" xfId="2882" xr:uid="{E67FFFE7-A675-4842-A9C8-5A433CB9AED8}"/>
    <cellStyle name="Normal 2" xfId="3" xr:uid="{00000000-0005-0000-0000-000003000000}"/>
    <cellStyle name="Normal 2 10" xfId="364" xr:uid="{78D29EEA-4AA1-4FBF-A356-5AFD25C70EC3}"/>
    <cellStyle name="Normal 2 10 2" xfId="2314" xr:uid="{E5BE52B4-6391-4820-89E1-14021809E095}"/>
    <cellStyle name="Normal 2 2" xfId="23" xr:uid="{71FFCAC8-C942-4484-91A2-812EF67C0F30}"/>
    <cellStyle name="Normal 2 2 2" xfId="366" xr:uid="{FC15BAC3-2587-4DB3-8C64-058D291CAE3F}"/>
    <cellStyle name="Normal 2 2 2 2" xfId="1330" xr:uid="{9E311E35-2EE8-4E09-A9A0-67751821D520}"/>
    <cellStyle name="Normal 2 2 2 3" xfId="998" xr:uid="{EE686C33-9D05-4FAC-86F2-A95D13032D8A}"/>
    <cellStyle name="Normal 2 2 3" xfId="367" xr:uid="{6635B8CF-50EF-495F-B899-349745690517}"/>
    <cellStyle name="Normal 2 2 3 2" xfId="1329" xr:uid="{3E352483-1B91-4002-8D93-9132CAA8FAA7}"/>
    <cellStyle name="Normal 2 2 4" xfId="1146" xr:uid="{09BBB4C7-FDCC-4424-9D60-7085F2338717}"/>
    <cellStyle name="Normal 2 2 5" xfId="365" xr:uid="{DF2CBA4F-6DD6-497C-A2BD-8BDFAA11544B}"/>
    <cellStyle name="Normal 2 3" xfId="368" xr:uid="{C5F43D96-B9FF-4335-A405-FA7BF98B3132}"/>
    <cellStyle name="Normal 2 3 2" xfId="1144" xr:uid="{55533116-5C08-4012-B8F0-54ABBB1B9AAF}"/>
    <cellStyle name="Normal 2 3 3" xfId="986" xr:uid="{78D53C92-736C-40CF-B278-CB1F151B4AA1}"/>
    <cellStyle name="Normal 2 4" xfId="369" xr:uid="{A2441B54-F611-483F-95AF-FD11F80ACA43}"/>
    <cellStyle name="Normal 2 4 2" xfId="1147" xr:uid="{685588ED-1173-406B-BB28-D89CD6873E4A}"/>
    <cellStyle name="Normal 2 4 3" xfId="1109" xr:uid="{CD6D1D6F-5A1F-4338-B4B9-A9A00CC699AA}"/>
    <cellStyle name="Normal 2 4 3 2" xfId="2943" xr:uid="{676F0CFE-3848-4341-B751-5E0A6D57C318}"/>
    <cellStyle name="Normal 2 5" xfId="370" xr:uid="{9F753D4F-94AE-4C7F-87C9-97CC0610B5FD}"/>
    <cellStyle name="Normal 2 5 2" xfId="371" xr:uid="{5D27F2A4-D60A-4649-92CC-8F250F4B348A}"/>
    <cellStyle name="Normal 2 5 2 2" xfId="1300" xr:uid="{46474F28-18B1-4CEE-8F4C-E5D2A2F2F430}"/>
    <cellStyle name="Normal 2 5 2 3" xfId="1149" xr:uid="{C84EBA35-85A7-4D57-B43E-1E44A8D4672C}"/>
    <cellStyle name="Normal 2 5 3" xfId="372" xr:uid="{89689F2F-2BCC-4F6E-9684-E53D1A8D460B}"/>
    <cellStyle name="Normal 2 5 3 2" xfId="373" xr:uid="{0172580B-7D8B-4B64-B9C7-A547CD4011AA}"/>
    <cellStyle name="Normal 2 5 3 2 2" xfId="1327" xr:uid="{6C1D4F9E-46AB-4A62-ADF1-A20AF4E5F1CF}"/>
    <cellStyle name="Normal 2 6" xfId="374" xr:uid="{08706485-D6E7-4480-9E68-4FEEF5649AAF}"/>
    <cellStyle name="Normal 2 7" xfId="375" xr:uid="{18D680A8-9584-4D66-BE42-AF913CB63A44}"/>
    <cellStyle name="Normal 2 7 2" xfId="376" xr:uid="{F67853D1-E84E-4EB5-9D27-93322A6915EF}"/>
    <cellStyle name="Normal 2 7 3" xfId="1986" xr:uid="{78DFDF01-E716-46B9-B4FA-D19DC7382FF5}"/>
    <cellStyle name="Normal 2 7 3 2" xfId="1996" xr:uid="{98EAC8C6-8A1E-4EB1-BAAF-06C4E8424FD8}"/>
    <cellStyle name="Normal 2 8" xfId="377" xr:uid="{E016F09A-3A5A-4FCC-9D17-E7C25A989A76}"/>
    <cellStyle name="Normal 2 9" xfId="843" xr:uid="{2055A05B-9CC1-4C51-B0D0-F192C01CFE45}"/>
    <cellStyle name="Normal 2 9 2" xfId="2740" xr:uid="{43E1059E-2492-4BB3-85A8-8E26D169A2C9}"/>
    <cellStyle name="Normal 20" xfId="999" xr:uid="{0E00BF1F-BE82-4AD0-8D85-1451859D615F}"/>
    <cellStyle name="Normal 20 2" xfId="2883" xr:uid="{D9AD70D0-6CDB-4857-917B-125DBA940612}"/>
    <cellStyle name="Normal 21" xfId="1000" xr:uid="{8A1A6B65-715E-4F92-B2D5-6E5E2BBA690A}"/>
    <cellStyle name="Normal 21 2" xfId="2884" xr:uid="{A09B2679-457B-4276-80A6-2436578240A5}"/>
    <cellStyle name="Normal 22" xfId="1001" xr:uid="{D13EA3B6-83EF-4C6C-B50E-BE20B720F752}"/>
    <cellStyle name="Normal 22 2" xfId="2885" xr:uid="{430EF64A-2F43-4F8F-B917-3ACD90A40E3F}"/>
    <cellStyle name="Normal 23" xfId="1002" xr:uid="{8184C860-5637-4BF1-BDD9-3B0E657FBB6D}"/>
    <cellStyle name="Normal 23 2" xfId="2886" xr:uid="{BA9915DE-0EC8-401E-9418-384BD25EAF6D}"/>
    <cellStyle name="Normal 24" xfId="1003" xr:uid="{8C82AC6F-1179-4CD2-BF7E-CBA8DD312D1D}"/>
    <cellStyle name="Normal 24 2" xfId="2887" xr:uid="{FC0118AA-9494-4EA4-B3E4-18736A5C3896}"/>
    <cellStyle name="Normal 25" xfId="1004" xr:uid="{F1BF1330-6376-409B-A99C-8BADE40F4A84}"/>
    <cellStyle name="Normal 25 2" xfId="2888" xr:uid="{C88A5807-4ED4-4AA1-B4C0-E77D0A2A3C53}"/>
    <cellStyle name="Normal 26" xfId="1005" xr:uid="{006C8CDB-8439-47D0-9226-08A1CD083A47}"/>
    <cellStyle name="Normal 26 2" xfId="2889" xr:uid="{DBE269C0-F639-46D7-B124-3201D08B95BA}"/>
    <cellStyle name="Normal 27" xfId="1006" xr:uid="{B521217C-AA36-4F35-86DC-00BC733CFE70}"/>
    <cellStyle name="Normal 27 2" xfId="2890" xr:uid="{78100576-9C6C-4C03-8502-17FF775E4DAD}"/>
    <cellStyle name="Normal 28" xfId="1007" xr:uid="{BB33FB69-185A-48CF-A22C-D80EE8B5D1E3}"/>
    <cellStyle name="Normal 28 2" xfId="2891" xr:uid="{015644B1-EB8E-4D68-ADAF-E5A44B535594}"/>
    <cellStyle name="Normal 29" xfId="1008" xr:uid="{77996A03-E024-4F74-8575-1ADDF75562E5}"/>
    <cellStyle name="Normal 29 2" xfId="2892" xr:uid="{0B82D058-922B-455B-B296-FCB0E7C85635}"/>
    <cellStyle name="Normal 3" xfId="6" xr:uid="{7E36862B-4023-4C08-9AF3-6467442F5A90}"/>
    <cellStyle name="Normal 3 10" xfId="1009" xr:uid="{89E116C7-D145-44BC-801C-9322AD9ECFD4}"/>
    <cellStyle name="Normal 3 10 2" xfId="2893" xr:uid="{7EACF23A-2621-49ED-AE05-1FDC842E638E}"/>
    <cellStyle name="Normal 3 11" xfId="378" xr:uid="{6A5048A5-FB0A-4D32-9715-6360257C50F5}"/>
    <cellStyle name="Normal 3 2" xfId="379" xr:uid="{313F267B-6596-43AD-B604-5D0ECEE8CECE}"/>
    <cellStyle name="Normal 3 2 2" xfId="380" xr:uid="{34671E1C-CF92-4DA7-A739-EA9B8342F25E}"/>
    <cellStyle name="Normal 3 2 2 2" xfId="381" xr:uid="{4DC6AB51-589A-4AC2-8E14-66B026622962}"/>
    <cellStyle name="Normal 3 2 2 2 2" xfId="382" xr:uid="{B04A04E2-292A-4949-9CB4-ED698666D00A}"/>
    <cellStyle name="Normal 3 2 2 2 2 2" xfId="383" xr:uid="{4A834073-6702-4988-8093-D8564F053530}"/>
    <cellStyle name="Normal 3 2 2 2 2 2 2" xfId="847" xr:uid="{3D8C2EBD-798E-4132-BE6F-EC6B7F577BE1}"/>
    <cellStyle name="Normal 3 2 2 2 2 2 2 2" xfId="1935" xr:uid="{F1BF4558-20F2-435F-8BB1-DF16710A1B6F}"/>
    <cellStyle name="Normal 3 2 2 2 2 2 2 2 2" xfId="3726" xr:uid="{B986205B-1653-404F-A5A4-FF501902D38F}"/>
    <cellStyle name="Normal 3 2 2 2 2 2 2 3" xfId="2744" xr:uid="{9D68E98D-B284-4063-91D1-04D87D6BE2CC}"/>
    <cellStyle name="Normal 3 2 2 2 2 2 3" xfId="1502" xr:uid="{E1856931-BD7A-4F71-837D-27D9682B9451}"/>
    <cellStyle name="Normal 3 2 2 2 2 2 3 2" xfId="3296" xr:uid="{351C1508-731E-4D53-A6FA-A6E51F5D2E51}"/>
    <cellStyle name="Normal 3 2 2 2 2 2 4" xfId="2318" xr:uid="{3A2D2FF9-3B08-4E73-8CEF-1F95993CDEB6}"/>
    <cellStyle name="Normal 3 2 2 2 2 3" xfId="846" xr:uid="{AA516B25-90F4-4C61-8EAE-7FCFBAED4039}"/>
    <cellStyle name="Normal 3 2 2 2 2 3 2" xfId="1704" xr:uid="{044E19FB-27EB-4278-9E99-74C59AAB3BF6}"/>
    <cellStyle name="Normal 3 2 2 2 2 3 2 2" xfId="3495" xr:uid="{2EF345FE-E52C-4CC9-8B2A-163AACD15F99}"/>
    <cellStyle name="Normal 3 2 2 2 2 3 3" xfId="2743" xr:uid="{B3E9C1B7-6C7F-4BE2-BC48-10C19BD13554}"/>
    <cellStyle name="Normal 3 2 2 2 2 4" xfId="1260" xr:uid="{A6054E2C-9701-4FCC-854F-0C4647EB99D7}"/>
    <cellStyle name="Normal 3 2 2 2 2 4 2" xfId="3075" xr:uid="{15738C7C-B063-4BBB-8555-D8BDD14D74FB}"/>
    <cellStyle name="Normal 3 2 2 2 2 5" xfId="2317" xr:uid="{4CEFD002-3406-456B-B63C-337AB4D697A2}"/>
    <cellStyle name="Normal 3 2 2 2 3" xfId="384" xr:uid="{74B5234B-37BA-4254-8776-A26747CDAAC0}"/>
    <cellStyle name="Normal 3 2 2 2 3 2" xfId="848" xr:uid="{849EAF24-0727-4220-B508-617FDA480244}"/>
    <cellStyle name="Normal 3 2 2 2 3 2 2" xfId="1865" xr:uid="{C1C9E985-DD01-4097-935E-359FBE425B6F}"/>
    <cellStyle name="Normal 3 2 2 2 3 2 2 2" xfId="3656" xr:uid="{3B9E34BD-8CA7-4372-910A-A03F509A983D}"/>
    <cellStyle name="Normal 3 2 2 2 3 2 3" xfId="2745" xr:uid="{11B9ADF1-3D0F-4FD9-A52D-B32A9552A286}"/>
    <cellStyle name="Normal 3 2 2 2 3 3" xfId="1432" xr:uid="{CEE0AB79-2EB8-44FD-82FF-AD1475C02D33}"/>
    <cellStyle name="Normal 3 2 2 2 3 3 2" xfId="3226" xr:uid="{D638C391-79D9-4196-9CA1-F5B669353D24}"/>
    <cellStyle name="Normal 3 2 2 2 3 4" xfId="2319" xr:uid="{96954209-625C-4BF2-A6C6-CDCEEED5B4C0}"/>
    <cellStyle name="Normal 3 2 2 2 4" xfId="845" xr:uid="{5BC9684B-D222-46EC-AC65-C2FA91E68413}"/>
    <cellStyle name="Normal 3 2 2 2 4 2" xfId="1634" xr:uid="{43E4ACE5-EC80-489E-BFBB-6D2C46075166}"/>
    <cellStyle name="Normal 3 2 2 2 4 2 2" xfId="3425" xr:uid="{C2B8FD2E-2E65-42BD-B0AB-69AD38362568}"/>
    <cellStyle name="Normal 3 2 2 2 4 3" xfId="2742" xr:uid="{09DC35B3-DFD2-4053-9277-8E942E3B47DD}"/>
    <cellStyle name="Normal 3 2 2 2 5" xfId="1190" xr:uid="{0FA6BDF4-A85B-4509-A2B9-97E4BD027B88}"/>
    <cellStyle name="Normal 3 2 2 2 5 2" xfId="3005" xr:uid="{E139409C-1185-4B10-B0DF-9C145CA3F888}"/>
    <cellStyle name="Normal 3 2 2 2 6" xfId="2316" xr:uid="{70388822-2BBA-4E34-9E7B-38BC9162E3DA}"/>
    <cellStyle name="Normal 3 2 2 3" xfId="385" xr:uid="{AF1A300D-9507-4EF0-8AE8-ADB3A2F74F68}"/>
    <cellStyle name="Normal 3 2 2 3 2" xfId="386" xr:uid="{6893BC04-0454-432D-BC2D-D55F16B46BD7}"/>
    <cellStyle name="Normal 3 2 2 3 2 2" xfId="850" xr:uid="{BC987688-5AB5-4DC3-8F5D-BD19BA60ECC0}"/>
    <cellStyle name="Normal 3 2 2 3 2 2 2" xfId="1970" xr:uid="{3E448B58-DE0F-4EB3-8B71-3A83FC4C2D0C}"/>
    <cellStyle name="Normal 3 2 2 3 2 2 2 2" xfId="3761" xr:uid="{2E618ACD-C524-41A2-AB29-B91637F73AF6}"/>
    <cellStyle name="Normal 3 2 2 3 2 2 3" xfId="2747" xr:uid="{34D51984-7F8E-4357-9660-CA9D935BE1F8}"/>
    <cellStyle name="Normal 3 2 2 3 2 3" xfId="1536" xr:uid="{2CD7FC7B-F828-417C-B557-638F4A004370}"/>
    <cellStyle name="Normal 3 2 2 3 2 3 2" xfId="3330" xr:uid="{A7661289-FC7F-449B-8FFC-8B5D06BA35D3}"/>
    <cellStyle name="Normal 3 2 2 3 2 4" xfId="2321" xr:uid="{DFE0F51E-BFA6-49E6-8EA6-FE7B25193F61}"/>
    <cellStyle name="Normal 3 2 2 3 3" xfId="849" xr:uid="{9A376ADE-040F-4427-AD10-088AE727DF02}"/>
    <cellStyle name="Normal 3 2 2 3 3 2" xfId="1739" xr:uid="{C980CC5F-29D5-468A-8EEE-8D80F4AFB608}"/>
    <cellStyle name="Normal 3 2 2 3 3 2 2" xfId="3530" xr:uid="{BE5E4314-E4B4-448D-BC03-67BDEC9A1423}"/>
    <cellStyle name="Normal 3 2 2 3 3 3" xfId="2746" xr:uid="{87D55E26-2FBD-4FF0-9869-905AC029BE56}"/>
    <cellStyle name="Normal 3 2 2 3 4" xfId="1295" xr:uid="{EBD73318-A5CB-4C04-9BB6-1B4A65D680EB}"/>
    <cellStyle name="Normal 3 2 2 3 4 2" xfId="3110" xr:uid="{C4673A6B-4B36-4D09-9EC7-16D0ADE9CAF5}"/>
    <cellStyle name="Normal 3 2 2 3 5" xfId="2320" xr:uid="{1700B7D4-1BEA-4EF4-AF13-C7E1C8BB7803}"/>
    <cellStyle name="Normal 3 2 2 4" xfId="387" xr:uid="{7F128082-8E3E-486B-8DCE-FA1514B4E4F3}"/>
    <cellStyle name="Normal 3 2 2 4 2" xfId="388" xr:uid="{53B3698F-AD6E-46FC-9C83-C1BCFBB8A43E}"/>
    <cellStyle name="Normal 3 2 2 4 2 2" xfId="852" xr:uid="{B1FC1431-06CF-41F6-893A-F531925EA9BC}"/>
    <cellStyle name="Normal 3 2 2 4 2 2 2" xfId="1900" xr:uid="{12E89B3A-CE1A-4C52-98DD-A1491FF9B752}"/>
    <cellStyle name="Normal 3 2 2 4 2 2 2 2" xfId="3691" xr:uid="{38842C44-8934-4CAC-B858-B584606CDF80}"/>
    <cellStyle name="Normal 3 2 2 4 2 2 3" xfId="2749" xr:uid="{A141BDBF-67C4-4523-9AB5-C0A09380A3BE}"/>
    <cellStyle name="Normal 3 2 2 4 2 3" xfId="1467" xr:uid="{25A1B70B-B55E-4DE4-B3E7-5E1A69643514}"/>
    <cellStyle name="Normal 3 2 2 4 2 3 2" xfId="3261" xr:uid="{DF012E83-1A7C-4586-ADBD-4F1C8AECB044}"/>
    <cellStyle name="Normal 3 2 2 4 2 4" xfId="2323" xr:uid="{2AA68A22-D135-4809-BC7D-DF708702CA60}"/>
    <cellStyle name="Normal 3 2 2 4 3" xfId="851" xr:uid="{DFFF0252-23E4-4653-9B1C-AE1C0D9183E5}"/>
    <cellStyle name="Normal 3 2 2 4 3 2" xfId="1669" xr:uid="{DF3CB648-F1EA-4279-B46B-DBE813B754F9}"/>
    <cellStyle name="Normal 3 2 2 4 3 2 2" xfId="3460" xr:uid="{F534902A-0DA1-47C2-B5F3-83B06D49C450}"/>
    <cellStyle name="Normal 3 2 2 4 3 3" xfId="2748" xr:uid="{94F65E58-36E1-4FDD-AEE4-5A884D57432E}"/>
    <cellStyle name="Normal 3 2 2 4 4" xfId="1225" xr:uid="{DE8D5B3B-B313-468E-8FC5-5D67E19C1275}"/>
    <cellStyle name="Normal 3 2 2 4 4 2" xfId="3040" xr:uid="{B1B21901-9180-4921-B29B-11323A8CC216}"/>
    <cellStyle name="Normal 3 2 2 4 5" xfId="2322" xr:uid="{2C48B090-7BA7-45EA-A7BE-FD0FF2F769CD}"/>
    <cellStyle name="Normal 3 2 2 5" xfId="389" xr:uid="{F9B9C11C-2188-48D2-BFDB-403AD4632AB2}"/>
    <cellStyle name="Normal 3 2 2 5 2" xfId="853" xr:uid="{A249282F-4438-4089-A0F8-E97913AB2874}"/>
    <cellStyle name="Normal 3 2 2 5 2 2" xfId="1830" xr:uid="{8D0A9188-DA61-4718-9791-4662717389DE}"/>
    <cellStyle name="Normal 3 2 2 5 2 2 2" xfId="3621" xr:uid="{C414D633-7BBA-444A-BE3B-625501F8BC0C}"/>
    <cellStyle name="Normal 3 2 2 5 2 3" xfId="2750" xr:uid="{3FDA233A-6B8D-4B3D-AA75-C958AFDA6627}"/>
    <cellStyle name="Normal 3 2 2 5 3" xfId="1167" xr:uid="{E0546C8D-AF05-416E-BC14-8D46D618F56E}"/>
    <cellStyle name="Normal 3 2 2 5 3 2" xfId="2982" xr:uid="{C39DCEB7-DF53-4666-AD37-F51B907DA67F}"/>
    <cellStyle name="Normal 3 2 2 5 4" xfId="2324" xr:uid="{231C2553-F762-41D1-B203-D51D908F8D8E}"/>
    <cellStyle name="Normal 3 2 2 6" xfId="844" xr:uid="{0FA8E999-4D0F-4067-BA3C-22FD9B644EDE}"/>
    <cellStyle name="Normal 3 2 2 6 2" xfId="1599" xr:uid="{D9D9D4F0-128E-4AD1-B6B5-162F7FA437D8}"/>
    <cellStyle name="Normal 3 2 2 6 2 2" xfId="3390" xr:uid="{21EB75FE-185C-4B1F-965B-AFA8F47C906C}"/>
    <cellStyle name="Normal 3 2 2 6 3" xfId="2741" xr:uid="{E04C2DB1-92A1-4DF0-A6AE-4D18D4C1B652}"/>
    <cellStyle name="Normal 3 2 2 7" xfId="1100" xr:uid="{3B299282-B1D9-4A72-B340-07A14EED6679}"/>
    <cellStyle name="Normal 3 2 2 8" xfId="2315" xr:uid="{12A620F6-9DD8-42D9-B3BA-6F502AA13BCE}"/>
    <cellStyle name="Normal 3 2 3" xfId="390" xr:uid="{9404962A-EC71-4FE4-96C3-CBA57D1FDC50}"/>
    <cellStyle name="Normal 3 2 3 2" xfId="391" xr:uid="{2892D749-677B-4702-82D6-6BCB6F531CFC}"/>
    <cellStyle name="Normal 3 2 3 2 2" xfId="392" xr:uid="{2114F4A7-B62E-4B25-A004-9B19C031BFF7}"/>
    <cellStyle name="Normal 3 2 3 2 2 2" xfId="856" xr:uid="{0AE9E80A-38B0-4618-8E5B-A93AD22D7484}"/>
    <cellStyle name="Normal 3 2 3 2 2 2 2" xfId="1917" xr:uid="{A829F963-96AE-400B-BDBD-00293C59492C}"/>
    <cellStyle name="Normal 3 2 3 2 2 2 2 2" xfId="3708" xr:uid="{B14AB0A2-E102-4650-AEB9-3D5C3A8E60E6}"/>
    <cellStyle name="Normal 3 2 3 2 2 2 3" xfId="2753" xr:uid="{FC9188EF-798C-4810-9207-E56554F96C5C}"/>
    <cellStyle name="Normal 3 2 3 2 2 3" xfId="1484" xr:uid="{D011BD62-9302-48A5-95CA-49D8BDDDE2A0}"/>
    <cellStyle name="Normal 3 2 3 2 2 3 2" xfId="3278" xr:uid="{1FACCD57-933A-42EE-8813-6F9CD2B898EE}"/>
    <cellStyle name="Normal 3 2 3 2 2 4" xfId="2327" xr:uid="{92C047EF-EC04-46C7-BEB1-4CE1629C6576}"/>
    <cellStyle name="Normal 3 2 3 2 3" xfId="855" xr:uid="{478BF96A-4128-4A80-B69D-0503B623AA6D}"/>
    <cellStyle name="Normal 3 2 3 2 3 2" xfId="1686" xr:uid="{30B9D55F-FD31-4DBD-B9C4-66855C6F80ED}"/>
    <cellStyle name="Normal 3 2 3 2 3 2 2" xfId="3477" xr:uid="{ECEF3A33-EEDA-4E4C-A53E-717F9F0E8189}"/>
    <cellStyle name="Normal 3 2 3 2 3 3" xfId="2752" xr:uid="{40136127-F27B-4201-BCF5-9240D80652EB}"/>
    <cellStyle name="Normal 3 2 3 2 4" xfId="1242" xr:uid="{1C79B4D9-C8EB-4D17-BB97-872C92C6E9E0}"/>
    <cellStyle name="Normal 3 2 3 2 4 2" xfId="3057" xr:uid="{1D5D9A29-18FA-4F38-B804-F5CBCBB8F5F6}"/>
    <cellStyle name="Normal 3 2 3 2 5" xfId="2326" xr:uid="{274786C5-2AA6-4A34-A586-4B16E7180797}"/>
    <cellStyle name="Normal 3 2 3 3" xfId="393" xr:uid="{5977834E-EA7D-4BBF-8660-410C231A5B87}"/>
    <cellStyle name="Normal 3 2 3 3 2" xfId="857" xr:uid="{F75D0540-AFBD-48F6-917F-4E57304E7F5C}"/>
    <cellStyle name="Normal 3 2 3 3 2 2" xfId="1847" xr:uid="{3F146F6F-9EE1-40B9-BA2F-6B5488F4CD2D}"/>
    <cellStyle name="Normal 3 2 3 3 2 2 2" xfId="3638" xr:uid="{357A91A4-5432-48E2-AAD9-A9182F347202}"/>
    <cellStyle name="Normal 3 2 3 3 2 3" xfId="2754" xr:uid="{6B98B8D5-7DCB-4A7A-858E-20C4673AC8A9}"/>
    <cellStyle name="Normal 3 2 3 3 3" xfId="1414" xr:uid="{A82D3EED-75E2-4513-83B4-D3F04EE276C6}"/>
    <cellStyle name="Normal 3 2 3 3 3 2" xfId="3208" xr:uid="{44C33FF4-8503-4B7F-A741-DD38E96D65D4}"/>
    <cellStyle name="Normal 3 2 3 3 4" xfId="2328" xr:uid="{CCF5357E-4F9E-4E2D-951F-77CF6F059F75}"/>
    <cellStyle name="Normal 3 2 3 4" xfId="854" xr:uid="{D4ED0A6B-79A2-4C42-8DCC-E63B02229DEE}"/>
    <cellStyle name="Normal 3 2 3 4 2" xfId="1616" xr:uid="{4297C144-79AF-4CF4-BE97-4571081C04A9}"/>
    <cellStyle name="Normal 3 2 3 4 2 2" xfId="3407" xr:uid="{EE9777DE-156C-4C65-AD09-E51C59341C22}"/>
    <cellStyle name="Normal 3 2 3 4 3" xfId="2751" xr:uid="{C5BD6247-6DCA-4AA8-81BD-E437D0FEB09F}"/>
    <cellStyle name="Normal 3 2 3 5" xfId="1172" xr:uid="{A1199EFC-5737-4A0F-9055-1610D3DA2D7A}"/>
    <cellStyle name="Normal 3 2 3 5 2" xfId="2987" xr:uid="{3B51D618-B480-42A2-B5ED-1411FD12D410}"/>
    <cellStyle name="Normal 3 2 3 6" xfId="2325" xr:uid="{EEC16160-D354-495C-8314-756ABE58235F}"/>
    <cellStyle name="Normal 3 2 4" xfId="394" xr:uid="{B4EA9F70-38A7-4971-ACE1-72831213B19D}"/>
    <cellStyle name="Normal 3 2 4 2" xfId="395" xr:uid="{85E168E2-6DE9-4FA2-BB57-5A595790C724}"/>
    <cellStyle name="Normal 3 2 4 2 2" xfId="859" xr:uid="{23D7AA43-9C25-49B8-BF8F-E80575A5E7A9}"/>
    <cellStyle name="Normal 3 2 4 2 2 2" xfId="1952" xr:uid="{6865A5A2-D57A-40D3-912C-1119B94FF042}"/>
    <cellStyle name="Normal 3 2 4 2 2 2 2" xfId="3743" xr:uid="{B54B2675-7B8F-4BCB-A6BC-149EDB3448CD}"/>
    <cellStyle name="Normal 3 2 4 2 2 3" xfId="2756" xr:uid="{7E880B15-C7A5-475F-BA57-8B935E235668}"/>
    <cellStyle name="Normal 3 2 4 2 3" xfId="1519" xr:uid="{76DF8A01-35AC-4F8F-AB01-3ED3F8BDA2C6}"/>
    <cellStyle name="Normal 3 2 4 2 3 2" xfId="3313" xr:uid="{83D82D52-4302-4943-8A11-5FBAC618ED12}"/>
    <cellStyle name="Normal 3 2 4 2 4" xfId="2330" xr:uid="{76C46D42-1336-45E8-B47C-3246B7C9042E}"/>
    <cellStyle name="Normal 3 2 4 3" xfId="858" xr:uid="{363111D2-F126-40DE-B9FF-8A8B311DDB6D}"/>
    <cellStyle name="Normal 3 2 4 3 2" xfId="1721" xr:uid="{2683A2F4-0DD3-47BE-AA05-A8D42E88AD19}"/>
    <cellStyle name="Normal 3 2 4 3 2 2" xfId="3512" xr:uid="{19ECD6FC-381D-4A67-BBA1-EDA68C07EA92}"/>
    <cellStyle name="Normal 3 2 4 3 3" xfId="2755" xr:uid="{B73480E9-566D-46D9-A50E-D0AA3904DE10}"/>
    <cellStyle name="Normal 3 2 4 4" xfId="1277" xr:uid="{78042AC8-F8A7-4EDF-A429-FF5EAF05CED2}"/>
    <cellStyle name="Normal 3 2 4 4 2" xfId="3092" xr:uid="{99C38353-D05F-4364-B444-1A878037538B}"/>
    <cellStyle name="Normal 3 2 4 5" xfId="2329" xr:uid="{F397E7BB-0A50-440D-A5F5-A26889986E7A}"/>
    <cellStyle name="Normal 3 2 5" xfId="396" xr:uid="{29F68D59-D863-45F3-B3EF-E8BD82A66632}"/>
    <cellStyle name="Normal 3 2 6" xfId="397" xr:uid="{031A8357-D52C-4E67-A8AA-6508919C51AA}"/>
    <cellStyle name="Normal 3 2 6 2" xfId="398" xr:uid="{38240061-0F3E-4624-9E5B-7A5D8FC67C24}"/>
    <cellStyle name="Normal 3 2 6 2 2" xfId="861" xr:uid="{65B55638-CE1D-4895-983B-6AB78F960F66}"/>
    <cellStyle name="Normal 3 2 6 2 2 2" xfId="1882" xr:uid="{B89F0552-0AF9-46E8-879A-3D25144C8696}"/>
    <cellStyle name="Normal 3 2 6 2 2 2 2" xfId="3673" xr:uid="{3F80D400-DAEC-46AA-BD0D-09068BD0B589}"/>
    <cellStyle name="Normal 3 2 6 2 2 3" xfId="2758" xr:uid="{CCD61029-1EC6-47C1-A49F-FD8CA1E7988D}"/>
    <cellStyle name="Normal 3 2 6 2 3" xfId="1449" xr:uid="{888A3F55-9A68-4A18-BAA6-D6B30B614EDC}"/>
    <cellStyle name="Normal 3 2 6 2 3 2" xfId="3243" xr:uid="{28C66DBD-C3D4-4629-89E6-2882F2CC024F}"/>
    <cellStyle name="Normal 3 2 6 2 4" xfId="2332" xr:uid="{8C55E40F-F944-4D8C-9B67-3817BEDF2C50}"/>
    <cellStyle name="Normal 3 2 6 3" xfId="860" xr:uid="{5E4EDF31-D99C-4F18-A049-37F85EC86CF1}"/>
    <cellStyle name="Normal 3 2 6 3 2" xfId="1651" xr:uid="{BC290F3D-D029-4041-83BB-B0C8A370C2BA}"/>
    <cellStyle name="Normal 3 2 6 3 2 2" xfId="3442" xr:uid="{9A3B5365-B7E6-4846-95E5-EDF0EE5D9EE9}"/>
    <cellStyle name="Normal 3 2 6 3 3" xfId="2757" xr:uid="{2208D427-B8AF-42C5-B3B5-303236DED96B}"/>
    <cellStyle name="Normal 3 2 6 4" xfId="1207" xr:uid="{44CD3BB2-9DB5-40A2-8418-EE35B3E61492}"/>
    <cellStyle name="Normal 3 2 6 4 2" xfId="3022" xr:uid="{B1BA6733-AA62-4E60-A54D-9210C9FC8C08}"/>
    <cellStyle name="Normal 3 2 6 5" xfId="2331" xr:uid="{09B4D0C2-FCE4-45C1-9BD5-CE9E75F97A74}"/>
    <cellStyle name="Normal 3 2 7" xfId="399" xr:uid="{9C216B0A-5341-4B9D-88CC-0849666235F0}"/>
    <cellStyle name="Normal 3 2 7 2" xfId="400" xr:uid="{A4E4F417-A43E-4571-96CF-3C9D729E41BF}"/>
    <cellStyle name="Normal 3 2 7 2 2" xfId="863" xr:uid="{351FC2AC-E1E5-41EF-B0DA-1189BB4A2CE6}"/>
    <cellStyle name="Normal 3 2 7 2 2 2" xfId="1812" xr:uid="{D5A096FD-3CD3-4A86-A02E-925E4827117D}"/>
    <cellStyle name="Normal 3 2 7 2 2 2 2" xfId="3603" xr:uid="{965D58FA-1B29-428E-8CDB-28EFC0730270}"/>
    <cellStyle name="Normal 3 2 7 2 2 3" xfId="2760" xr:uid="{260FA6B1-E6FB-4AA2-9BB9-8FEBDD637D99}"/>
    <cellStyle name="Normal 3 2 7 2 3" xfId="1380" xr:uid="{C4BD1C5A-BED3-4618-8C1F-7DAE6C39B30C}"/>
    <cellStyle name="Normal 3 2 7 2 3 2" xfId="3174" xr:uid="{7168D9B0-A4D4-4FCE-A973-EEAC2370A226}"/>
    <cellStyle name="Normal 3 2 7 2 4" xfId="2334" xr:uid="{E377F258-CFF4-4EA0-BFBD-08B87E3F1290}"/>
    <cellStyle name="Normal 3 2 7 3" xfId="862" xr:uid="{9F360FF5-260D-4270-8AD4-C7F9540CA7DE}"/>
    <cellStyle name="Normal 3 2 7 3 2" xfId="1581" xr:uid="{63FE50B8-55E6-4EF5-A132-F993621D9AC0}"/>
    <cellStyle name="Normal 3 2 7 3 2 2" xfId="3372" xr:uid="{C5E7131D-21AF-4D4A-A837-E3ED4F40A30B}"/>
    <cellStyle name="Normal 3 2 7 3 3" xfId="2759" xr:uid="{AAEA6BAB-14F8-4AB5-9061-D2A5B5BCC8E8}"/>
    <cellStyle name="Normal 3 2 7 4" xfId="1153" xr:uid="{C931F187-86E6-4D25-AB86-8E284258C2E3}"/>
    <cellStyle name="Normal 3 2 7 4 2" xfId="2969" xr:uid="{B8A5F007-6AAF-409D-ADA9-AE072DC3910B}"/>
    <cellStyle name="Normal 3 2 7 5" xfId="2333" xr:uid="{9EE3CD09-D754-4F6A-8BC2-C8E1E188D791}"/>
    <cellStyle name="Normal 3 3" xfId="401" xr:uid="{CF4DC639-B8EB-4D07-941A-4908AD9409D5}"/>
    <cellStyle name="Normal 3 3 2" xfId="402" xr:uid="{F5809625-0685-4E6D-B4E7-5291857A84E6}"/>
    <cellStyle name="Normal 3 3 2 2" xfId="403" xr:uid="{A7A3656D-0F57-483B-B3A5-A2037ADB5161}"/>
    <cellStyle name="Normal 3 3 2 2 2" xfId="404" xr:uid="{6E1833CE-2B06-441F-9FCA-42CF7DF27013}"/>
    <cellStyle name="Normal 3 3 2 2 2 2" xfId="866" xr:uid="{8A203964-43D2-41F4-8547-C0DFB313EABA}"/>
    <cellStyle name="Normal 3 3 2 2 2 2 2" xfId="1934" xr:uid="{E62B6C6F-FAF1-434C-886E-96DD9D5984A2}"/>
    <cellStyle name="Normal 3 3 2 2 2 2 2 2" xfId="3725" xr:uid="{4388203F-B5BE-454F-99E5-3B21A1D4AC9B}"/>
    <cellStyle name="Normal 3 3 2 2 2 2 3" xfId="2763" xr:uid="{6E9B046B-711C-4757-8067-210CFEC6012B}"/>
    <cellStyle name="Normal 3 3 2 2 2 3" xfId="1501" xr:uid="{48361B05-62EA-4216-87A9-767C4A4D14BE}"/>
    <cellStyle name="Normal 3 3 2 2 2 3 2" xfId="3295" xr:uid="{A8F063F7-39CC-43A5-937D-F5036207A85B}"/>
    <cellStyle name="Normal 3 3 2 2 2 4" xfId="2337" xr:uid="{D5433253-9171-4906-B6CB-9EC6EBA59FE0}"/>
    <cellStyle name="Normal 3 3 2 2 3" xfId="865" xr:uid="{90D1E75D-239B-439A-970C-E85D3A7976FA}"/>
    <cellStyle name="Normal 3 3 2 2 3 2" xfId="1703" xr:uid="{851FB00E-75F6-4CA2-8AFD-55C4C2A1D515}"/>
    <cellStyle name="Normal 3 3 2 2 3 2 2" xfId="3494" xr:uid="{C9238D75-3B02-43D1-AC1A-A57184564CD2}"/>
    <cellStyle name="Normal 3 3 2 2 3 3" xfId="2762" xr:uid="{0C6D0719-3F28-45ED-A35A-79E247B99D1B}"/>
    <cellStyle name="Normal 3 3 2 2 4" xfId="1259" xr:uid="{E301E494-FC3F-4174-ABCB-B1E9491A7F93}"/>
    <cellStyle name="Normal 3 3 2 2 4 2" xfId="3074" xr:uid="{0BBC2C76-9A19-487E-890C-09022D9F006E}"/>
    <cellStyle name="Normal 3 3 2 2 5" xfId="2336" xr:uid="{8606C28F-66FA-45CA-B5BA-0E75AB11BE80}"/>
    <cellStyle name="Normal 3 3 2 3" xfId="405" xr:uid="{D36242FC-2F2D-49A4-8AA8-AA428FB5BF76}"/>
    <cellStyle name="Normal 3 3 2 3 2" xfId="406" xr:uid="{514FAF79-A921-48D3-AD4D-9A9F43EE56C1}"/>
    <cellStyle name="Normal 3 3 2 3 2 2" xfId="407" xr:uid="{987FD064-67AD-451C-81E7-479451011FEC}"/>
    <cellStyle name="Normal 3 3 2 3 2 3" xfId="1990" xr:uid="{0FBD5DCF-0CFA-4479-A3A1-CF475EDC4CA6}"/>
    <cellStyle name="Normal 3 3 2 3 2 3 2" xfId="2000" xr:uid="{6B66E4B2-4266-4FFE-B4D7-76FC970CEECA}"/>
    <cellStyle name="Normal 3 3 2 3 3" xfId="408" xr:uid="{C82CD973-2D80-4336-BAD5-7E03D2F2A951}"/>
    <cellStyle name="Normal 3 3 2 3 3 2" xfId="867" xr:uid="{C3099D03-4FC6-45E9-95D5-3001D5FC0461}"/>
    <cellStyle name="Normal 3 3 2 3 3 2 2" xfId="1788" xr:uid="{1C4DCC2B-4DAC-4F10-BA57-05E458763742}"/>
    <cellStyle name="Normal 3 3 2 3 3 2 2 2" xfId="3579" xr:uid="{33A75A6C-4A4F-433E-86D2-05CB0E54A95E}"/>
    <cellStyle name="Normal 3 3 2 3 3 2 3" xfId="2764" xr:uid="{34D7CF77-AA21-45CE-8B17-E53188F4561D}"/>
    <cellStyle name="Normal 3 3 2 3 3 3" xfId="1358" xr:uid="{27671686-134F-49EF-BD11-B8DDAC9AD519}"/>
    <cellStyle name="Normal 3 3 2 3 3 3 2" xfId="3152" xr:uid="{9E2AF9AB-DBAF-47CF-A6BF-D49FECFBC233}"/>
    <cellStyle name="Normal 3 3 2 3 3 4" xfId="2338" xr:uid="{E841F83A-5250-476C-880A-26682BA79FEA}"/>
    <cellStyle name="Normal 3 3 2 3 4" xfId="1323" xr:uid="{7B273103-BA40-4524-9B01-B0E176FD1B63}"/>
    <cellStyle name="Normal 3 3 2 3 5" xfId="1189" xr:uid="{D64DD2B8-C52B-4F25-A4FF-B6E1FB0DBFD5}"/>
    <cellStyle name="Normal 3 3 2 3 5 2" xfId="3004" xr:uid="{94DA8B15-5793-400E-907E-6B1C079E778F}"/>
    <cellStyle name="Normal 3 3 2 4" xfId="409" xr:uid="{4DAA12BD-15A3-4A7A-A604-6BC7E202ABC3}"/>
    <cellStyle name="Normal 3 3 2 4 2" xfId="410" xr:uid="{EB9985F6-C5BD-4A6D-9D4A-0B2A998C9CC8}"/>
    <cellStyle name="Normal 3 3 2 4 2 2" xfId="868" xr:uid="{27C120B4-745A-4A37-B007-5997EE2A712A}"/>
    <cellStyle name="Normal 3 3 2 4 2 2 2" xfId="1864" xr:uid="{2307440D-0188-42AA-992D-FC29A17A2B2D}"/>
    <cellStyle name="Normal 3 3 2 4 2 2 2 2" xfId="3655" xr:uid="{650CE9AD-8862-41D4-BDAF-887E3725F35C}"/>
    <cellStyle name="Normal 3 3 2 4 2 2 3" xfId="2765" xr:uid="{5CFA2EDE-E3D8-48CB-8BB3-EE5B2C4128DD}"/>
    <cellStyle name="Normal 3 3 2 4 2 3" xfId="1431" xr:uid="{9D7E5CA1-8455-4E1D-AF42-A09AEF07F0A3}"/>
    <cellStyle name="Normal 3 3 2 4 2 3 2" xfId="3225" xr:uid="{E39268B1-9377-44B8-9BFC-1DA3F16AA07D}"/>
    <cellStyle name="Normal 3 3 2 4 2 4" xfId="2339" xr:uid="{F8274D4D-8FD8-46A6-8182-700E90100531}"/>
    <cellStyle name="Normal 3 3 2 5" xfId="864" xr:uid="{A02E4898-0C83-4386-992E-53BD762F33A8}"/>
    <cellStyle name="Normal 3 3 2 5 2" xfId="1633" xr:uid="{72D42D70-6EE5-4C23-AA36-1049543DD7E3}"/>
    <cellStyle name="Normal 3 3 2 5 2 2" xfId="3424" xr:uid="{5C0BAF2F-0197-46C7-8BD5-1683C912A63E}"/>
    <cellStyle name="Normal 3 3 2 5 3" xfId="2761" xr:uid="{F81B0820-CAB4-4AB6-896F-BAB1928E415A}"/>
    <cellStyle name="Normal 3 3 2 6" xfId="2335" xr:uid="{ED4C19C2-784C-4F85-A6BE-C01C2A412714}"/>
    <cellStyle name="Normal 3 3 3" xfId="411" xr:uid="{AA33CEE9-4FA0-4D4E-BB21-A150EE882641}"/>
    <cellStyle name="Normal 3 3 3 2" xfId="412" xr:uid="{5AE1D9FA-31A4-44CA-BEF2-3574072CC292}"/>
    <cellStyle name="Normal 3 3 3 2 2" xfId="870" xr:uid="{023C70AD-EB58-472D-A76A-02A501938E58}"/>
    <cellStyle name="Normal 3 3 3 2 2 2" xfId="1969" xr:uid="{67589468-5CD2-44E9-A6AC-1C8575D2C872}"/>
    <cellStyle name="Normal 3 3 3 2 2 2 2" xfId="3760" xr:uid="{51E1B787-4EFC-4DE9-807F-CE6BDCBA862D}"/>
    <cellStyle name="Normal 3 3 3 2 2 3" xfId="2767" xr:uid="{2BE9904C-2D76-4B53-B1FF-430DD2FE21A9}"/>
    <cellStyle name="Normal 3 3 3 2 3" xfId="1294" xr:uid="{87178CFC-BDC8-497D-B8D0-FB7112AA8240}"/>
    <cellStyle name="Normal 3 3 3 2 3 2" xfId="3109" xr:uid="{A77D6F88-3C59-4372-843E-D2BB0568C08C}"/>
    <cellStyle name="Normal 3 3 3 2 4" xfId="2341" xr:uid="{41B8BE53-E18E-410B-9F2B-0D847B4D30E6}"/>
    <cellStyle name="Normal 3 3 3 3" xfId="869" xr:uid="{8595C0A1-DCB0-48C5-9EDA-EF8204CE3C02}"/>
    <cellStyle name="Normal 3 3 3 3 2" xfId="1738" xr:uid="{2B53AA9A-194B-4EB0-939F-EC1272BDE339}"/>
    <cellStyle name="Normal 3 3 3 3 2 2" xfId="3529" xr:uid="{AC56CECC-2194-4CC7-ADF1-FBD342AC6D9D}"/>
    <cellStyle name="Normal 3 3 3 3 3" xfId="2766" xr:uid="{50F3D8C1-2869-4488-9BF0-751AA51434F6}"/>
    <cellStyle name="Normal 3 3 3 4" xfId="1141" xr:uid="{32D519EA-05C1-440F-AFA6-A71C83301963}"/>
    <cellStyle name="Normal 3 3 3 5" xfId="2340" xr:uid="{D9C331EF-6A27-49C6-B328-A6CB16C38438}"/>
    <cellStyle name="Normal 3 3 4" xfId="413" xr:uid="{1AA5F941-71A4-4EC3-B342-AAEB2C0182A8}"/>
    <cellStyle name="Normal 3 3 4 2" xfId="414" xr:uid="{56A89AE5-651E-48BE-AF42-5F07393299BB}"/>
    <cellStyle name="Normal 3 3 4 2 2" xfId="872" xr:uid="{56B76411-AE4E-43C6-A687-E6096F108662}"/>
    <cellStyle name="Normal 3 3 4 2 2 2" xfId="1899" xr:uid="{6B76193D-56BE-436E-9649-091FEF04E16F}"/>
    <cellStyle name="Normal 3 3 4 2 2 2 2" xfId="3690" xr:uid="{ABD3E568-3D48-477F-ACDD-4FEA0053618F}"/>
    <cellStyle name="Normal 3 3 4 2 2 3" xfId="2769" xr:uid="{22188431-C374-4076-A0B6-9D651BA959D5}"/>
    <cellStyle name="Normal 3 3 4 2 3" xfId="1466" xr:uid="{862300E8-FC95-4382-844C-FB4081A13F5B}"/>
    <cellStyle name="Normal 3 3 4 2 3 2" xfId="3260" xr:uid="{2581C1F2-9BAA-4C6A-8971-E9DB54BBBE17}"/>
    <cellStyle name="Normal 3 3 4 2 4" xfId="2343" xr:uid="{898BB3D5-00DB-4EFB-9AB8-EB92438754E1}"/>
    <cellStyle name="Normal 3 3 4 3" xfId="871" xr:uid="{BDE1AFF6-9592-4F09-B797-D0FCD65A2D70}"/>
    <cellStyle name="Normal 3 3 4 3 2" xfId="1668" xr:uid="{7B2D3112-CD1C-4DAF-8FF1-8E8D28278137}"/>
    <cellStyle name="Normal 3 3 4 3 2 2" xfId="3459" xr:uid="{6CED10AB-3059-49E0-90AC-2129B1777F28}"/>
    <cellStyle name="Normal 3 3 4 3 3" xfId="2768" xr:uid="{30BEC9DA-75EA-4197-8EA0-7570BDFCED9F}"/>
    <cellStyle name="Normal 3 3 4 4" xfId="1224" xr:uid="{D2743CDA-9D32-49C7-A744-523A1DCCCA3F}"/>
    <cellStyle name="Normal 3 3 4 4 2" xfId="3039" xr:uid="{B5C3F7EF-3E56-4A8B-B957-D56A74F0096D}"/>
    <cellStyle name="Normal 3 3 4 5" xfId="2342" xr:uid="{67C68C06-7594-430C-B873-AAEEC097385A}"/>
    <cellStyle name="Normal 3 3 5" xfId="415" xr:uid="{AB7EFF09-EE49-49B8-AC1A-3595FFE46798}"/>
    <cellStyle name="Normal 3 3 5 2" xfId="416" xr:uid="{77AF0541-57C3-4B6C-9F02-11904C9DFA6E}"/>
    <cellStyle name="Normal 3 3 5 2 2" xfId="874" xr:uid="{B604518A-0907-4F95-9FFF-43AA94019D15}"/>
    <cellStyle name="Normal 3 3 5 2 2 2" xfId="1829" xr:uid="{43AF00F7-11B0-40B5-9518-808F63402B59}"/>
    <cellStyle name="Normal 3 3 5 2 2 2 2" xfId="3620" xr:uid="{2F003D8C-97B8-4FC2-A5D2-CFF7CA90E97B}"/>
    <cellStyle name="Normal 3 3 5 2 2 3" xfId="2771" xr:uid="{3479193F-9A1E-4DA2-8D85-5844466B65B8}"/>
    <cellStyle name="Normal 3 3 5 2 3" xfId="1397" xr:uid="{B0AFA813-D700-45F6-ADB1-E7D06A2A2C90}"/>
    <cellStyle name="Normal 3 3 5 2 3 2" xfId="3191" xr:uid="{D5733052-0180-4763-9BED-2DC62652021D}"/>
    <cellStyle name="Normal 3 3 5 2 4" xfId="2345" xr:uid="{076AF7A1-A70A-4167-B58D-654C7E2839B3}"/>
    <cellStyle name="Normal 3 3 5 3" xfId="873" xr:uid="{CE6AC4A9-B0A3-4321-8C3D-F85FF7B45BE3}"/>
    <cellStyle name="Normal 3 3 5 3 2" xfId="1598" xr:uid="{E77669F5-B4EE-492E-B5BF-CA3B94DA34F0}"/>
    <cellStyle name="Normal 3 3 5 3 2 2" xfId="3389" xr:uid="{AC859F92-9127-4174-A1B8-69316437331D}"/>
    <cellStyle name="Normal 3 3 5 3 3" xfId="2770" xr:uid="{FC09AFCE-4A32-4309-99F0-22F2F0C1F499}"/>
    <cellStyle name="Normal 3 3 5 4" xfId="1166" xr:uid="{FEF68EE0-C9AE-4F6F-BEE9-FA6CA87DAD3D}"/>
    <cellStyle name="Normal 3 3 5 4 2" xfId="2981" xr:uid="{8E3EC6E0-6293-42C7-9CAF-0607BE5D6D13}"/>
    <cellStyle name="Normal 3 3 5 5" xfId="2344" xr:uid="{5F6DF27C-C373-4FAF-87CD-45CFF77BC654}"/>
    <cellStyle name="Normal 3 3 6" xfId="417" xr:uid="{E72119F6-42DC-4198-8198-A8F01CCFD410}"/>
    <cellStyle name="Normal 3 3 7" xfId="1110" xr:uid="{83C06155-3DB3-474B-B3D3-9E7027A6AA42}"/>
    <cellStyle name="Normal 3 4" xfId="418" xr:uid="{E0C6769D-AB6A-4AAD-BB5B-585653075C63}"/>
    <cellStyle name="Normal 3 4 2" xfId="419" xr:uid="{82853182-E351-4E05-8162-CE3F9150F18F}"/>
    <cellStyle name="Normal 3 4 2 2" xfId="420" xr:uid="{E870360A-7289-4B7F-8EF3-567F720A3548}"/>
    <cellStyle name="Normal 3 4 2 2 2" xfId="421" xr:uid="{A13AD9A3-8CFA-46E8-B16B-961AC1B8EA41}"/>
    <cellStyle name="Normal 3 4 2 2 2 2" xfId="877" xr:uid="{7DE95D87-6B7D-45C9-8D7C-17D393D36EB9}"/>
    <cellStyle name="Normal 3 4 2 2 2 2 2" xfId="1916" xr:uid="{0EFE5C70-9281-49F9-A72A-418BA96D1EA6}"/>
    <cellStyle name="Normal 3 4 2 2 2 2 2 2" xfId="3707" xr:uid="{15878F1D-C9CE-4902-92B2-7AB882A2518D}"/>
    <cellStyle name="Normal 3 4 2 2 2 2 3" xfId="2774" xr:uid="{1701A9AF-F050-419D-90F5-1689A9359040}"/>
    <cellStyle name="Normal 3 4 2 2 2 3" xfId="1483" xr:uid="{E5A389AC-AB59-4DD8-8666-D5D321152254}"/>
    <cellStyle name="Normal 3 4 2 2 2 3 2" xfId="3277" xr:uid="{48E736DC-E67A-4BA9-8D62-16CBB73F31B6}"/>
    <cellStyle name="Normal 3 4 2 2 2 4" xfId="2348" xr:uid="{A9079B13-768D-4CA9-87ED-02A3E7E23095}"/>
    <cellStyle name="Normal 3 4 2 2 3" xfId="876" xr:uid="{26B993E5-927B-4943-AF5A-EAA9C6BA98CF}"/>
    <cellStyle name="Normal 3 4 2 2 3 2" xfId="1685" xr:uid="{944A0CEC-17A9-4AE4-A915-C9209386511D}"/>
    <cellStyle name="Normal 3 4 2 2 3 2 2" xfId="3476" xr:uid="{7250C891-CF4D-4E08-A69B-409B8B514FD2}"/>
    <cellStyle name="Normal 3 4 2 2 3 3" xfId="2773" xr:uid="{37B6104E-3C19-49A3-A53D-683782236B91}"/>
    <cellStyle name="Normal 3 4 2 2 4" xfId="1241" xr:uid="{8443C86C-B054-44E8-A34E-B39C6DA0F8AA}"/>
    <cellStyle name="Normal 3 4 2 2 4 2" xfId="3056" xr:uid="{D7D1FF97-9249-461E-803F-01A8FB98E682}"/>
    <cellStyle name="Normal 3 4 2 2 5" xfId="2347" xr:uid="{747F0302-0A65-4D14-A1CA-3CE52AE04368}"/>
    <cellStyle name="Normal 3 4 2 3" xfId="422" xr:uid="{35D2AC19-C03E-4926-B85D-73FD4EC2FAA7}"/>
    <cellStyle name="Normal 3 4 2 3 2" xfId="878" xr:uid="{CA93EB9B-12C5-4D24-94BF-AE23A49E0C80}"/>
    <cellStyle name="Normal 3 4 2 3 2 2" xfId="1846" xr:uid="{0276891A-9268-4F16-9AD8-5B6D4C18011E}"/>
    <cellStyle name="Normal 3 4 2 3 2 2 2" xfId="3637" xr:uid="{BA5803A5-98CD-444D-BDD8-4BCE61E22F85}"/>
    <cellStyle name="Normal 3 4 2 3 2 3" xfId="2775" xr:uid="{26344858-0C3B-4D48-ADAF-22E7DD2FC51F}"/>
    <cellStyle name="Normal 3 4 2 3 3" xfId="1413" xr:uid="{E44F3A48-C653-4820-ADC2-6423564D82E1}"/>
    <cellStyle name="Normal 3 4 2 3 3 2" xfId="3207" xr:uid="{8425B2A1-051A-4A86-8F10-42AA18844EFB}"/>
    <cellStyle name="Normal 3 4 2 3 4" xfId="2349" xr:uid="{07B39610-AEC2-4BB2-BB1D-98E02FEA64C9}"/>
    <cellStyle name="Normal 3 4 2 4" xfId="875" xr:uid="{B8533346-D000-4C78-BD74-390E6D734DDA}"/>
    <cellStyle name="Normal 3 4 2 4 2" xfId="1615" xr:uid="{99A27C1A-6061-4A4C-8062-63CED6CEDF4E}"/>
    <cellStyle name="Normal 3 4 2 4 2 2" xfId="3406" xr:uid="{BB7AA7C7-828F-4332-8EB8-A40A29A3B8E1}"/>
    <cellStyle name="Normal 3 4 2 4 3" xfId="2772" xr:uid="{44761728-CF18-4E31-B24A-952A09E949BC}"/>
    <cellStyle name="Normal 3 4 2 5" xfId="1171" xr:uid="{39C65EB0-567F-454C-B8CB-98B638498CFF}"/>
    <cellStyle name="Normal 3 4 2 5 2" xfId="2986" xr:uid="{A02A0312-E2E0-4F79-9767-A6D10671F200}"/>
    <cellStyle name="Normal 3 4 2 6" xfId="2346" xr:uid="{04E4ACFD-822D-4CC5-88BD-DFD54A3778D8}"/>
    <cellStyle name="Normal 3 4 3" xfId="423" xr:uid="{24194C44-CD85-4A75-B84F-234BA6020E5F}"/>
    <cellStyle name="Normal 3 4 3 2" xfId="424" xr:uid="{F512D0CB-4283-405B-B81F-FC85E32DF5EB}"/>
    <cellStyle name="Normal 3 4 3 2 2" xfId="880" xr:uid="{FE269A0C-9D5B-43BB-98BB-1CD89373AF5B}"/>
    <cellStyle name="Normal 3 4 3 2 2 2" xfId="1951" xr:uid="{27D3DA39-0891-4DFA-B710-789035907411}"/>
    <cellStyle name="Normal 3 4 3 2 2 2 2" xfId="3742" xr:uid="{AFD3A8E6-311F-4DEE-AA70-9BBE719A92E3}"/>
    <cellStyle name="Normal 3 4 3 2 2 3" xfId="2777" xr:uid="{F0F1BCA7-55FB-49D7-83B7-FE157C0CD24F}"/>
    <cellStyle name="Normal 3 4 3 2 3" xfId="1518" xr:uid="{ED6D860F-AEFD-49F4-9FCB-18897547954B}"/>
    <cellStyle name="Normal 3 4 3 2 3 2" xfId="3312" xr:uid="{73FF0D19-6C51-4C00-9CBE-55652D8902FD}"/>
    <cellStyle name="Normal 3 4 3 2 4" xfId="2351" xr:uid="{3C4C84CB-8FE0-4960-9430-70B335B28CB4}"/>
    <cellStyle name="Normal 3 4 3 3" xfId="879" xr:uid="{903E14F2-9D60-4059-A9B0-CB73DC0AA89B}"/>
    <cellStyle name="Normal 3 4 3 3 2" xfId="1720" xr:uid="{FF2F149D-0E77-4205-AA68-32BCAE724EBB}"/>
    <cellStyle name="Normal 3 4 3 3 2 2" xfId="3511" xr:uid="{ECADF01D-0099-453E-99B3-3E226FB8F864}"/>
    <cellStyle name="Normal 3 4 3 3 3" xfId="2776" xr:uid="{2B6B16B2-356B-4008-B8D4-515D77DE1F8A}"/>
    <cellStyle name="Normal 3 4 3 4" xfId="1276" xr:uid="{A280CA46-E8D3-4229-996C-130933A8BEC5}"/>
    <cellStyle name="Normal 3 4 3 4 2" xfId="3091" xr:uid="{F4C20D95-CD9F-4A70-BD46-FA060AD98337}"/>
    <cellStyle name="Normal 3 4 3 5" xfId="2350" xr:uid="{3314AB84-A28E-4C16-B058-F2046552D601}"/>
    <cellStyle name="Normal 3 4 4" xfId="425" xr:uid="{7F7316F0-163C-439D-8D17-0C5916D4A3EF}"/>
    <cellStyle name="Normal 3 4 4 2" xfId="426" xr:uid="{B1C39C1A-FE0F-47D6-8E79-A860DBAAC8A3}"/>
    <cellStyle name="Normal 3 4 4 2 2" xfId="882" xr:uid="{38B7AD28-BFEA-4952-85DD-1D2B7162B561}"/>
    <cellStyle name="Normal 3 4 4 2 2 2" xfId="1881" xr:uid="{BE2C4456-6A5F-4463-B0A2-7044B974F37A}"/>
    <cellStyle name="Normal 3 4 4 2 2 2 2" xfId="3672" xr:uid="{6CA993C7-7F08-403D-A2AD-62D2DD2A03D1}"/>
    <cellStyle name="Normal 3 4 4 2 2 3" xfId="2779" xr:uid="{5C79D5B0-0E1E-435F-BA36-9EF3B63FE499}"/>
    <cellStyle name="Normal 3 4 4 2 3" xfId="1448" xr:uid="{17C7EF61-487B-452B-A5EA-C7729ECF0EDD}"/>
    <cellStyle name="Normal 3 4 4 2 3 2" xfId="3242" xr:uid="{430092E5-CDDF-4CF0-B504-B68208BB4487}"/>
    <cellStyle name="Normal 3 4 4 2 4" xfId="2353" xr:uid="{CC0AD984-5F23-45E2-ABCE-B2DAA6801546}"/>
    <cellStyle name="Normal 3 4 4 3" xfId="881" xr:uid="{77CF100B-BA3A-436F-9CBC-01F33A99AB90}"/>
    <cellStyle name="Normal 3 4 4 3 2" xfId="1650" xr:uid="{64763139-B452-464A-A9B1-03BECF904A2E}"/>
    <cellStyle name="Normal 3 4 4 3 2 2" xfId="3441" xr:uid="{A9692146-D086-45DB-BB95-B32C717AF0F8}"/>
    <cellStyle name="Normal 3 4 4 3 3" xfId="2778" xr:uid="{98667776-ACFE-4640-A790-6E9272796E0C}"/>
    <cellStyle name="Normal 3 4 4 4" xfId="1206" xr:uid="{9F0A9076-C1BF-4ABB-BE52-57A23D58DBAA}"/>
    <cellStyle name="Normal 3 4 4 4 2" xfId="3021" xr:uid="{0D26923F-A552-4B08-A01F-2E0C30386047}"/>
    <cellStyle name="Normal 3 4 4 5" xfId="2352" xr:uid="{A623FC03-0115-46AD-86C4-7A0EBF75F06E}"/>
    <cellStyle name="Normal 3 4 5" xfId="427" xr:uid="{B2170F43-3B46-49F7-8DC4-27D17008C0E5}"/>
    <cellStyle name="Normal 3 4 5 2" xfId="428" xr:uid="{39BB677D-4515-4564-A888-42B2BB93FFC6}"/>
    <cellStyle name="Normal 3 4 5 2 2" xfId="884" xr:uid="{E803337A-A58D-44E0-863D-3462AA9C2F3B}"/>
    <cellStyle name="Normal 3 4 5 2 2 2" xfId="1811" xr:uid="{2018DA02-816C-4A69-923E-386F2B7425A1}"/>
    <cellStyle name="Normal 3 4 5 2 2 2 2" xfId="3602" xr:uid="{A6A4E367-3892-458C-8EA1-ECCF8CF23F80}"/>
    <cellStyle name="Normal 3 4 5 2 2 3" xfId="2781" xr:uid="{3142E11E-771A-4046-B860-A6CA14630AC8}"/>
    <cellStyle name="Normal 3 4 5 2 3" xfId="1379" xr:uid="{42395E12-DEA7-42EA-AF98-FB180D3D033A}"/>
    <cellStyle name="Normal 3 4 5 2 3 2" xfId="3173" xr:uid="{DCD26468-8776-46BB-BF24-4D69C8154E70}"/>
    <cellStyle name="Normal 3 4 5 2 4" xfId="2355" xr:uid="{74A39EE7-5673-40D7-A9CC-460579296B49}"/>
    <cellStyle name="Normal 3 4 5 3" xfId="883" xr:uid="{C2705B7E-5DAE-42BA-8FB8-76C6D2D82259}"/>
    <cellStyle name="Normal 3 4 5 3 2" xfId="1580" xr:uid="{D88D22C0-B763-4B9E-89C6-07B6D8290B65}"/>
    <cellStyle name="Normal 3 4 5 3 2 2" xfId="3371" xr:uid="{D2CF513D-557D-4EC6-9FF8-97D8446C8F80}"/>
    <cellStyle name="Normal 3 4 5 3 3" xfId="2780" xr:uid="{D4213A1C-CDE9-4A75-824E-E1170012C293}"/>
    <cellStyle name="Normal 3 4 5 4" xfId="1151" xr:uid="{A0EB9528-D74A-4D3A-AACD-1E7CD84501EF}"/>
    <cellStyle name="Normal 3 4 5 4 2" xfId="2968" xr:uid="{7DD1FAF1-9B45-4AC2-907A-68EB07E81FCF}"/>
    <cellStyle name="Normal 3 4 5 5" xfId="2354" xr:uid="{2C935B1C-C764-4D4F-ABEB-ED258871A40D}"/>
    <cellStyle name="Normal 3 5" xfId="429" xr:uid="{A292EFF7-A0D8-4504-8011-3E0C2A0BAD39}"/>
    <cellStyle name="Normal 3 5 2" xfId="430" xr:uid="{AF55326B-A80A-43CB-AA58-A1403A29DF85}"/>
    <cellStyle name="Normal 3 5 2 2" xfId="431" xr:uid="{C6D2E900-4FAB-4A8E-B6C0-43A4F66577C2}"/>
    <cellStyle name="Normal 3 5 2 2 2" xfId="887" xr:uid="{53F6E94F-EAF4-4B73-995D-41577EACBA94}"/>
    <cellStyle name="Normal 3 5 2 2 2 2" xfId="1915" xr:uid="{5A307BD7-8893-4636-803B-8DBCECBA6880}"/>
    <cellStyle name="Normal 3 5 2 2 2 2 2" xfId="3706" xr:uid="{F89A1011-D6B4-4A18-A457-3DB58E23B5D2}"/>
    <cellStyle name="Normal 3 5 2 2 2 3" xfId="2784" xr:uid="{6CEE6304-A551-4CCA-8516-1971D4D103E3}"/>
    <cellStyle name="Normal 3 5 2 2 3" xfId="1482" xr:uid="{CF48120A-B42E-4C08-B24D-68F16F50886A}"/>
    <cellStyle name="Normal 3 5 2 2 3 2" xfId="3276" xr:uid="{22E044DF-935A-446D-93D9-592A200D7E8F}"/>
    <cellStyle name="Normal 3 5 2 2 4" xfId="2358" xr:uid="{C82261BF-F92D-49FC-8810-8A6D5FE2D2D3}"/>
    <cellStyle name="Normal 3 5 2 3" xfId="886" xr:uid="{1A0AED30-A328-410E-A8CC-195C9FCF855F}"/>
    <cellStyle name="Normal 3 5 2 3 2" xfId="1684" xr:uid="{365E87EF-AB2E-4577-A97B-7420DCCCA833}"/>
    <cellStyle name="Normal 3 5 2 3 2 2" xfId="3475" xr:uid="{F1FC6D41-9B95-4119-B708-BE876ED9065C}"/>
    <cellStyle name="Normal 3 5 2 3 3" xfId="2783" xr:uid="{26573E9A-EBCC-4B8A-844A-92E9C4B85EDC}"/>
    <cellStyle name="Normal 3 5 2 4" xfId="1240" xr:uid="{0C675205-55E2-4000-B6CF-9ADD27ABDAC2}"/>
    <cellStyle name="Normal 3 5 2 4 2" xfId="3055" xr:uid="{9AA83C07-6AA6-420C-8F90-75C0CDE85C81}"/>
    <cellStyle name="Normal 3 5 2 5" xfId="2357" xr:uid="{2CEB2898-1408-466A-BC7F-3A0580D32186}"/>
    <cellStyle name="Normal 3 5 3" xfId="432" xr:uid="{5C43DB73-33C7-405F-8847-E4BDBAC2E34F}"/>
    <cellStyle name="Normal 3 5 3 2" xfId="888" xr:uid="{0F091CC1-E1F4-4137-B8F5-8AA8A1F0A7FB}"/>
    <cellStyle name="Normal 3 5 3 2 2" xfId="1845" xr:uid="{02C0A6DD-5C78-43AD-8A6A-25A6B1FCC898}"/>
    <cellStyle name="Normal 3 5 3 2 2 2" xfId="3636" xr:uid="{E605DFD1-699F-4B8A-A18F-1032CDF55B6B}"/>
    <cellStyle name="Normal 3 5 3 2 3" xfId="2785" xr:uid="{5511CA0C-17A7-439B-8FB4-A6C9A3F9EF5E}"/>
    <cellStyle name="Normal 3 5 3 3" xfId="1412" xr:uid="{E86EF172-04E6-4937-AA51-BB91F1F990A7}"/>
    <cellStyle name="Normal 3 5 3 3 2" xfId="3206" xr:uid="{A77A91E5-749C-4B56-B8C1-0945363C91A1}"/>
    <cellStyle name="Normal 3 5 3 4" xfId="2359" xr:uid="{65C5C53F-1A4E-4860-985D-464F462BF707}"/>
    <cellStyle name="Normal 3 5 4" xfId="885" xr:uid="{F88FF06D-F5EE-457A-9033-38556AA0328F}"/>
    <cellStyle name="Normal 3 5 4 2" xfId="1614" xr:uid="{2FB154BB-7D24-4AFA-A5D6-8D40A00509EC}"/>
    <cellStyle name="Normal 3 5 4 2 2" xfId="3405" xr:uid="{15C8CDDF-EE04-4E69-B532-686D2B543B4F}"/>
    <cellStyle name="Normal 3 5 4 3" xfId="2782" xr:uid="{4BC9EA15-C45A-40C4-AAB2-16C551F57795}"/>
    <cellStyle name="Normal 3 5 5" xfId="1170" xr:uid="{9C4D907B-C380-469E-A191-ED61579A18AE}"/>
    <cellStyle name="Normal 3 5 5 2" xfId="2985" xr:uid="{6D582099-E157-48AD-B092-3BDE3C5F37ED}"/>
    <cellStyle name="Normal 3 5 6" xfId="2356" xr:uid="{40DE645F-5010-446C-BF34-99F09B935CC9}"/>
    <cellStyle name="Normal 3 6" xfId="433" xr:uid="{0040F14B-A3C8-4FFB-87D5-DB400FAA5646}"/>
    <cellStyle name="Normal 3 6 2" xfId="434" xr:uid="{C9F397C6-75EA-47F0-AE02-77E3A9D380FD}"/>
    <cellStyle name="Normal 3 6 2 2" xfId="890" xr:uid="{800A233C-C1AD-461C-9BB0-1BBDFD716B0E}"/>
    <cellStyle name="Normal 3 6 2 2 2" xfId="1950" xr:uid="{BBD393E1-492C-4921-872F-DDA3DFB1DF1D}"/>
    <cellStyle name="Normal 3 6 2 2 2 2" xfId="3741" xr:uid="{87F69ECF-9F19-4A40-BE39-4388D93A8745}"/>
    <cellStyle name="Normal 3 6 2 2 3" xfId="2787" xr:uid="{89E758A2-AAB3-4DBF-92F1-93630DC8A4A6}"/>
    <cellStyle name="Normal 3 6 2 3" xfId="1517" xr:uid="{CAA7AB57-97F1-44E4-911E-C5375796E963}"/>
    <cellStyle name="Normal 3 6 2 3 2" xfId="3311" xr:uid="{75B45103-497F-4B08-AD70-FB090F624CE1}"/>
    <cellStyle name="Normal 3 6 2 4" xfId="2361" xr:uid="{AF9B145B-EBB8-4937-8E8C-7F5FC5F584E1}"/>
    <cellStyle name="Normal 3 6 3" xfId="889" xr:uid="{6BF7908D-13D7-4A43-B123-FBF8DA6398AF}"/>
    <cellStyle name="Normal 3 6 3 2" xfId="1719" xr:uid="{3511A644-5932-4ED1-B7D2-A54FA30DDC3F}"/>
    <cellStyle name="Normal 3 6 3 2 2" xfId="3510" xr:uid="{49689B27-E9C4-494B-ADB5-1B316B54019C}"/>
    <cellStyle name="Normal 3 6 3 3" xfId="2786" xr:uid="{FE779898-E38A-4326-A15E-174341B66F56}"/>
    <cellStyle name="Normal 3 6 4" xfId="1275" xr:uid="{080DD8FF-2FBC-43A3-9101-691DCB805248}"/>
    <cellStyle name="Normal 3 6 4 2" xfId="3090" xr:uid="{15DC5481-8C48-45E6-810D-70F0E553D885}"/>
    <cellStyle name="Normal 3 6 5" xfId="2360" xr:uid="{63E7EE5A-8B9E-48D4-91A1-0E9553665FA6}"/>
    <cellStyle name="Normal 3 7" xfId="435" xr:uid="{6E54BDD2-C4DB-43F3-83C3-EAA270FAAD63}"/>
    <cellStyle name="Normal 3 8" xfId="436" xr:uid="{4097AEBB-0807-4BCD-9266-EC85F1E1E15A}"/>
    <cellStyle name="Normal 3 8 2" xfId="437" xr:uid="{97006425-3D92-44E7-9582-F635809D1FE2}"/>
    <cellStyle name="Normal 3 8 2 2" xfId="892" xr:uid="{B5D5E669-2B6D-4429-9C37-8BB7BBEB592A}"/>
    <cellStyle name="Normal 3 8 2 2 2" xfId="1880" xr:uid="{FEF4B7E2-037E-4DD8-8EAA-B1F0E54E7611}"/>
    <cellStyle name="Normal 3 8 2 2 2 2" xfId="3671" xr:uid="{1883794B-E757-435A-9B3E-2D7D010FCC0C}"/>
    <cellStyle name="Normal 3 8 2 2 3" xfId="2789" xr:uid="{D449B7F4-55B8-4472-A21A-3767988292F3}"/>
    <cellStyle name="Normal 3 8 2 3" xfId="1447" xr:uid="{5099F9F7-451F-431F-B1F5-D7494CBE0559}"/>
    <cellStyle name="Normal 3 8 2 3 2" xfId="3241" xr:uid="{CE8FAB6A-D994-4787-889B-8E0A7F97DBFE}"/>
    <cellStyle name="Normal 3 8 2 4" xfId="2363" xr:uid="{3C2C8128-CBFE-47DE-95DB-D9AE23EC52BC}"/>
    <cellStyle name="Normal 3 8 3" xfId="891" xr:uid="{154F1909-B4AD-4A03-867D-EAE86662BD60}"/>
    <cellStyle name="Normal 3 8 3 2" xfId="1649" xr:uid="{BAD3077D-A872-4D97-8D85-BDD8C92DC51D}"/>
    <cellStyle name="Normal 3 8 3 2 2" xfId="3440" xr:uid="{FE69AF46-6074-4BE0-BC73-0B4A715355E0}"/>
    <cellStyle name="Normal 3 8 3 3" xfId="2788" xr:uid="{D83DC017-BFB0-43BF-A4DE-3CC971B4174D}"/>
    <cellStyle name="Normal 3 8 4" xfId="1205" xr:uid="{ECEED389-BF48-4F30-AA09-DDFABBEED70A}"/>
    <cellStyle name="Normal 3 8 4 2" xfId="3020" xr:uid="{40873854-D87D-4538-B069-7E2707600B0D}"/>
    <cellStyle name="Normal 3 8 5" xfId="2362" xr:uid="{35ACFDF4-AE91-4755-9339-71DF53CE18E4}"/>
    <cellStyle name="Normal 3 9" xfId="438" xr:uid="{AEC25240-B66F-4D2F-84D2-423F3A2CBB8A}"/>
    <cellStyle name="Normal 3 9 2" xfId="439" xr:uid="{0A5C675E-7A6D-4A87-A9EE-2EA2115CC61C}"/>
    <cellStyle name="Normal 3 9 2 2" xfId="894" xr:uid="{2DC01510-E1A3-419D-85B7-390CDB823B5D}"/>
    <cellStyle name="Normal 3 9 2 2 2" xfId="1810" xr:uid="{C5A9B937-C650-4912-B2C9-3A9E27959A3C}"/>
    <cellStyle name="Normal 3 9 2 2 2 2" xfId="3601" xr:uid="{67472126-5D88-4D5D-8389-52A40915C028}"/>
    <cellStyle name="Normal 3 9 2 2 3" xfId="2791" xr:uid="{BBC4C341-3680-4062-8A68-7953798620D7}"/>
    <cellStyle name="Normal 3 9 2 3" xfId="1378" xr:uid="{D97031EA-EED2-4708-9B64-0068437ED5B9}"/>
    <cellStyle name="Normal 3 9 2 3 2" xfId="3172" xr:uid="{B71E6444-6EFB-477D-9C35-F3DFC6DE9865}"/>
    <cellStyle name="Normal 3 9 2 4" xfId="2365" xr:uid="{28590F1E-45EB-4087-9303-6AF3E4673C4A}"/>
    <cellStyle name="Normal 3 9 3" xfId="893" xr:uid="{71637F54-7B17-4A27-AF88-98DB5D4523BF}"/>
    <cellStyle name="Normal 3 9 3 2" xfId="1579" xr:uid="{7C6A91D5-07D3-416C-B880-16036C0262B6}"/>
    <cellStyle name="Normal 3 9 3 2 2" xfId="3370" xr:uid="{E75B8EBC-00F6-49C0-9EC7-BCC69A7B3AD9}"/>
    <cellStyle name="Normal 3 9 3 3" xfId="2790" xr:uid="{AC535A2A-5982-45AC-AED0-73E636E429E2}"/>
    <cellStyle name="Normal 3 9 4" xfId="1150" xr:uid="{FB313C00-351C-4FCD-876F-08D66D23F47C}"/>
    <cellStyle name="Normal 3 9 4 2" xfId="2967" xr:uid="{491DAF7F-6564-47AD-A12C-CF2726D82938}"/>
    <cellStyle name="Normal 3 9 5" xfId="2364" xr:uid="{54207060-868B-4CD6-A140-03F33B409AD2}"/>
    <cellStyle name="Normal 30" xfId="1010" xr:uid="{232C5AF7-C9B9-4BDF-B1E5-4B3A7BB9E5A3}"/>
    <cellStyle name="Normal 30 2" xfId="2894" xr:uid="{ECC1D5B8-DA9C-4BFA-870E-219F28EC7450}"/>
    <cellStyle name="Normal 31" xfId="1011" xr:uid="{8005F868-CFD5-44D1-9CAD-4C9BDEF4B495}"/>
    <cellStyle name="Normal 31 2" xfId="2895" xr:uid="{FE44086E-86F5-40D2-8CAE-8EC746BBBDEB}"/>
    <cellStyle name="Normal 32" xfId="1012" xr:uid="{E6696424-F2B8-4525-ADF6-3877A263002B}"/>
    <cellStyle name="Normal 32 2" xfId="2896" xr:uid="{4BCA8F98-02D0-4D36-B3BF-200680FED7EC}"/>
    <cellStyle name="Normal 33" xfId="1013" xr:uid="{1799FC4B-FE7D-4AB0-AE14-E15C8D31004B}"/>
    <cellStyle name="Normal 33 2" xfId="2897" xr:uid="{250551AA-E459-4201-B1B1-D4774F36B191}"/>
    <cellStyle name="Normal 34" xfId="1014" xr:uid="{19C895DA-6A09-4C58-8D24-32A55E9194D7}"/>
    <cellStyle name="Normal 34 2" xfId="2898" xr:uid="{1BE5BEC9-D083-42BC-928D-81701E7122FC}"/>
    <cellStyle name="Normal 35" xfId="1015" xr:uid="{E9FEAC72-DB1F-403D-A4BD-625AA11B8CF4}"/>
    <cellStyle name="Normal 35 2" xfId="2899" xr:uid="{F22F2AD8-28D7-42AC-9326-9CCA28150F27}"/>
    <cellStyle name="Normal 36" xfId="1016" xr:uid="{97B219A0-73C9-4A7E-9D25-BF63F28F834E}"/>
    <cellStyle name="Normal 36 2" xfId="2900" xr:uid="{B0EE051D-6404-4873-A77E-BBB58B0A5FE7}"/>
    <cellStyle name="Normal 37" xfId="1017" xr:uid="{352C0F32-4168-4386-AAB6-4EBAC28C9D9F}"/>
    <cellStyle name="Normal 37 2" xfId="2901" xr:uid="{29CD69ED-4C8C-48DF-97A6-DDD06A535382}"/>
    <cellStyle name="Normal 38" xfId="1018" xr:uid="{2956B9B4-381B-4D39-A500-C3F6E2731598}"/>
    <cellStyle name="Normal 38 2" xfId="2902" xr:uid="{2DB392A1-03EC-435B-AEB7-36E79C06FC58}"/>
    <cellStyle name="Normal 39" xfId="1019" xr:uid="{9765A524-6F90-45DC-8C9B-E716573BE9BA}"/>
    <cellStyle name="Normal 39 2" xfId="2903" xr:uid="{B2E73DF0-0A5B-4A82-B4C9-B33605D8B42A}"/>
    <cellStyle name="Normal 4" xfId="10" xr:uid="{EA8D2F51-4432-46F2-9F12-2BAADEE40E44}"/>
    <cellStyle name="Normal 4 2" xfId="441" xr:uid="{C1E233D6-7A0D-46EB-811B-0AD9D1ED517B}"/>
    <cellStyle name="Normal 4 2 2" xfId="442" xr:uid="{C12F47EA-B3BC-4936-9734-B68672F08227}"/>
    <cellStyle name="Normal 4 2 2 2" xfId="896" xr:uid="{FC56F4D7-D1CF-423C-A130-82D0BE5C44E0}"/>
    <cellStyle name="Normal 4 2 2 2 2" xfId="1770" xr:uid="{C47C2EE4-BBF6-40B2-8D66-5CD36A94FC5E}"/>
    <cellStyle name="Normal 4 2 2 2 2 2" xfId="3561" xr:uid="{97540D13-74CB-48C3-9494-A9C2A6D26D32}"/>
    <cellStyle name="Normal 4 2 2 2 3" xfId="2793" xr:uid="{2B2F2265-6013-4BF2-8275-1A44FD645EC2}"/>
    <cellStyle name="Normal 4 2 2 3" xfId="1143" xr:uid="{A6899ACE-7668-43B6-A7EA-6F2D7105CDFC}"/>
    <cellStyle name="Normal 4 2 2 3 2" xfId="2964" xr:uid="{13744266-AC2F-41A2-904C-B038F086AB10}"/>
    <cellStyle name="Normal 4 2 2 4" xfId="2367" xr:uid="{48DCD3F0-89EA-4A50-BCA8-5E32F82D0609}"/>
    <cellStyle name="Normal 4 2 3" xfId="443" xr:uid="{1F09C32C-33A3-4130-B397-262A37939338}"/>
    <cellStyle name="Normal 4 2 3 2" xfId="897" xr:uid="{016BB8B8-4953-46CD-B61B-5F07B93B7E22}"/>
    <cellStyle name="Normal 4 2 3 2 2" xfId="1807" xr:uid="{D4B628B4-9792-4E96-B727-4203EAE392E8}"/>
    <cellStyle name="Normal 4 2 3 2 2 2" xfId="3598" xr:uid="{F94C02A3-9802-4E93-A03D-298D6E1B880C}"/>
    <cellStyle name="Normal 4 2 3 2 3" xfId="2794" xr:uid="{E722662B-AF86-4E07-A604-641D30547BFE}"/>
    <cellStyle name="Normal 4 2 3 3" xfId="1375" xr:uid="{AB715CC6-6B91-4176-8B22-ECF1F07130DD}"/>
    <cellStyle name="Normal 4 2 3 3 2" xfId="3169" xr:uid="{A80E7402-D5F8-41A2-AE1F-A2FBA653839A}"/>
    <cellStyle name="Normal 4 2 3 4" xfId="2368" xr:uid="{C3A29D43-BCDD-4D19-A4B3-6DD7296177BE}"/>
    <cellStyle name="Normal 4 2 4" xfId="895" xr:uid="{C99A0CE6-1881-49FA-A0CE-0BE965D661E0}"/>
    <cellStyle name="Normal 4 2 4 2" xfId="1576" xr:uid="{A95F5FBB-993B-4CD4-A24D-2A1E5DF5EAD1}"/>
    <cellStyle name="Normal 4 2 4 2 2" xfId="3367" xr:uid="{84EB9ACB-86C7-4CA0-95B4-4CC744775C65}"/>
    <cellStyle name="Normal 4 2 4 3" xfId="2792" xr:uid="{2BFE4E11-00AD-4F15-A142-0C544ADDB416}"/>
    <cellStyle name="Normal 4 2 5" xfId="1054" xr:uid="{E223FE4C-E683-448E-BE38-1689C8BE4092}"/>
    <cellStyle name="Normal 4 2 6" xfId="2366" xr:uid="{CDDAC381-14CA-49F8-B39C-551D2B86ED11}"/>
    <cellStyle name="Normal 4 3" xfId="444" xr:uid="{FF5C69AC-9E84-4D0E-8967-CEFE6B2862FA}"/>
    <cellStyle name="Normal 4 3 2" xfId="445" xr:uid="{222A27C7-CA73-42B2-9040-6115E816B656}"/>
    <cellStyle name="Normal 4 3 2 2" xfId="446" xr:uid="{8B153F61-4334-4744-AA4E-E1B42B2D7612}"/>
    <cellStyle name="Normal 4 3 2 2 2" xfId="447" xr:uid="{9372004B-CCB1-4166-B0CF-119728310386}"/>
    <cellStyle name="Normal 4 3 2 2 3" xfId="1993" xr:uid="{AF03B025-2B17-447E-998B-38CC910C9DEB}"/>
    <cellStyle name="Normal 4 3 2 2 3 2" xfId="2003" xr:uid="{2CC1CF50-C9ED-45A3-A7B2-AA53E4355BD7}"/>
    <cellStyle name="Normal 4 3 3" xfId="1111" xr:uid="{DABD61B4-EABA-4A9E-A406-2B6D83581B24}"/>
    <cellStyle name="Normal 4 4" xfId="448" xr:uid="{9E2AD7C0-7BD5-498C-8ECF-77B612AACF83}"/>
    <cellStyle name="Normal 4 4 2" xfId="449" xr:uid="{C5556FC9-D20D-4380-92D9-7F2A2EF711CC}"/>
    <cellStyle name="Normal 4 4 2 2" xfId="450" xr:uid="{2B63227A-B1B7-46F7-955C-086D90575F16}"/>
    <cellStyle name="Normal 4 4 2 3" xfId="1987" xr:uid="{925FDDB1-1906-4A87-B5EC-CECF5DF143DC}"/>
    <cellStyle name="Normal 4 4 2 3 2" xfId="1997" xr:uid="{1B9291E5-B447-4243-BC9D-5CF745F43D50}"/>
    <cellStyle name="Normal 4 4 3" xfId="1319" xr:uid="{4EBC7DE3-3356-4516-A0DF-FF0A6E812317}"/>
    <cellStyle name="Normal 4 5" xfId="1020" xr:uid="{EF43F8E7-7999-4525-B813-B75BED941FBC}"/>
    <cellStyle name="Normal 4 5 2" xfId="2904" xr:uid="{8E8604FD-D3FB-4C59-9E74-BE89183FF865}"/>
    <cellStyle name="Normal 4 6" xfId="440" xr:uid="{1D45401E-30A6-49BA-8C33-936941EB6ADA}"/>
    <cellStyle name="Normal 40" xfId="1021" xr:uid="{E7788E9A-0331-43A5-8E0B-56699B70D220}"/>
    <cellStyle name="Normal 40 2" xfId="2905" xr:uid="{A0A1CEDE-44E0-47C7-977B-9AEF45E9BDD6}"/>
    <cellStyle name="Normal 41" xfId="1022" xr:uid="{523F3453-9701-4F5E-B56D-8C58A026E63D}"/>
    <cellStyle name="Normal 41 2" xfId="2906" xr:uid="{434AC7A9-AE04-4CBE-9213-A6B140C50AD0}"/>
    <cellStyle name="Normal 42" xfId="1023" xr:uid="{80D4C38D-2AB2-4AE5-8786-0CBB02F3D7E0}"/>
    <cellStyle name="Normal 42 2" xfId="2907" xr:uid="{6A9B9AF5-77AA-4E84-9AD7-80E1E75AB37F}"/>
    <cellStyle name="Normal 43" xfId="1024" xr:uid="{070354B9-DA08-4DD5-A3D5-1E49195EC5BA}"/>
    <cellStyle name="Normal 43 2" xfId="2908" xr:uid="{DBF0F93E-C997-4D11-AD82-D5D82C051E5B}"/>
    <cellStyle name="Normal 44" xfId="1025" xr:uid="{AB02E1D2-2B5A-4CC3-B52A-3E66A68F424A}"/>
    <cellStyle name="Normal 44 2" xfId="2909" xr:uid="{436E7F5C-A307-4FC4-9D8E-5341B5BDEE64}"/>
    <cellStyle name="Normal 45" xfId="1026" xr:uid="{4B10EAF1-CB18-4476-86C3-2FC0139B5A63}"/>
    <cellStyle name="Normal 45 2" xfId="2910" xr:uid="{7FE9DFB7-AAFB-4422-9193-721055E64163}"/>
    <cellStyle name="Normal 46" xfId="1027" xr:uid="{1EC9982F-CAC6-406B-AF95-F46612206EC2}"/>
    <cellStyle name="Normal 46 2" xfId="2911" xr:uid="{01774B0D-DFE3-4681-889B-CA6637239473}"/>
    <cellStyle name="Normal 47" xfId="1028" xr:uid="{F877D034-8AF9-46FB-9DFF-F890848BE65E}"/>
    <cellStyle name="Normal 47 2" xfId="2912" xr:uid="{A795B1C1-3ECB-44FD-A539-6BB8E5FE32F0}"/>
    <cellStyle name="Normal 48" xfId="1029" xr:uid="{6527E9BE-556E-4EE4-9B2C-FAC575DBA168}"/>
    <cellStyle name="Normal 48 2" xfId="2913" xr:uid="{03546407-085D-4E71-A621-30DFDA54B82B}"/>
    <cellStyle name="Normal 49" xfId="1030" xr:uid="{2940986C-95DC-4D1E-84E6-379E571C14A8}"/>
    <cellStyle name="Normal 49 2" xfId="2914" xr:uid="{B562337C-2758-4E33-B355-851C65E05661}"/>
    <cellStyle name="Normal 5" xfId="451" xr:uid="{4109D2DA-B8CA-4DB3-9B71-021ED95E09AC}"/>
    <cellStyle name="Normal 5 2" xfId="1063" xr:uid="{2294226F-965B-4D6C-BD1F-D4D8917BA9A9}"/>
    <cellStyle name="Normal 5 3" xfId="1031" xr:uid="{377D36D8-EE4F-492C-9DFF-12CC6B761340}"/>
    <cellStyle name="Normal 5 3 2" xfId="2915" xr:uid="{62B153C8-424F-435E-AA93-01CA042FBE96}"/>
    <cellStyle name="Normal 50" xfId="1032" xr:uid="{3D4F23C5-3A08-443C-A530-1A66A72ACF38}"/>
    <cellStyle name="Normal 50 2" xfId="2916" xr:uid="{6A09F3B4-27B3-485B-89A4-AB4BB329CCAD}"/>
    <cellStyle name="Normal 51" xfId="1033" xr:uid="{7016B3FB-2811-4F15-9862-27EACDCD6D16}"/>
    <cellStyle name="Normal 51 2" xfId="2917" xr:uid="{87089FA5-860F-4227-BD1C-F23ABEC3E4E4}"/>
    <cellStyle name="Normal 52" xfId="1034" xr:uid="{522F9791-4836-4CB0-AA0C-DE10258B3D8F}"/>
    <cellStyle name="Normal 52 2" xfId="2918" xr:uid="{A6913111-3458-4A1B-8157-5A614B32CFD4}"/>
    <cellStyle name="Normal 53" xfId="1035" xr:uid="{7579BACF-35EB-415C-B387-BF44643334BC}"/>
    <cellStyle name="Normal 53 2" xfId="2919" xr:uid="{B9D4A1F0-E07B-4A22-8BA6-9A0BF85974AA}"/>
    <cellStyle name="Normal 54" xfId="1036" xr:uid="{DD90E70E-831B-4173-B6FA-9C161D890CB4}"/>
    <cellStyle name="Normal 54 2" xfId="2920" xr:uid="{265895DF-F9D1-4305-B5F0-DCA440554898}"/>
    <cellStyle name="Normal 55" xfId="1037" xr:uid="{FC2265E6-66F9-45DE-8849-CA2ECD1AAA6C}"/>
    <cellStyle name="Normal 55 2" xfId="2921" xr:uid="{06CD8776-C65E-42AF-8893-EE5BD6EDB302}"/>
    <cellStyle name="Normal 56" xfId="1038" xr:uid="{D30ADDE3-501D-4DEC-B292-0E69B524DD00}"/>
    <cellStyle name="Normal 56 2" xfId="2922" xr:uid="{5E96EF20-586A-42B7-86E8-0CA9FAC5EEF4}"/>
    <cellStyle name="Normal 57" xfId="1039" xr:uid="{AC3E6E4E-825E-458E-A111-0B934383D8F7}"/>
    <cellStyle name="Normal 57 2" xfId="2923" xr:uid="{2EFDD691-6CC3-46EF-AE96-2CF45BDBAA0D}"/>
    <cellStyle name="Normal 58" xfId="1040" xr:uid="{66F0D17D-A13F-424B-9A05-E8B4DA068824}"/>
    <cellStyle name="Normal 58 2" xfId="2924" xr:uid="{EA4490EA-694A-47E9-8E83-5B161D4E5546}"/>
    <cellStyle name="Normal 59" xfId="1041" xr:uid="{9DF91EBD-483D-46E3-ABD3-2CE6CA9474CF}"/>
    <cellStyle name="Normal 59 2" xfId="2925" xr:uid="{FBF7A1D5-E3DF-48BB-A5BF-12586F3C027C}"/>
    <cellStyle name="Normal 6" xfId="452" xr:uid="{21AE3659-9787-42B1-8784-D9393CD69DB7}"/>
    <cellStyle name="Normal 6 2" xfId="453" xr:uid="{C3666395-AA0E-41FF-AA24-F2153FAA108A}"/>
    <cellStyle name="Normal 6 2 2" xfId="454" xr:uid="{25BBE388-85CF-40FE-ACC0-99E0F050320F}"/>
    <cellStyle name="Normal 6 2 3" xfId="898" xr:uid="{9580D1EB-0F3D-4AE8-9423-A7BE8CCAF3EB}"/>
    <cellStyle name="Normal 6 2 3 2" xfId="1325" xr:uid="{FC73BEE2-C387-4890-BEEA-8023FE96AEE4}"/>
    <cellStyle name="Normal 6 2 3 2 2" xfId="3124" xr:uid="{0F1B596E-62E8-451A-8F0A-0B75A88E67DD}"/>
    <cellStyle name="Normal 6 2 3 3" xfId="2795" xr:uid="{B94B8332-90A9-49BC-9906-914460E801B5}"/>
    <cellStyle name="Normal 6 2 4" xfId="2369" xr:uid="{F8CE4C10-6660-4C21-B48F-C4D0BAF284E0}"/>
    <cellStyle name="Normal 6 3" xfId="1042" xr:uid="{AE2AEFA4-FA5D-4E3A-9383-060703C8FC41}"/>
    <cellStyle name="Normal 6 3 2" xfId="2926" xr:uid="{118673CF-1D5F-48DE-87D4-33FB5406D8BA}"/>
    <cellStyle name="Normal 60" xfId="1043" xr:uid="{8150B654-527D-4081-BC3F-60816E62A63F}"/>
    <cellStyle name="Normal 60 2" xfId="2927" xr:uid="{3E091216-EC12-4176-A08E-97D04057BED9}"/>
    <cellStyle name="Normal 61" xfId="977" xr:uid="{7B043774-8F31-4E1C-BE6B-F291A244A8B3}"/>
    <cellStyle name="Normal 61 2" xfId="2865" xr:uid="{9AB866C1-9CDA-4D51-BD02-BEEE52E6E815}"/>
    <cellStyle name="Normal 62" xfId="1049" xr:uid="{95FF030D-E417-485A-89D7-B96D80F8AF69}"/>
    <cellStyle name="Normal 62 2" xfId="2932" xr:uid="{487AF104-297C-450D-A3CF-D99E129DCCDF}"/>
    <cellStyle name="Normal 63" xfId="967" xr:uid="{47DA79CD-62A1-47E3-9E2E-49D33EC3933C}"/>
    <cellStyle name="Normal 63 2" xfId="2863" xr:uid="{FF00CF3E-FDC4-4072-A99A-D1E8469FB7EA}"/>
    <cellStyle name="Normal 64" xfId="5" xr:uid="{2AF1F25E-3D7C-49BF-8CCA-E2FD24206782}"/>
    <cellStyle name="Normal 65" xfId="2010" xr:uid="{ABC7B667-FFDC-4409-A583-B93E23D885B9}"/>
    <cellStyle name="Normal 7" xfId="455" xr:uid="{61E4D42C-887A-4F23-B619-3C45E9DB9964}"/>
    <cellStyle name="Normal 7 2" xfId="456" xr:uid="{9700EE8B-65D6-4E68-8F6B-913EC0C5953D}"/>
    <cellStyle name="Normal 7 3" xfId="457" xr:uid="{1F0610BB-E251-40EB-81DD-09C13CAB06AA}"/>
    <cellStyle name="Normal 7 3 2" xfId="899" xr:uid="{26626986-90F0-4A39-AB16-D00B88B8EDC3}"/>
    <cellStyle name="Normal 7 3 2 2" xfId="1747" xr:uid="{BA59CEE7-DACB-4583-AA3B-F7143BF99A6F}"/>
    <cellStyle name="Normal 7 3 2 2 2" xfId="3538" xr:uid="{E30D3C33-8B9E-4637-B120-429D12D6789D}"/>
    <cellStyle name="Normal 7 3 2 3" xfId="2796" xr:uid="{79E01090-F0BA-4425-BC90-0EB4396FA7AF}"/>
    <cellStyle name="Normal 7 3 3" xfId="1331" xr:uid="{21BF3A80-0095-45D4-A87A-60E889CE16B4}"/>
    <cellStyle name="Normal 7 3 3 2" xfId="3126" xr:uid="{E02242F1-35BF-41CC-9BDB-A56D828B2634}"/>
    <cellStyle name="Normal 7 3 4" xfId="2370" xr:uid="{07F2BB93-FAA6-4D4F-9B49-E9E2A8F206B2}"/>
    <cellStyle name="Normal 7 4" xfId="1044" xr:uid="{3BA8216F-4849-4FAA-A70F-438A9697F4D7}"/>
    <cellStyle name="Normal 7 4 2" xfId="2928" xr:uid="{5F9A3075-229F-4BE3-BC60-B7688465ADC9}"/>
    <cellStyle name="Normal 8" xfId="458" xr:uid="{CC082C63-C414-4A14-AF13-9CBB9573BB80}"/>
    <cellStyle name="Normal 8 10" xfId="2371" xr:uid="{9A060B7A-56DA-48E0-90B8-8D5F76E81E23}"/>
    <cellStyle name="Normal 8 2" xfId="459" xr:uid="{AD015BE7-4519-408A-9D6B-BF402BB70D2A}"/>
    <cellStyle name="Normal 8 2 2" xfId="460" xr:uid="{33CD6171-838D-41AE-8B8A-4BC7F163F307}"/>
    <cellStyle name="Normal 8 2 2 2" xfId="461" xr:uid="{0FBC6E70-98F2-4100-B130-32211E2221F6}"/>
    <cellStyle name="Normal 8 2 2 2 2" xfId="462" xr:uid="{95C610D6-17DF-4097-AF8A-899C7D7955E0}"/>
    <cellStyle name="Normal 8 2 2 2 2 2" xfId="904" xr:uid="{AE7C2B0F-6DFF-49DF-8D8C-264798468690}"/>
    <cellStyle name="Normal 8 2 2 2 2 2 2" xfId="1936" xr:uid="{63CFCD1B-C8D6-4315-BF77-755C652B7EBE}"/>
    <cellStyle name="Normal 8 2 2 2 2 2 2 2" xfId="3727" xr:uid="{373DDC2B-E65F-42F7-8E22-3DA430095DAE}"/>
    <cellStyle name="Normal 8 2 2 2 2 2 3" xfId="2801" xr:uid="{B43EBF22-D6E5-4D6D-BBE9-F497490D0444}"/>
    <cellStyle name="Normal 8 2 2 2 2 3" xfId="1503" xr:uid="{3D590983-6A5E-4006-91A7-8344BAC97E3B}"/>
    <cellStyle name="Normal 8 2 2 2 2 3 2" xfId="3297" xr:uid="{4FD8B7D0-49AB-45C3-AF90-5989E8E6070D}"/>
    <cellStyle name="Normal 8 2 2 2 2 4" xfId="2375" xr:uid="{FDF5167F-A154-435F-95F6-0AEFFA286301}"/>
    <cellStyle name="Normal 8 2 2 2 3" xfId="903" xr:uid="{A491AA7F-9E3C-419E-BC4C-44A765A3BB03}"/>
    <cellStyle name="Normal 8 2 2 2 3 2" xfId="1705" xr:uid="{5F101752-6C47-4007-AA21-507409FDC489}"/>
    <cellStyle name="Normal 8 2 2 2 3 2 2" xfId="3496" xr:uid="{E1921EA2-9279-4364-B71A-672790D36E36}"/>
    <cellStyle name="Normal 8 2 2 2 3 3" xfId="2800" xr:uid="{AD7A767E-FA75-47DB-9C24-9C96D440EB56}"/>
    <cellStyle name="Normal 8 2 2 2 4" xfId="1261" xr:uid="{E3853EE5-27F6-4E58-8D19-4CB7A3306AB6}"/>
    <cellStyle name="Normal 8 2 2 2 4 2" xfId="3076" xr:uid="{5B092B8F-60B0-4B0C-837E-7B226C22FFCE}"/>
    <cellStyle name="Normal 8 2 2 2 5" xfId="2374" xr:uid="{9D92F970-D214-4A7F-834D-0F17859DF96F}"/>
    <cellStyle name="Normal 8 2 2 3" xfId="463" xr:uid="{DC30ADC0-D520-4FCA-96AF-DE06EAFC63B0}"/>
    <cellStyle name="Normal 8 2 2 3 2" xfId="905" xr:uid="{0982C46E-D6EB-470F-AEEF-CD068FA31CCB}"/>
    <cellStyle name="Normal 8 2 2 3 2 2" xfId="1866" xr:uid="{21449A70-2AB9-4294-B4D9-D368351D0C0E}"/>
    <cellStyle name="Normal 8 2 2 3 2 2 2" xfId="3657" xr:uid="{0E86C580-76BA-445D-9EA3-644C626C8AF4}"/>
    <cellStyle name="Normal 8 2 2 3 2 3" xfId="2802" xr:uid="{D655C9C5-5DBD-4BD8-AC47-BBF4EF2F49EC}"/>
    <cellStyle name="Normal 8 2 2 3 3" xfId="1433" xr:uid="{0D1CCAB7-BBE5-42E2-9D18-A49C0C67AFF8}"/>
    <cellStyle name="Normal 8 2 2 3 3 2" xfId="3227" xr:uid="{D399F259-1BF0-43AF-8AEF-445EF6720E77}"/>
    <cellStyle name="Normal 8 2 2 3 4" xfId="2376" xr:uid="{FF246833-553D-4B29-840C-CCEF7A754186}"/>
    <cellStyle name="Normal 8 2 2 4" xfId="902" xr:uid="{15154A56-8AEA-444E-9EFD-1603370BD9C4}"/>
    <cellStyle name="Normal 8 2 2 4 2" xfId="1635" xr:uid="{554622CE-55FB-4A3B-A69D-3F8A455FAFDF}"/>
    <cellStyle name="Normal 8 2 2 4 2 2" xfId="3426" xr:uid="{DC187A94-21ED-4962-8DC4-3A6316A64649}"/>
    <cellStyle name="Normal 8 2 2 4 3" xfId="2799" xr:uid="{A74FCEE7-1805-49AC-8735-4E6470019B0A}"/>
    <cellStyle name="Normal 8 2 2 5" xfId="1191" xr:uid="{0163FDAA-23C3-4DE1-9149-A97DD9128205}"/>
    <cellStyle name="Normal 8 2 2 5 2" xfId="3006" xr:uid="{0A436CA4-1AC1-49FB-AB71-80EB3D0EFC8F}"/>
    <cellStyle name="Normal 8 2 2 6" xfId="2373" xr:uid="{FAC278CA-9AF9-4F67-893E-57E9B3712AA9}"/>
    <cellStyle name="Normal 8 2 3" xfId="464" xr:uid="{147A34C8-D3B6-4A22-9046-B168A032F92C}"/>
    <cellStyle name="Normal 8 2 3 2" xfId="465" xr:uid="{CEAC7E12-6D02-4208-ADD7-6C12282DBB15}"/>
    <cellStyle name="Normal 8 2 3 2 2" xfId="907" xr:uid="{6B4A5473-86CF-4B56-8540-257234675431}"/>
    <cellStyle name="Normal 8 2 3 2 2 2" xfId="1971" xr:uid="{DEB45144-3A69-48AB-80B7-60996BBFA3DC}"/>
    <cellStyle name="Normal 8 2 3 2 2 2 2" xfId="3762" xr:uid="{0CEC35D7-31D0-4523-90C0-E32D91AEBE67}"/>
    <cellStyle name="Normal 8 2 3 2 2 3" xfId="2804" xr:uid="{9FB10449-9F91-4AC6-9593-F9076B663802}"/>
    <cellStyle name="Normal 8 2 3 2 3" xfId="1537" xr:uid="{E906A457-1364-4B4F-AA0D-56DCA21179B0}"/>
    <cellStyle name="Normal 8 2 3 2 3 2" xfId="3331" xr:uid="{E6F4A77A-2358-4BD3-A464-6B9222C65CFE}"/>
    <cellStyle name="Normal 8 2 3 2 4" xfId="2378" xr:uid="{E62BC1C0-19C3-4CBB-832A-C4330E8B8509}"/>
    <cellStyle name="Normal 8 2 3 3" xfId="906" xr:uid="{D3BD87E9-8BAF-419C-8DBE-6B46F3E118C3}"/>
    <cellStyle name="Normal 8 2 3 3 2" xfId="1740" xr:uid="{EA546623-981F-42C5-808E-A4A05E2ACFE4}"/>
    <cellStyle name="Normal 8 2 3 3 2 2" xfId="3531" xr:uid="{2F987020-F436-4249-8304-BB1BF710173D}"/>
    <cellStyle name="Normal 8 2 3 3 3" xfId="2803" xr:uid="{5113BB77-90B0-44EC-BA37-8AC014FA0D0A}"/>
    <cellStyle name="Normal 8 2 3 4" xfId="1296" xr:uid="{90B76862-A52B-4C9B-BF35-5F13B0CA5CA2}"/>
    <cellStyle name="Normal 8 2 3 4 2" xfId="3111" xr:uid="{B1007693-9408-4964-9646-5DFCE8DA3B25}"/>
    <cellStyle name="Normal 8 2 3 5" xfId="2377" xr:uid="{BFD2FFB7-D5DE-4821-A866-98FADE861672}"/>
    <cellStyle name="Normal 8 2 4" xfId="466" xr:uid="{5E438C3F-D57D-4889-8C13-B0077C04F108}"/>
    <cellStyle name="Normal 8 2 4 2" xfId="467" xr:uid="{9CB2B7C1-7A23-4F51-9865-8CE1D46ED068}"/>
    <cellStyle name="Normal 8 2 4 2 2" xfId="909" xr:uid="{A51689EC-EB14-4A9C-8F53-132C812DD5E7}"/>
    <cellStyle name="Normal 8 2 4 2 2 2" xfId="1901" xr:uid="{2B157465-CF73-4AE0-832B-38CA11ECD48F}"/>
    <cellStyle name="Normal 8 2 4 2 2 2 2" xfId="3692" xr:uid="{BE3B97F3-D687-40F5-94A4-CD651FE88012}"/>
    <cellStyle name="Normal 8 2 4 2 2 3" xfId="2806" xr:uid="{F2B6462E-64E1-4FF6-B0B2-F008E363DD1C}"/>
    <cellStyle name="Normal 8 2 4 2 3" xfId="1468" xr:uid="{39BAD09A-8A79-41C0-8D5A-C966CA09334A}"/>
    <cellStyle name="Normal 8 2 4 2 3 2" xfId="3262" xr:uid="{ABC1A75B-DA65-44AA-9B91-52818218DB94}"/>
    <cellStyle name="Normal 8 2 4 2 4" xfId="2380" xr:uid="{5BA2A011-34DE-4710-8881-AE803BC37440}"/>
    <cellStyle name="Normal 8 2 4 3" xfId="908" xr:uid="{4F1413E3-565C-4B13-A66D-171EB8F374E3}"/>
    <cellStyle name="Normal 8 2 4 3 2" xfId="1670" xr:uid="{3480874F-F59C-4E79-8CD0-16A5A0CEBB35}"/>
    <cellStyle name="Normal 8 2 4 3 2 2" xfId="3461" xr:uid="{3D6CA4AE-B7E9-485C-BFDA-B33999B2AFBC}"/>
    <cellStyle name="Normal 8 2 4 3 3" xfId="2805" xr:uid="{D5AC4E32-F4CD-435E-9ED0-99513C8440E8}"/>
    <cellStyle name="Normal 8 2 4 4" xfId="1226" xr:uid="{8A318B2A-04E0-4808-B8DA-900A352BB807}"/>
    <cellStyle name="Normal 8 2 4 4 2" xfId="3041" xr:uid="{AA68D9CF-B038-43B9-B2A1-91A0258A2D99}"/>
    <cellStyle name="Normal 8 2 4 5" xfId="2379" xr:uid="{BBC1CD26-B532-4D2F-8812-FAB2B8DE8EC7}"/>
    <cellStyle name="Normal 8 2 5" xfId="468" xr:uid="{FA7C102C-CFB5-4A80-9683-8A35B9554409}"/>
    <cellStyle name="Normal 8 2 5 2" xfId="910" xr:uid="{7422A9AA-24E8-4D1A-BE79-35B677058C64}"/>
    <cellStyle name="Normal 8 2 5 2 2" xfId="1831" xr:uid="{F403446B-63CA-4DEC-AFD4-EE0DACE8B511}"/>
    <cellStyle name="Normal 8 2 5 2 2 2" xfId="3622" xr:uid="{8A0A6D03-23D6-41E6-B92B-80C1A50B037D}"/>
    <cellStyle name="Normal 8 2 5 2 3" xfId="2807" xr:uid="{40C0A20D-0589-451E-A16B-7AA95C145A4E}"/>
    <cellStyle name="Normal 8 2 5 3" xfId="1398" xr:uid="{9545349A-9225-4AC2-B715-1519A3F20AC2}"/>
    <cellStyle name="Normal 8 2 5 3 2" xfId="3192" xr:uid="{B873153B-F80C-4D26-8C74-FBFE8E864DD2}"/>
    <cellStyle name="Normal 8 2 5 4" xfId="2381" xr:uid="{E9C9961F-9475-4AB1-B37A-34D01E07AFE7}"/>
    <cellStyle name="Normal 8 2 6" xfId="901" xr:uid="{51D95247-7996-4C83-B4C7-8FF2704F8738}"/>
    <cellStyle name="Normal 8 2 6 2" xfId="1600" xr:uid="{77EF7509-6FCA-43B8-AD92-846C5505C10A}"/>
    <cellStyle name="Normal 8 2 6 2 2" xfId="3391" xr:uid="{346ABFC0-4AD8-492F-ADF4-F1DFC6212ADF}"/>
    <cellStyle name="Normal 8 2 6 3" xfId="2798" xr:uid="{63FF9C9A-74D5-474C-93F1-493B195BCD7D}"/>
    <cellStyle name="Normal 8 2 7" xfId="1168" xr:uid="{52101030-2148-46C9-9D3E-70EF505C0F66}"/>
    <cellStyle name="Normal 8 2 7 2" xfId="2983" xr:uid="{F18FA466-A52C-4A0F-B41C-F89F8EDFD047}"/>
    <cellStyle name="Normal 8 2 8" xfId="2372" xr:uid="{FFE7CFFD-DDF4-4E72-81B8-CE020528EC5B}"/>
    <cellStyle name="Normal 8 3" xfId="469" xr:uid="{9E621B67-35ED-4B1E-ABEF-17E1045B86BD}"/>
    <cellStyle name="Normal 8 3 2" xfId="470" xr:uid="{B3F1E5C2-1C52-477F-9813-9C69D615046F}"/>
    <cellStyle name="Normal 8 3 2 2" xfId="471" xr:uid="{13F0E055-212B-4529-AFC5-99831544464A}"/>
    <cellStyle name="Normal 8 3 2 2 2" xfId="913" xr:uid="{58F7B5CE-37E6-49FB-8C6E-27A9008E6187}"/>
    <cellStyle name="Normal 8 3 2 2 2 2" xfId="1918" xr:uid="{2D9798A5-5500-4BCC-9C20-70F8E6468BE4}"/>
    <cellStyle name="Normal 8 3 2 2 2 2 2" xfId="3709" xr:uid="{36A3C549-32EA-4FDA-8F1D-476B0B8153BA}"/>
    <cellStyle name="Normal 8 3 2 2 2 3" xfId="2810" xr:uid="{D32559A2-C772-4FD8-8429-27828E01127E}"/>
    <cellStyle name="Normal 8 3 2 2 3" xfId="1485" xr:uid="{209640B7-3351-409E-A460-9F306B216799}"/>
    <cellStyle name="Normal 8 3 2 2 3 2" xfId="3279" xr:uid="{32FD8EA6-52FB-42F7-9702-86D419163DAC}"/>
    <cellStyle name="Normal 8 3 2 2 4" xfId="2384" xr:uid="{0975092B-D78F-41AD-AB1D-80569F9C5F9F}"/>
    <cellStyle name="Normal 8 3 2 3" xfId="912" xr:uid="{66DC7ABD-9036-4549-A130-967188F81C15}"/>
    <cellStyle name="Normal 8 3 2 3 2" xfId="1687" xr:uid="{29BB70EF-D2FE-4C61-A133-4AB3D92F49ED}"/>
    <cellStyle name="Normal 8 3 2 3 2 2" xfId="3478" xr:uid="{06D65085-7F59-46A7-A5F5-570C2AD33FB4}"/>
    <cellStyle name="Normal 8 3 2 3 3" xfId="2809" xr:uid="{7FD7B273-B6F1-4B55-9E3F-947DDF53938E}"/>
    <cellStyle name="Normal 8 3 2 4" xfId="1243" xr:uid="{A26F6A65-9C80-4C43-BB3D-3CC51BD5CAC6}"/>
    <cellStyle name="Normal 8 3 2 4 2" xfId="3058" xr:uid="{D8C81439-49AC-49D3-B59E-3437A4E4430A}"/>
    <cellStyle name="Normal 8 3 2 5" xfId="2383" xr:uid="{92DEB584-4FC4-44AB-984C-4106D710933D}"/>
    <cellStyle name="Normal 8 3 3" xfId="472" xr:uid="{D388DC1E-CE34-45F4-A0EF-DBB1877EB11F}"/>
    <cellStyle name="Normal 8 3 3 2" xfId="914" xr:uid="{7A4BBC1A-0EEE-4DE5-A074-A6616044526B}"/>
    <cellStyle name="Normal 8 3 3 2 2" xfId="1848" xr:uid="{36ABDA19-F797-40AC-A703-9BC3EC05450D}"/>
    <cellStyle name="Normal 8 3 3 2 2 2" xfId="3639" xr:uid="{841BACB1-CE55-4ED6-99D9-B765B939DE03}"/>
    <cellStyle name="Normal 8 3 3 2 3" xfId="2811" xr:uid="{1B1A906C-21FE-4329-A152-546F1986D078}"/>
    <cellStyle name="Normal 8 3 3 3" xfId="1415" xr:uid="{74E886E4-724F-42D2-92A3-15E7E927CD87}"/>
    <cellStyle name="Normal 8 3 3 3 2" xfId="3209" xr:uid="{1A600F83-3AA1-4B7A-A720-1296B33FC191}"/>
    <cellStyle name="Normal 8 3 3 4" xfId="2385" xr:uid="{792CC712-1688-47B1-90B9-A388D432888D}"/>
    <cellStyle name="Normal 8 3 4" xfId="911" xr:uid="{B58646D1-10FB-4213-BF49-9DE99057ED69}"/>
    <cellStyle name="Normal 8 3 4 2" xfId="1617" xr:uid="{705155DA-FEA6-4BC3-98BE-386DEE692A9B}"/>
    <cellStyle name="Normal 8 3 4 2 2" xfId="3408" xr:uid="{0EA3C819-3E0A-4BD2-B5DE-39F12C14B2CF}"/>
    <cellStyle name="Normal 8 3 4 3" xfId="2808" xr:uid="{C5D343D3-D2E2-4019-A9CA-B27743D5C7CA}"/>
    <cellStyle name="Normal 8 3 5" xfId="1173" xr:uid="{A88673EF-200E-491D-A333-65F4861FAC26}"/>
    <cellStyle name="Normal 8 3 5 2" xfId="2988" xr:uid="{25172E1E-0594-4864-85E3-2D536B70C128}"/>
    <cellStyle name="Normal 8 3 6" xfId="2382" xr:uid="{5DB7B1FE-CCD2-4AB8-991C-E0EF70890341}"/>
    <cellStyle name="Normal 8 4" xfId="473" xr:uid="{91B35225-7F2A-4C15-96A6-8E12179430F1}"/>
    <cellStyle name="Normal 8 4 2" xfId="474" xr:uid="{435AFE4F-C415-477D-91A3-E5536C96724B}"/>
    <cellStyle name="Normal 8 4 2 2" xfId="916" xr:uid="{4A5F1A41-D951-4B97-9D2C-1F2D0D6F90D9}"/>
    <cellStyle name="Normal 8 4 2 2 2" xfId="1953" xr:uid="{929F10B5-C6FD-4D32-8563-0CB4348928A6}"/>
    <cellStyle name="Normal 8 4 2 2 2 2" xfId="3744" xr:uid="{8C308166-AA2A-4176-93DC-341C02C21A7B}"/>
    <cellStyle name="Normal 8 4 2 2 3" xfId="2813" xr:uid="{E20F824B-8795-4DDD-B5E4-6DE202D0AE3F}"/>
    <cellStyle name="Normal 8 4 2 3" xfId="1520" xr:uid="{47002044-95F3-4E9E-B092-34B4F04F706D}"/>
    <cellStyle name="Normal 8 4 2 3 2" xfId="3314" xr:uid="{F8640B5D-156C-4BCE-80C7-8F2194BCC182}"/>
    <cellStyle name="Normal 8 4 2 4" xfId="2387" xr:uid="{630D2073-2D5E-4B0A-AA29-DCB61F8D7E56}"/>
    <cellStyle name="Normal 8 4 3" xfId="915" xr:uid="{A3A83F48-5D12-4F2E-B353-E09EA31AB38B}"/>
    <cellStyle name="Normal 8 4 3 2" xfId="1722" xr:uid="{2B56362B-8E26-423D-9812-470B2621917C}"/>
    <cellStyle name="Normal 8 4 3 2 2" xfId="3513" xr:uid="{986CB1F5-1A59-42C2-B90A-5CCF1D5EEC7C}"/>
    <cellStyle name="Normal 8 4 3 3" xfId="2812" xr:uid="{584F04AA-A6AB-4A29-BBB3-39DA5D7A4FF8}"/>
    <cellStyle name="Normal 8 4 4" xfId="1278" xr:uid="{99FF6714-393A-40B2-8C5E-DDFCBF2E0A58}"/>
    <cellStyle name="Normal 8 4 4 2" xfId="3093" xr:uid="{657B1939-16E1-4A64-8B3D-D56D901B6BC2}"/>
    <cellStyle name="Normal 8 4 5" xfId="2386" xr:uid="{1A549B6C-5BCE-4601-AF75-F3249E00230A}"/>
    <cellStyle name="Normal 8 5" xfId="475" xr:uid="{F0F81B41-7321-4BEA-B4F3-44CD38EDE9F6}"/>
    <cellStyle name="Normal 8 5 2" xfId="476" xr:uid="{7851DF1D-7353-4B28-84AA-7E132B68325C}"/>
    <cellStyle name="Normal 8 5 2 2" xfId="918" xr:uid="{691E7753-9622-44BD-A6D7-05F647CE8D36}"/>
    <cellStyle name="Normal 8 5 2 2 2" xfId="1883" xr:uid="{7D1C5734-3BC6-430C-AD59-4F0F2503F570}"/>
    <cellStyle name="Normal 8 5 2 2 2 2" xfId="3674" xr:uid="{94C21BE4-6063-426C-883A-30CB7B19AE02}"/>
    <cellStyle name="Normal 8 5 2 2 3" xfId="2815" xr:uid="{C3446D9F-0229-4A1F-839F-3E7FA48F73BE}"/>
    <cellStyle name="Normal 8 5 2 3" xfId="1450" xr:uid="{1553CDE4-621A-42F2-A007-ABD4D832EBE9}"/>
    <cellStyle name="Normal 8 5 2 3 2" xfId="3244" xr:uid="{5558E6CD-4083-4E0D-8C43-7E133E2E8AB2}"/>
    <cellStyle name="Normal 8 5 2 4" xfId="2389" xr:uid="{1EE76FF0-3F62-442C-88A7-9C7EBE449ECB}"/>
    <cellStyle name="Normal 8 5 3" xfId="917" xr:uid="{BC5CD9B5-AA48-40B0-921A-920AED25FD42}"/>
    <cellStyle name="Normal 8 5 3 2" xfId="1652" xr:uid="{5BA35F19-3577-4B38-9AF0-0EB9820C3427}"/>
    <cellStyle name="Normal 8 5 3 2 2" xfId="3443" xr:uid="{3A5D77DC-285C-4C24-990E-561872191949}"/>
    <cellStyle name="Normal 8 5 3 3" xfId="2814" xr:uid="{E6574343-45CD-4ACD-A982-3B187D4F6FA8}"/>
    <cellStyle name="Normal 8 5 4" xfId="1208" xr:uid="{6C6074DF-3060-4F85-9107-453710933E76}"/>
    <cellStyle name="Normal 8 5 4 2" xfId="3023" xr:uid="{F469422D-B6E2-49A4-8ADE-7CA29665CEF9}"/>
    <cellStyle name="Normal 8 5 5" xfId="2388" xr:uid="{35FF244F-F1D4-436D-B156-3F11ECFC6731}"/>
    <cellStyle name="Normal 8 6" xfId="477" xr:uid="{BECA9DD8-85E6-4C6B-9487-7DDBC20528F7}"/>
    <cellStyle name="Normal 8 6 2" xfId="919" xr:uid="{51D3886B-A188-400C-8355-3DA25F485723}"/>
    <cellStyle name="Normal 8 6 2 2" xfId="1773" xr:uid="{018A985A-421C-4314-B4F3-2E2CBAD18FAE}"/>
    <cellStyle name="Normal 8 6 2 2 2" xfId="3564" xr:uid="{C68894DB-6E31-43A7-A7D6-BB5C17A55D17}"/>
    <cellStyle name="Normal 8 6 2 3" xfId="2816" xr:uid="{3A53BAC8-7B8A-472C-9B04-E50B674EC122}"/>
    <cellStyle name="Normal 8 6 3" xfId="1354" xr:uid="{98191A09-83EF-4CBD-ABA3-FF812C9F7D29}"/>
    <cellStyle name="Normal 8 6 3 2" xfId="3148" xr:uid="{793B5354-D860-498C-A76F-CE5F5930E50F}"/>
    <cellStyle name="Normal 8 6 4" xfId="2390" xr:uid="{BF80D555-2DAA-48AF-9DA0-D4FDBAC7D0F9}"/>
    <cellStyle name="Normal 8 7" xfId="478" xr:uid="{B597B1B6-B98A-4401-9EC0-F8471A940FFD}"/>
    <cellStyle name="Normal 8 7 2" xfId="920" xr:uid="{9BECE808-3653-4A2F-A227-9F8BC2E963E6}"/>
    <cellStyle name="Normal 8 7 2 2" xfId="1813" xr:uid="{5D840D61-6ACF-4979-BAAD-F8758DAC5637}"/>
    <cellStyle name="Normal 8 7 2 2 2" xfId="3604" xr:uid="{D1557C13-A085-498B-BC82-04B56F962E39}"/>
    <cellStyle name="Normal 8 7 2 3" xfId="2817" xr:uid="{D6BA6853-BBF1-4CD0-BCC3-FACF5239F055}"/>
    <cellStyle name="Normal 8 7 3" xfId="1381" xr:uid="{237517EF-9417-4C62-BBC9-AF73F9D89A0A}"/>
    <cellStyle name="Normal 8 7 3 2" xfId="3175" xr:uid="{C89463D4-A198-454C-865F-FF2E51DE2DE7}"/>
    <cellStyle name="Normal 8 7 4" xfId="2391" xr:uid="{0DC1DF89-F865-471A-B3B5-7DDF0567EDB5}"/>
    <cellStyle name="Normal 8 8" xfId="900" xr:uid="{31C4BB86-8B2E-40E6-A5E8-15D965B4B955}"/>
    <cellStyle name="Normal 8 8 2" xfId="1582" xr:uid="{C2DFAFC8-A65F-465F-A3FD-D793378275E7}"/>
    <cellStyle name="Normal 8 8 2 2" xfId="3373" xr:uid="{1DD1A7C7-3016-4459-9261-12D6983DD3E1}"/>
    <cellStyle name="Normal 8 8 3" xfId="2797" xr:uid="{6EC50BA9-3CA1-4DB7-83DB-537AA669C64A}"/>
    <cellStyle name="Normal 8 9" xfId="1045" xr:uid="{77ED83AA-5F47-4AD6-968E-E6C558972C05}"/>
    <cellStyle name="Normal 8 9 2" xfId="2929" xr:uid="{8C905B52-0C3D-4B2D-A4ED-D5AFD6DBD6D1}"/>
    <cellStyle name="Normal 9" xfId="479" xr:uid="{812877B6-B1B8-42C4-94FF-04FE8E06C649}"/>
    <cellStyle name="Normal 9 2" xfId="480" xr:uid="{4C09BD08-9272-4239-80F7-5270BF3A84D0}"/>
    <cellStyle name="Normal 9 3" xfId="1165" xr:uid="{54FAE1C0-8F5A-4681-AF12-CBCCFB68CA43}"/>
    <cellStyle name="Normal 9 4" xfId="1046" xr:uid="{FB62578B-7B9C-4E05-9662-48AF85F69670}"/>
    <cellStyle name="Normal 9 4 2" xfId="2930" xr:uid="{2FAF19D0-9410-4699-8CEE-3ACD98A702FF}"/>
    <cellStyle name="Note 2" xfId="481" xr:uid="{D89B5149-C9F2-4294-9C88-1C7D742380EC}"/>
    <cellStyle name="Note 2 10" xfId="2392" xr:uid="{5393C198-69A4-4512-9FA5-B856E8C28A39}"/>
    <cellStyle name="Note 2 2" xfId="482" xr:uid="{78DB7A7C-2C92-4832-AF87-BE993E91FB6D}"/>
    <cellStyle name="Note 2 2 2" xfId="483" xr:uid="{D8382C80-283F-46FA-88D8-38EB967B3814}"/>
    <cellStyle name="Note 2 2 2 2" xfId="484" xr:uid="{BEC4BBA5-3506-49DD-B82B-1C06467A1BEA}"/>
    <cellStyle name="Note 2 2 2 2 2" xfId="485" xr:uid="{EC885692-C6E3-455F-BE4D-748FD0376E31}"/>
    <cellStyle name="Note 2 2 2 2 2 2" xfId="925" xr:uid="{B4986C78-BD4B-435C-91F3-316B5F3C1C67}"/>
    <cellStyle name="Note 2 2 2 2 2 2 2" xfId="1937" xr:uid="{AF5FF672-CFDA-44A8-9DCF-36ABCCD6A5A3}"/>
    <cellStyle name="Note 2 2 2 2 2 2 2 2" xfId="3728" xr:uid="{A342F4C7-2513-4767-9711-9C302AEF6F17}"/>
    <cellStyle name="Note 2 2 2 2 2 2 3" xfId="2822" xr:uid="{712B4E14-8AA3-41D6-A17D-EDDDBE8AA67E}"/>
    <cellStyle name="Note 2 2 2 2 2 3" xfId="1504" xr:uid="{56A0C2CB-6B58-4076-92B0-8912ED126AEE}"/>
    <cellStyle name="Note 2 2 2 2 2 3 2" xfId="3298" xr:uid="{CB14B2C3-F4AE-4857-8B02-724ED025BA1D}"/>
    <cellStyle name="Note 2 2 2 2 2 4" xfId="2396" xr:uid="{C9355DF8-EF22-4EAC-88AC-2ACCE49EAF02}"/>
    <cellStyle name="Note 2 2 2 2 3" xfId="924" xr:uid="{5F1F18A5-2A72-4B2B-8C22-7ACD82FF1266}"/>
    <cellStyle name="Note 2 2 2 2 3 2" xfId="1706" xr:uid="{5DC23CA7-1A2E-4CE8-9F4B-AD80DDF4DDB4}"/>
    <cellStyle name="Note 2 2 2 2 3 2 2" xfId="3497" xr:uid="{7846949D-CFF5-48BF-882D-31C911546880}"/>
    <cellStyle name="Note 2 2 2 2 3 3" xfId="2821" xr:uid="{90D53778-5419-4884-96C0-90F78099AC6F}"/>
    <cellStyle name="Note 2 2 2 2 4" xfId="1262" xr:uid="{A8A53D46-6DE5-40F8-BDD7-9B9EDB0158AD}"/>
    <cellStyle name="Note 2 2 2 2 4 2" xfId="3077" xr:uid="{B3895A96-3FDD-4FC1-89F8-1FA65BB71445}"/>
    <cellStyle name="Note 2 2 2 2 5" xfId="2395" xr:uid="{A80D48E6-5D41-4B19-B14F-B69CCDFBE8B8}"/>
    <cellStyle name="Note 2 2 2 3" xfId="486" xr:uid="{18BD80C5-434B-473B-85CB-C140760A5F1F}"/>
    <cellStyle name="Note 2 2 2 3 2" xfId="926" xr:uid="{2C0264A1-E957-4CA9-83AD-23465265D522}"/>
    <cellStyle name="Note 2 2 2 3 2 2" xfId="1867" xr:uid="{B278D231-6196-4E2A-A624-DA0641AD66E3}"/>
    <cellStyle name="Note 2 2 2 3 2 2 2" xfId="3658" xr:uid="{CF2E6814-A5C1-489E-AEE3-9E52BFE290B0}"/>
    <cellStyle name="Note 2 2 2 3 2 3" xfId="2823" xr:uid="{543046C1-13A7-4656-A352-337923EC6547}"/>
    <cellStyle name="Note 2 2 2 3 3" xfId="1434" xr:uid="{AA3D52AA-39FD-47EA-9ECD-A1597C2F7C9B}"/>
    <cellStyle name="Note 2 2 2 3 3 2" xfId="3228" xr:uid="{2D8B2EC3-3A23-472B-A326-663DF1518765}"/>
    <cellStyle name="Note 2 2 2 3 4" xfId="2397" xr:uid="{95B3E9B4-AF01-435A-8E41-22613BEF19C0}"/>
    <cellStyle name="Note 2 2 2 4" xfId="923" xr:uid="{D3789C8D-C606-4F7A-8BF6-8DF2B78A5965}"/>
    <cellStyle name="Note 2 2 2 4 2" xfId="1636" xr:uid="{D2A01D7F-16EA-4016-855D-96FA9E3703EE}"/>
    <cellStyle name="Note 2 2 2 4 2 2" xfId="3427" xr:uid="{7950327D-E785-46E6-A66D-39647486FEC1}"/>
    <cellStyle name="Note 2 2 2 4 3" xfId="2820" xr:uid="{296C1A85-AC83-4612-92A9-C7BCBEC4044E}"/>
    <cellStyle name="Note 2 2 2 5" xfId="1192" xr:uid="{3C7C83A4-8B52-4ADF-962E-6071BFC27309}"/>
    <cellStyle name="Note 2 2 2 5 2" xfId="3007" xr:uid="{D6EE46BD-955D-4F1E-808F-C57D1A72AFF2}"/>
    <cellStyle name="Note 2 2 2 6" xfId="2394" xr:uid="{86167420-2783-413B-A3CC-FA84FB98470E}"/>
    <cellStyle name="Note 2 2 3" xfId="487" xr:uid="{66835B3B-A5E6-42FE-A344-DF457BD1C3C0}"/>
    <cellStyle name="Note 2 2 3 2" xfId="488" xr:uid="{E7E1456B-B227-496C-923F-CFBEE7CE3E1C}"/>
    <cellStyle name="Note 2 2 3 2 2" xfId="928" xr:uid="{57EB29FB-274F-4A3C-AB8F-856B3549FEC0}"/>
    <cellStyle name="Note 2 2 3 2 2 2" xfId="1972" xr:uid="{F519E6E0-B5C5-41E6-97E8-E37411B671C7}"/>
    <cellStyle name="Note 2 2 3 2 2 2 2" xfId="3763" xr:uid="{C1CF3BDA-57CD-4D6B-A7DE-A879E1B83D19}"/>
    <cellStyle name="Note 2 2 3 2 2 3" xfId="2825" xr:uid="{9B001074-0855-40DE-A6EB-5BF49BE73331}"/>
    <cellStyle name="Note 2 2 3 2 3" xfId="1538" xr:uid="{C0C0D2F1-5121-45FD-9329-71C9BB758398}"/>
    <cellStyle name="Note 2 2 3 2 3 2" xfId="3332" xr:uid="{1DFC444D-9AEA-481E-AFBE-2CC56F72DDAB}"/>
    <cellStyle name="Note 2 2 3 2 4" xfId="2399" xr:uid="{BEABDE9D-79E7-4FB6-9AFF-8B139097C41E}"/>
    <cellStyle name="Note 2 2 3 3" xfId="927" xr:uid="{99A7EA6C-5D82-47CC-8D38-EC8CF1D2A071}"/>
    <cellStyle name="Note 2 2 3 3 2" xfId="1741" xr:uid="{365A9B3F-BB98-4137-90F3-50E0020E930A}"/>
    <cellStyle name="Note 2 2 3 3 2 2" xfId="3532" xr:uid="{E6555EF6-5C56-4A3C-8C31-FA14C77FD984}"/>
    <cellStyle name="Note 2 2 3 3 3" xfId="2824" xr:uid="{34C01B8C-744F-45A0-BC5C-AFEEF458D419}"/>
    <cellStyle name="Note 2 2 3 4" xfId="1297" xr:uid="{7C132208-48AC-45AB-8247-59D1DF3713C1}"/>
    <cellStyle name="Note 2 2 3 4 2" xfId="3112" xr:uid="{C68088DB-4442-4B38-8284-C63E317C5A77}"/>
    <cellStyle name="Note 2 2 3 5" xfId="2398" xr:uid="{326D8B6E-9153-46A4-9521-546943BBF8DC}"/>
    <cellStyle name="Note 2 2 4" xfId="489" xr:uid="{6028272B-3C37-439A-8A6D-E59241E0E5BB}"/>
    <cellStyle name="Note 2 2 4 2" xfId="490" xr:uid="{DA43644F-9E6D-467F-B976-FCBA70600AB1}"/>
    <cellStyle name="Note 2 2 4 2 2" xfId="930" xr:uid="{223684D0-B496-4DCB-B176-A2FAA5D81B08}"/>
    <cellStyle name="Note 2 2 4 2 2 2" xfId="1902" xr:uid="{FA53421B-F6A9-45C2-A59F-6B46AE09E06D}"/>
    <cellStyle name="Note 2 2 4 2 2 2 2" xfId="3693" xr:uid="{1F69B20E-053C-4392-A310-77841738F915}"/>
    <cellStyle name="Note 2 2 4 2 2 3" xfId="2827" xr:uid="{F8CCDF4C-FD12-4AD9-9696-21394FDA10F3}"/>
    <cellStyle name="Note 2 2 4 2 3" xfId="1469" xr:uid="{F6E073DA-B219-47AD-9D52-967A4EA15828}"/>
    <cellStyle name="Note 2 2 4 2 3 2" xfId="3263" xr:uid="{DD64B8B4-2261-4DBC-8355-BFAA194690DF}"/>
    <cellStyle name="Note 2 2 4 2 4" xfId="2401" xr:uid="{C363CFBC-1282-4863-9B9F-643BF1477949}"/>
    <cellStyle name="Note 2 2 4 3" xfId="929" xr:uid="{BE5E9401-7A19-4081-88E4-FF561A154686}"/>
    <cellStyle name="Note 2 2 4 3 2" xfId="1671" xr:uid="{56668957-A9C8-46CA-AFB8-1CBFFB43D2BB}"/>
    <cellStyle name="Note 2 2 4 3 2 2" xfId="3462" xr:uid="{06704674-EC49-442C-A277-8CF4A9312F79}"/>
    <cellStyle name="Note 2 2 4 3 3" xfId="2826" xr:uid="{DD1F3BE6-F8AD-44FB-83EC-F9D5B427E26E}"/>
    <cellStyle name="Note 2 2 4 4" xfId="1227" xr:uid="{ED3932B4-54C4-4BE6-AFA5-EBAAB6950FD1}"/>
    <cellStyle name="Note 2 2 4 4 2" xfId="3042" xr:uid="{EF1C42BB-AC38-45E9-A5D0-8B589556D7E3}"/>
    <cellStyle name="Note 2 2 4 5" xfId="2400" xr:uid="{E9C23881-1E9D-4000-AF1E-B86F16FCB252}"/>
    <cellStyle name="Note 2 2 5" xfId="491" xr:uid="{44F261A8-01D1-4267-98E5-61CD824508A5}"/>
    <cellStyle name="Note 2 2 5 2" xfId="931" xr:uid="{7157F24E-9557-4438-BCCA-A664E8A8BB43}"/>
    <cellStyle name="Note 2 2 5 2 2" xfId="1832" xr:uid="{FABDFE87-341F-439A-B557-D48B2F81DC67}"/>
    <cellStyle name="Note 2 2 5 2 2 2" xfId="3623" xr:uid="{08E388A7-DC66-408A-AEBE-209C31CCF7AC}"/>
    <cellStyle name="Note 2 2 5 2 3" xfId="2828" xr:uid="{2ADB1E1E-C4F3-4C9A-9462-3B6FC8B286A8}"/>
    <cellStyle name="Note 2 2 5 3" xfId="1399" xr:uid="{A328EAC1-CB86-4357-9156-C920839901C2}"/>
    <cellStyle name="Note 2 2 5 3 2" xfId="3193" xr:uid="{9C321D50-BD36-4EC4-83C8-9785E0428B80}"/>
    <cellStyle name="Note 2 2 5 4" xfId="2402" xr:uid="{AAA63AF8-A0A6-4666-B478-592E9D23CBA9}"/>
    <cellStyle name="Note 2 2 6" xfId="922" xr:uid="{0E750290-354A-47B5-98E4-86E0E8F6C9EA}"/>
    <cellStyle name="Note 2 2 6 2" xfId="1601" xr:uid="{FC159DE8-6E9C-4F1D-BFAA-1F4B47EEA64F}"/>
    <cellStyle name="Note 2 2 6 2 2" xfId="3392" xr:uid="{4155383B-6A5D-43A7-883D-D48640559A36}"/>
    <cellStyle name="Note 2 2 6 3" xfId="2819" xr:uid="{80D4D093-9C9C-4FBF-9C36-B4BF098A49EC}"/>
    <cellStyle name="Note 2 2 7" xfId="1169" xr:uid="{6AF94D9E-235E-4CA2-B798-C1E60D50A94E}"/>
    <cellStyle name="Note 2 2 7 2" xfId="2984" xr:uid="{3932A026-7CAA-4DD1-AA0E-09E8A488C886}"/>
    <cellStyle name="Note 2 2 8" xfId="2393" xr:uid="{9DB54BE5-BDB1-4784-B77F-9099CF2F0A7C}"/>
    <cellStyle name="Note 2 3" xfId="492" xr:uid="{BE23EB4A-C0C5-49BC-BE3C-09C059F34B5A}"/>
    <cellStyle name="Note 2 3 2" xfId="493" xr:uid="{72F2A094-FA74-4B89-B7AF-E35DFC66720E}"/>
    <cellStyle name="Note 2 3 2 2" xfId="494" xr:uid="{CF73EF97-E5FD-45FE-8621-7ECE4AAE41A1}"/>
    <cellStyle name="Note 2 3 2 2 2" xfId="934" xr:uid="{A78E7958-878D-4353-A26A-B2A44FF1F3F5}"/>
    <cellStyle name="Note 2 3 2 2 2 2" xfId="1919" xr:uid="{1C871B1F-C5BB-4027-821F-FC54C72FE7DA}"/>
    <cellStyle name="Note 2 3 2 2 2 2 2" xfId="3710" xr:uid="{435F3926-F6EA-47D1-B857-15FAFA68997F}"/>
    <cellStyle name="Note 2 3 2 2 2 3" xfId="2831" xr:uid="{DA150799-41D1-4A01-9C1A-AF9A8EAD8D1A}"/>
    <cellStyle name="Note 2 3 2 2 3" xfId="1486" xr:uid="{ECDA44CA-04C6-473E-91F8-C78A5DB311E0}"/>
    <cellStyle name="Note 2 3 2 2 3 2" xfId="3280" xr:uid="{47BE86AB-4F95-415D-A442-CC7B07691EAD}"/>
    <cellStyle name="Note 2 3 2 2 4" xfId="2405" xr:uid="{597D6FDE-9493-4831-AC27-57217FEBE7CE}"/>
    <cellStyle name="Note 2 3 2 3" xfId="933" xr:uid="{B8323900-B9A9-4CD0-BBB3-AB32D3BE1FCC}"/>
    <cellStyle name="Note 2 3 2 3 2" xfId="1688" xr:uid="{475870F0-1C2E-4173-9B02-98AD825C4CA0}"/>
    <cellStyle name="Note 2 3 2 3 2 2" xfId="3479" xr:uid="{CA9D6C46-765C-4B28-9889-6A674BC2826C}"/>
    <cellStyle name="Note 2 3 2 3 3" xfId="2830" xr:uid="{1A45064A-D5A8-4867-BCFB-CEB31519F658}"/>
    <cellStyle name="Note 2 3 2 4" xfId="1244" xr:uid="{B71107B4-CF0F-4C04-8D2D-0BC8F40DF432}"/>
    <cellStyle name="Note 2 3 2 4 2" xfId="3059" xr:uid="{3DD56387-9CDE-47CE-BB00-3097F9C4FA37}"/>
    <cellStyle name="Note 2 3 2 5" xfId="2404" xr:uid="{C2E15716-81CD-403D-B9D4-A616F936F020}"/>
    <cellStyle name="Note 2 3 3" xfId="495" xr:uid="{C7BA5263-131B-4E16-9728-296A55895356}"/>
    <cellStyle name="Note 2 3 3 2" xfId="935" xr:uid="{8D6DBC51-6B9E-41C3-8E22-015B8001370D}"/>
    <cellStyle name="Note 2 3 3 2 2" xfId="1849" xr:uid="{4425622F-91D2-4B64-95F9-6029113ADE95}"/>
    <cellStyle name="Note 2 3 3 2 2 2" xfId="3640" xr:uid="{DA0440FB-4D03-46C4-A468-7BE2EEC84B50}"/>
    <cellStyle name="Note 2 3 3 2 3" xfId="2832" xr:uid="{B0E6D1AB-BFA5-4B1F-B579-45B301447203}"/>
    <cellStyle name="Note 2 3 3 3" xfId="1416" xr:uid="{96609CF3-6BD4-4995-A810-6187C3DF1205}"/>
    <cellStyle name="Note 2 3 3 3 2" xfId="3210" xr:uid="{9629776E-85DC-4E17-9246-03F2E67B76FA}"/>
    <cellStyle name="Note 2 3 3 4" xfId="2406" xr:uid="{FA10F05E-E035-4BF6-9E00-20C4C095128A}"/>
    <cellStyle name="Note 2 3 4" xfId="932" xr:uid="{7FB621CC-199A-4D7D-9653-FE39D38DB92F}"/>
    <cellStyle name="Note 2 3 4 2" xfId="1618" xr:uid="{2C18D3D0-2FF4-470B-B9D3-BC6C019D9EC3}"/>
    <cellStyle name="Note 2 3 4 2 2" xfId="3409" xr:uid="{008418A2-6B8F-4BB2-8FD4-9434A59998B3}"/>
    <cellStyle name="Note 2 3 4 3" xfId="2829" xr:uid="{C7DC2931-6397-4B04-95B1-395BA73AD645}"/>
    <cellStyle name="Note 2 3 5" xfId="1174" xr:uid="{FF51EC89-8478-4995-8682-05C40D29D1C5}"/>
    <cellStyle name="Note 2 3 5 2" xfId="2989" xr:uid="{7B01BFC1-601B-45D9-86C6-6E8D70DDB85B}"/>
    <cellStyle name="Note 2 3 6" xfId="2403" xr:uid="{E7C3ED60-AAE7-4B47-A759-1F06F5D81F5F}"/>
    <cellStyle name="Note 2 4" xfId="496" xr:uid="{0D086D09-DE6A-4982-A256-55E2B84138E2}"/>
    <cellStyle name="Note 2 4 2" xfId="497" xr:uid="{FE57001D-AB79-4EA7-9200-4993A705F183}"/>
    <cellStyle name="Note 2 4 2 2" xfId="937" xr:uid="{EA8B1A44-FE63-48D0-BFFA-668AC1B0C4ED}"/>
    <cellStyle name="Note 2 4 2 2 2" xfId="1954" xr:uid="{08361D94-3375-4C36-AD75-8D6FE59FEC76}"/>
    <cellStyle name="Note 2 4 2 2 2 2" xfId="3745" xr:uid="{316293F5-0F6C-47BB-B700-BD92D0948693}"/>
    <cellStyle name="Note 2 4 2 2 3" xfId="2834" xr:uid="{7486EBCF-A91C-450D-A768-89064451E454}"/>
    <cellStyle name="Note 2 4 2 3" xfId="1521" xr:uid="{7D3EFD1F-A3DC-4945-AC93-9BE85B26314A}"/>
    <cellStyle name="Note 2 4 2 3 2" xfId="3315" xr:uid="{97F410C6-A49C-4A47-ABF4-6D45B0D804BC}"/>
    <cellStyle name="Note 2 4 2 4" xfId="2408" xr:uid="{96D9C1FD-B78D-4052-B64A-536B127BEE3D}"/>
    <cellStyle name="Note 2 4 3" xfId="936" xr:uid="{144B1A5D-8B74-4B6D-9E01-C33C9285CD6A}"/>
    <cellStyle name="Note 2 4 3 2" xfId="1723" xr:uid="{E08160DE-11DD-4F75-8672-EBC083085F94}"/>
    <cellStyle name="Note 2 4 3 2 2" xfId="3514" xr:uid="{DBC01358-4A10-4D0C-9ABE-BB3573527A1F}"/>
    <cellStyle name="Note 2 4 3 3" xfId="2833" xr:uid="{5676A149-540D-47B5-AE69-8FD849D731B8}"/>
    <cellStyle name="Note 2 4 4" xfId="1279" xr:uid="{60083C06-D7CA-46C4-AF85-DEB58C091D35}"/>
    <cellStyle name="Note 2 4 4 2" xfId="3094" xr:uid="{E51BDF52-34F0-420E-A20F-1C52C5E65A70}"/>
    <cellStyle name="Note 2 4 5" xfId="2407" xr:uid="{00F60655-2648-4F32-BC31-4DE25ED324D4}"/>
    <cellStyle name="Note 2 5" xfId="498" xr:uid="{6B2E3484-52BD-45AC-8B84-031E3805DE7C}"/>
    <cellStyle name="Note 2 5 2" xfId="499" xr:uid="{A39D6566-3AD1-4140-BADC-EA727127E523}"/>
    <cellStyle name="Note 2 5 2 2" xfId="939" xr:uid="{D15C6205-F328-4515-880D-1E3B5DD36B49}"/>
    <cellStyle name="Note 2 5 2 2 2" xfId="1884" xr:uid="{9CFB7B65-D741-4EA7-B03A-7BDC3F50D289}"/>
    <cellStyle name="Note 2 5 2 2 2 2" xfId="3675" xr:uid="{CE6A206D-286D-4E46-A377-A72D25E8A83B}"/>
    <cellStyle name="Note 2 5 2 2 3" xfId="2836" xr:uid="{389DEC3B-C4D9-4502-AD4F-2BE7ADC1C029}"/>
    <cellStyle name="Note 2 5 2 3" xfId="1451" xr:uid="{0AC1FF95-2D7A-452B-8343-05835A87DB58}"/>
    <cellStyle name="Note 2 5 2 3 2" xfId="3245" xr:uid="{596F89CE-D0F8-409C-87EB-5D7FF0C3D712}"/>
    <cellStyle name="Note 2 5 2 4" xfId="2410" xr:uid="{969838D1-B9EE-42F7-99ED-EFC33AF8C16A}"/>
    <cellStyle name="Note 2 5 3" xfId="938" xr:uid="{B0A51023-EB68-43BE-9D1F-8B35B8CF5C22}"/>
    <cellStyle name="Note 2 5 3 2" xfId="1653" xr:uid="{DEB7E663-9C19-47F0-B9AD-ADDDA13ED857}"/>
    <cellStyle name="Note 2 5 3 2 2" xfId="3444" xr:uid="{42FDED28-466C-430D-83D7-E919AF82C792}"/>
    <cellStyle name="Note 2 5 3 3" xfId="2835" xr:uid="{E3881B8A-4E9F-4A85-B800-B7820565457B}"/>
    <cellStyle name="Note 2 5 4" xfId="1209" xr:uid="{43CBF24E-0C77-4E70-9155-6D5EC4BF97D5}"/>
    <cellStyle name="Note 2 5 4 2" xfId="3024" xr:uid="{DCC44C7A-49B2-4B08-AC93-9403B5AAABD4}"/>
    <cellStyle name="Note 2 5 5" xfId="2409" xr:uid="{1EAF6319-19F0-4EA3-A864-D6D9BCD6A0AD}"/>
    <cellStyle name="Note 2 6" xfId="500" xr:uid="{6AE1C017-3680-4903-87E3-86F53A7A8766}"/>
    <cellStyle name="Note 2 6 2" xfId="940" xr:uid="{50C27762-1C74-4C9D-A848-BFB02937026F}"/>
    <cellStyle name="Note 2 6 2 2" xfId="1774" xr:uid="{36CE5B0A-DAC8-4A91-963A-B5814C21DDB2}"/>
    <cellStyle name="Note 2 6 2 2 2" xfId="3565" xr:uid="{99C31755-E149-4DB2-A174-6ADF81CCF035}"/>
    <cellStyle name="Note 2 6 2 3" xfId="2837" xr:uid="{D13DE119-ACAC-4BF3-AF58-A2064C2EB45C}"/>
    <cellStyle name="Note 2 6 3" xfId="1154" xr:uid="{B8CB354F-BD6D-459F-A0D1-3B829B332F4E}"/>
    <cellStyle name="Note 2 6 3 2" xfId="2970" xr:uid="{0FFFD4EB-51E4-4B5A-916B-8036998B553A}"/>
    <cellStyle name="Note 2 6 4" xfId="2411" xr:uid="{F43AF30A-D99F-42CD-8337-C549C5DC5E51}"/>
    <cellStyle name="Note 2 7" xfId="501" xr:uid="{476F80F7-4EC3-494C-B31F-E1C42F0BD248}"/>
    <cellStyle name="Note 2 7 2" xfId="941" xr:uid="{B69F5AF5-AFE1-4CFE-9806-8FDDF5856D26}"/>
    <cellStyle name="Note 2 7 2 2" xfId="1814" xr:uid="{2CC928DA-56A8-4CB8-95B6-6A46DB63B66F}"/>
    <cellStyle name="Note 2 7 2 2 2" xfId="3605" xr:uid="{4BE4A637-0C70-4AFD-8C2D-69D1A8BADB2E}"/>
    <cellStyle name="Note 2 7 2 3" xfId="2838" xr:uid="{0ED815BE-5AD1-40D5-9B8F-67E34FEBC162}"/>
    <cellStyle name="Note 2 7 3" xfId="1382" xr:uid="{49F10C97-A997-44CE-B607-9C6F398B3310}"/>
    <cellStyle name="Note 2 7 3 2" xfId="3176" xr:uid="{52A7C392-C996-4708-B0A3-B9E5BE74423B}"/>
    <cellStyle name="Note 2 7 4" xfId="2412" xr:uid="{D7C848A5-5D64-4499-A0F3-3ED0A843BD69}"/>
    <cellStyle name="Note 2 8" xfId="921" xr:uid="{2E7FE4B0-0C1D-4890-9D78-350B213ED9DC}"/>
    <cellStyle name="Note 2 8 2" xfId="1583" xr:uid="{303BFFF3-234D-43C7-B0C8-96754410C4AD}"/>
    <cellStyle name="Note 2 8 2 2" xfId="3374" xr:uid="{788379B9-744A-4BA1-97AF-0D76C303CC59}"/>
    <cellStyle name="Note 2 8 3" xfId="2818" xr:uid="{432FEAA0-26D2-40B3-97B3-01713BE5A47B}"/>
    <cellStyle name="Note 2 9" xfId="1112" xr:uid="{222E4F63-50C4-4BD5-A07E-E046686EE721}"/>
    <cellStyle name="Note 3" xfId="502" xr:uid="{02ADFDD9-F3EE-43FA-8F68-223833D551A3}"/>
    <cellStyle name="Note 3 2" xfId="503" xr:uid="{E93E5366-9078-4A60-9E49-9131477B9899}"/>
    <cellStyle name="Note 3 2 2" xfId="504" xr:uid="{6C240EA5-E0CC-476D-B6E7-1278056FD812}"/>
    <cellStyle name="Note 3 2 2 2" xfId="505" xr:uid="{856B4A57-4863-439B-808B-AFBD48836BCD}"/>
    <cellStyle name="Note 3 2 2 2 2" xfId="945" xr:uid="{62BAA48D-0271-41BD-9BAE-761DF98D31B3}"/>
    <cellStyle name="Note 3 2 2 2 2 2" xfId="1921" xr:uid="{464BD452-6987-4BBE-A2B0-CA0FE4A22F0F}"/>
    <cellStyle name="Note 3 2 2 2 2 2 2" xfId="3712" xr:uid="{901F5755-BE28-44B6-9D5A-95C557E58DB8}"/>
    <cellStyle name="Note 3 2 2 2 2 3" xfId="2842" xr:uid="{B82C3B04-0DFB-4EF5-8B8A-1B2C06BA59DF}"/>
    <cellStyle name="Note 3 2 2 2 3" xfId="1488" xr:uid="{3FBD6B2F-3051-45A1-BE12-DF34F141DABB}"/>
    <cellStyle name="Note 3 2 2 2 3 2" xfId="3282" xr:uid="{86CFADA5-0B25-419F-9540-D204BE52E93B}"/>
    <cellStyle name="Note 3 2 2 2 4" xfId="2416" xr:uid="{C77A9747-8720-4923-A823-40BBBA4306BB}"/>
    <cellStyle name="Note 3 2 2 3" xfId="944" xr:uid="{197F8A41-2F25-4AC8-9617-596825130666}"/>
    <cellStyle name="Note 3 2 2 3 2" xfId="1690" xr:uid="{B59C7AC3-3A10-4B55-A9AB-8A719F0DE5F3}"/>
    <cellStyle name="Note 3 2 2 3 2 2" xfId="3481" xr:uid="{E23917C1-A7BA-4636-B06D-438F073A47F6}"/>
    <cellStyle name="Note 3 2 2 3 3" xfId="2841" xr:uid="{16E7F634-B457-4FAE-AAEB-DF616FC8A67B}"/>
    <cellStyle name="Note 3 2 2 4" xfId="1246" xr:uid="{347B9172-A017-481F-A410-79D7ADECAEA9}"/>
    <cellStyle name="Note 3 2 2 4 2" xfId="3061" xr:uid="{EEFD8263-1261-47BD-B62F-2211B6709598}"/>
    <cellStyle name="Note 3 2 2 5" xfId="2415" xr:uid="{20BD7FCA-C4AF-4C4B-BAC5-B195B533203E}"/>
    <cellStyle name="Note 3 2 3" xfId="506" xr:uid="{E5641102-16AD-4F01-A51F-D71537B70C8C}"/>
    <cellStyle name="Note 3 2 3 2" xfId="946" xr:uid="{9B6CFAAD-2F4E-40C9-8F23-1AA4DB6C2E7E}"/>
    <cellStyle name="Note 3 2 3 2 2" xfId="1851" xr:uid="{61C87A17-5CC4-40BE-ADE0-D4A582B01E7A}"/>
    <cellStyle name="Note 3 2 3 2 2 2" xfId="3642" xr:uid="{DC82B9B8-D978-43B0-9298-3297BBB40698}"/>
    <cellStyle name="Note 3 2 3 2 3" xfId="2843" xr:uid="{2477B745-BA16-4EF8-9394-272AE68AB23C}"/>
    <cellStyle name="Note 3 2 3 3" xfId="1418" xr:uid="{EA560B39-DE23-4A65-AABF-844053359C8C}"/>
    <cellStyle name="Note 3 2 3 3 2" xfId="3212" xr:uid="{E06A9C28-6422-44D0-84F1-7A8CE9127A8D}"/>
    <cellStyle name="Note 3 2 3 4" xfId="2417" xr:uid="{E5C522DC-80CA-4C3B-86FA-E46426EB541F}"/>
    <cellStyle name="Note 3 2 4" xfId="943" xr:uid="{FC427F0F-09D4-4B74-85F5-E76BF52CDC65}"/>
    <cellStyle name="Note 3 2 4 2" xfId="1620" xr:uid="{3473A56F-5770-48C3-B87A-12E09985D68E}"/>
    <cellStyle name="Note 3 2 4 2 2" xfId="3411" xr:uid="{29B967A0-7CE5-43EB-BD77-05E65B3891E8}"/>
    <cellStyle name="Note 3 2 4 3" xfId="2840" xr:uid="{FE4ABF72-F006-438B-836F-29B6617A79AD}"/>
    <cellStyle name="Note 3 2 5" xfId="1176" xr:uid="{FA79F1A9-74CF-4537-9061-C4DCC9025126}"/>
    <cellStyle name="Note 3 2 5 2" xfId="2991" xr:uid="{992D8B3B-0AC7-45E2-A6B3-A8D9B2E661CA}"/>
    <cellStyle name="Note 3 2 6" xfId="2414" xr:uid="{799D615C-9971-4238-9D72-16076C9B532A}"/>
    <cellStyle name="Note 3 3" xfId="507" xr:uid="{413297A8-CA0E-426A-A6B5-4FA35B047869}"/>
    <cellStyle name="Note 3 3 2" xfId="508" xr:uid="{C0F81794-CF12-4063-A166-86FA3DAE5473}"/>
    <cellStyle name="Note 3 3 2 2" xfId="948" xr:uid="{A6369F6C-0E25-4863-BFB6-139003A517C4}"/>
    <cellStyle name="Note 3 3 2 2 2" xfId="1956" xr:uid="{CC700D85-DBA3-46C1-875E-43B706F37E7B}"/>
    <cellStyle name="Note 3 3 2 2 2 2" xfId="3747" xr:uid="{F42EEBE9-0D71-43AB-B67B-199137BED9AA}"/>
    <cellStyle name="Note 3 3 2 2 3" xfId="2845" xr:uid="{72A10F83-E362-4746-8FF9-A742A5910145}"/>
    <cellStyle name="Note 3 3 2 3" xfId="1523" xr:uid="{16C9EDBC-986C-4BE8-92CC-B34B2CF6010F}"/>
    <cellStyle name="Note 3 3 2 3 2" xfId="3317" xr:uid="{714AF986-C4E9-4518-9FDE-CF7C9642F4A7}"/>
    <cellStyle name="Note 3 3 2 4" xfId="2419" xr:uid="{8B0F9FCC-23DE-4292-B347-E32A8CED5C08}"/>
    <cellStyle name="Note 3 3 3" xfId="947" xr:uid="{CA41BFAA-D86C-43D7-936D-2728385620D0}"/>
    <cellStyle name="Note 3 3 3 2" xfId="1725" xr:uid="{C8F1E665-86B8-4A16-ABC8-31E015892B0A}"/>
    <cellStyle name="Note 3 3 3 2 2" xfId="3516" xr:uid="{FDD3E901-5F6A-423E-9721-C2C07D9B9DE6}"/>
    <cellStyle name="Note 3 3 3 3" xfId="2844" xr:uid="{A124094C-E86A-47D1-8F3D-2EE1EF53A15A}"/>
    <cellStyle name="Note 3 3 4" xfId="1281" xr:uid="{FA094463-E5B6-4065-870B-28578203ED92}"/>
    <cellStyle name="Note 3 3 4 2" xfId="3096" xr:uid="{5CA8AD28-7AAF-4FB3-9A22-332CA4BF125E}"/>
    <cellStyle name="Note 3 3 5" xfId="2418" xr:uid="{F2C3E766-BB22-49FF-9689-FDDB36FAB1E5}"/>
    <cellStyle name="Note 3 4" xfId="509" xr:uid="{DD3A869D-6BF1-43ED-B884-EBE60354DBDB}"/>
    <cellStyle name="Note 3 4 2" xfId="510" xr:uid="{F399A3AC-4779-43EB-A2F8-A39AE7BFA185}"/>
    <cellStyle name="Note 3 4 2 2" xfId="950" xr:uid="{3EE7388E-CD15-416E-BA37-3060C8D576AF}"/>
    <cellStyle name="Note 3 4 2 2 2" xfId="1886" xr:uid="{07C1D3A5-5A8F-466B-896E-54EB943AE560}"/>
    <cellStyle name="Note 3 4 2 2 2 2" xfId="3677" xr:uid="{9426B1FB-9A69-4754-AA0F-73FFA11E0EF3}"/>
    <cellStyle name="Note 3 4 2 2 3" xfId="2847" xr:uid="{1C549F69-DEB7-42C3-99E0-F62FA98CA6A4}"/>
    <cellStyle name="Note 3 4 2 3" xfId="1453" xr:uid="{82DCC3B3-5A30-4533-8C84-291B3BB9BF95}"/>
    <cellStyle name="Note 3 4 2 3 2" xfId="3247" xr:uid="{827F737D-9B39-49D7-8CC2-80A36A4A99CC}"/>
    <cellStyle name="Note 3 4 2 4" xfId="2421" xr:uid="{A91AF8BC-B5B5-4338-AD7C-4D7DB0278DD2}"/>
    <cellStyle name="Note 3 4 3" xfId="949" xr:uid="{BAA92D84-4880-483D-87D9-2C4A06D38361}"/>
    <cellStyle name="Note 3 4 3 2" xfId="1655" xr:uid="{C0F21B45-B5FF-4E12-A45D-10340EC87E76}"/>
    <cellStyle name="Note 3 4 3 2 2" xfId="3446" xr:uid="{7EB542D4-4A0D-47FF-9E3A-689F6AE4D5C7}"/>
    <cellStyle name="Note 3 4 3 3" xfId="2846" xr:uid="{84CE2F08-0E47-4302-9675-01825163516E}"/>
    <cellStyle name="Note 3 4 4" xfId="1211" xr:uid="{A5656FF1-7645-4018-9F1F-031C34D766BD}"/>
    <cellStyle name="Note 3 4 4 2" xfId="3026" xr:uid="{79CDE291-6EF3-4575-8720-0822392CFFF7}"/>
    <cellStyle name="Note 3 4 5" xfId="2420" xr:uid="{609FEEA2-C43A-4DA0-9B03-AD030383CF69}"/>
    <cellStyle name="Note 3 5" xfId="511" xr:uid="{1609C92A-EF28-495B-8D5B-57500CBC7D18}"/>
    <cellStyle name="Note 3 5 2" xfId="951" xr:uid="{A287FF09-D04F-4E69-ABAA-E3B70A772F3F}"/>
    <cellStyle name="Note 3 5 2 2" xfId="1775" xr:uid="{685215BC-FEC5-4C5C-8D6E-F4BD3AF440C5}"/>
    <cellStyle name="Note 3 5 2 2 2" xfId="3566" xr:uid="{FC97C4AB-0050-4E1B-BED3-843A1BECB3D6}"/>
    <cellStyle name="Note 3 5 2 3" xfId="2848" xr:uid="{ADFDC2BA-DC7D-43B4-8E0D-C50A607604E2}"/>
    <cellStyle name="Note 3 5 3" xfId="1355" xr:uid="{E54E02A7-4D7B-4655-9B8E-30115F022058}"/>
    <cellStyle name="Note 3 5 3 2" xfId="3149" xr:uid="{632BC1BD-1B4A-4B72-B07F-829BCA24EFE1}"/>
    <cellStyle name="Note 3 5 4" xfId="2422" xr:uid="{109F1CD7-B76C-419F-BE13-7EE8A49ECD97}"/>
    <cellStyle name="Note 3 6" xfId="512" xr:uid="{E3E1853E-6717-4ADB-9B5F-27939AD0575E}"/>
    <cellStyle name="Note 3 6 2" xfId="952" xr:uid="{B21888A6-DA86-42A7-B977-5134E29F24CF}"/>
    <cellStyle name="Note 3 6 2 2" xfId="1816" xr:uid="{CF6E67B9-E2BF-441C-B496-F3DBD89A13D5}"/>
    <cellStyle name="Note 3 6 2 2 2" xfId="3607" xr:uid="{605DB834-5C63-42C9-8683-D2DC05CBFC3B}"/>
    <cellStyle name="Note 3 6 2 3" xfId="2849" xr:uid="{E7C7105E-D0FD-4921-B8A9-1E65674D00CC}"/>
    <cellStyle name="Note 3 6 3" xfId="1384" xr:uid="{89812CFE-5BAD-4458-875D-8BE289EC90D1}"/>
    <cellStyle name="Note 3 6 3 2" xfId="3178" xr:uid="{1B86F4A4-B4B1-45D2-A015-84F7EE998A08}"/>
    <cellStyle name="Note 3 6 4" xfId="2423" xr:uid="{9E3D5449-DEA5-4636-923E-B87C548231C2}"/>
    <cellStyle name="Note 3 7" xfId="942" xr:uid="{AF8ACE93-2506-4C4E-9E98-51AED130DD89}"/>
    <cellStyle name="Note 3 7 2" xfId="1585" xr:uid="{216A2F57-ADCF-40D5-90D1-54290B92CD2A}"/>
    <cellStyle name="Note 3 7 2 2" xfId="3376" xr:uid="{6AB3BD59-67C9-48E3-8738-A4E123A39788}"/>
    <cellStyle name="Note 3 7 3" xfId="2839" xr:uid="{379BBB4D-8FA1-42DA-A1A7-724E55FD05DA}"/>
    <cellStyle name="Note 3 8" xfId="1120" xr:uid="{3A7E7448-1B7F-4149-B705-68E5164800D6}"/>
    <cellStyle name="Note 3 8 2" xfId="2944" xr:uid="{FADDDDCC-E526-41C3-890B-323BC19D34C3}"/>
    <cellStyle name="Note 3 9" xfId="2413" xr:uid="{8C226214-F4E6-40D3-9371-EA30CE094302}"/>
    <cellStyle name="Note 4" xfId="513" xr:uid="{69F3ED57-CDE4-41E6-BC18-3E4DFDFC20A1}"/>
    <cellStyle name="Note 4 2" xfId="953" xr:uid="{954CB7A7-84D2-4C05-8A27-836557DF1577}"/>
    <cellStyle name="Note 4 2 2" xfId="1757" xr:uid="{6035F8C2-B30C-439A-8F90-D4A7E00C4D23}"/>
    <cellStyle name="Note 4 2 2 2" xfId="3548" xr:uid="{E32EFB92-F796-4762-B98F-58A841391C2B}"/>
    <cellStyle name="Note 4 2 3" xfId="2850" xr:uid="{AAA1CD9A-A713-4626-A38B-7641EF5B6680}"/>
    <cellStyle name="Note 4 3" xfId="1126" xr:uid="{A363AC69-265C-4FD7-B66B-D28B62D23037}"/>
    <cellStyle name="Note 4 3 2" xfId="2949" xr:uid="{5AE14D4A-76A7-48C9-9048-4C0037FD4D6D}"/>
    <cellStyle name="Note 4 4" xfId="2424" xr:uid="{D2379ED3-668E-4ADF-BFC9-9F2634D84F34}"/>
    <cellStyle name="Note 5" xfId="514" xr:uid="{4A2F88F5-6E28-4534-B271-9117D5E70C91}"/>
    <cellStyle name="Note 5 2" xfId="954" xr:uid="{BF9F197F-CDD6-4FD1-8938-CB481CAF8AB6}"/>
    <cellStyle name="Note 5 2 2" xfId="1794" xr:uid="{7F76AEBB-E2B9-4672-BFAC-DBB73C00BDCF}"/>
    <cellStyle name="Note 5 2 2 2" xfId="3585" xr:uid="{2A5C65F4-5F21-44D0-8457-8C2C7D3D4913}"/>
    <cellStyle name="Note 5 2 3" xfId="2851" xr:uid="{B9ED72B9-A5A2-4D37-A93F-91F8102D4BBB}"/>
    <cellStyle name="Note 5 3" xfId="1362" xr:uid="{BBD4A357-C3E6-469D-8943-C2083EC71137}"/>
    <cellStyle name="Note 5 3 2" xfId="3156" xr:uid="{420BEAED-D5F7-4950-895F-CEF4FAC5497A}"/>
    <cellStyle name="Note 5 4" xfId="2425" xr:uid="{4354CC35-AF73-474C-8151-BDBF436CDED8}"/>
    <cellStyle name="Note 6" xfId="515" xr:uid="{2CD8AA21-345A-4E81-BB5D-10BB2CF20778}"/>
    <cellStyle name="Note 6 2" xfId="955" xr:uid="{1D728DA5-548C-4F28-9FDA-92EBD92E16F7}"/>
    <cellStyle name="Note 6 2 2" xfId="2852" xr:uid="{E16F6EB3-825D-43AD-8524-3D6564B0D234}"/>
    <cellStyle name="Note 6 3" xfId="1548" xr:uid="{17E6A6BB-45B4-4FEE-844A-37189563A53A}"/>
    <cellStyle name="Note 6 3 2" xfId="3339" xr:uid="{688FF93B-C48E-44D9-AB86-C1893BD59663}"/>
    <cellStyle name="Note 6 4" xfId="2426" xr:uid="{77059C8F-F9A0-40D9-8471-1332E40EBDC0}"/>
    <cellStyle name="Note 7" xfId="1551" xr:uid="{92E6AF4C-3EF5-4F8C-8092-4AA947E683D0}"/>
    <cellStyle name="Note 7 2" xfId="3342" xr:uid="{003365D4-8C88-47D3-BAA1-600B96BD963E}"/>
    <cellStyle name="Note 8" xfId="1984" xr:uid="{E96AC50D-4014-4B4B-BB0A-A5F278C92596}"/>
    <cellStyle name="Note 8 2" xfId="3775" xr:uid="{FC4CE70A-0C92-41E8-81F7-F21EF3CA3194}"/>
    <cellStyle name="Note 9" xfId="970" xr:uid="{F9C41305-9397-4AF3-A261-94B75249342D}"/>
    <cellStyle name="Note 9 2" xfId="2864" xr:uid="{25C8CDF5-F99E-467F-AA73-CF0A74439582}"/>
    <cellStyle name="Output 2" xfId="1113" xr:uid="{46A6A4A4-0B7E-4EA5-A530-C65DC7BAB6F0}"/>
    <cellStyle name="Percent" xfId="4" builtinId="5"/>
    <cellStyle name="Percent 10" xfId="1983" xr:uid="{C8A3611A-0C2B-4928-BAE6-4C44E8DA0A42}"/>
    <cellStyle name="Percent 10 2" xfId="3774" xr:uid="{23472838-774A-400F-BC8C-EC901B83CB1D}"/>
    <cellStyle name="Percent 2" xfId="8" xr:uid="{46B568AE-9678-4A7F-834E-A6AF1C0EC1AA}"/>
    <cellStyle name="Percent 2 2" xfId="17" xr:uid="{77A60053-0B18-4042-ABF9-01F5584C0FA3}"/>
    <cellStyle name="Percent 2 3" xfId="517" xr:uid="{9ADB32BE-54EE-4AF4-8FCF-BED8BE3014A9}"/>
    <cellStyle name="Percent 2 3 2" xfId="518" xr:uid="{67DB164C-BA99-4B7E-A712-8BACD482C32F}"/>
    <cellStyle name="Percent 2 3 2 2" xfId="519" xr:uid="{AB846720-A5EF-4C4E-B607-F728824F2B51}"/>
    <cellStyle name="Percent 2 3 2 3" xfId="520" xr:uid="{29305113-A9D3-40E8-BACE-624BD647BA3A}"/>
    <cellStyle name="Percent 2 3 2 3 2" xfId="521" xr:uid="{7A8EAF6F-FD1B-4C62-93D4-FB6A49D97070}"/>
    <cellStyle name="Percent 2 3 2 3 3" xfId="1992" xr:uid="{57142FAF-8307-48D1-885F-B0500ABBFC0E}"/>
    <cellStyle name="Percent 2 3 2 3 3 2" xfId="2002" xr:uid="{56B0E376-85D7-4D04-9853-12E40999776C}"/>
    <cellStyle name="Percent 2 4" xfId="522" xr:uid="{9C1984DD-55C8-4C0E-8BEA-CABE0A4E2771}"/>
    <cellStyle name="Percent 2 4 2" xfId="523" xr:uid="{FBDFF911-A934-480C-B82A-1A289CD4AECE}"/>
    <cellStyle name="Percent 2 4 2 2" xfId="957" xr:uid="{263187F8-EFDF-49DD-AE68-CAC35C54B012}"/>
    <cellStyle name="Percent 2 4 2 2 2" xfId="1752" xr:uid="{F7A05629-2517-4ABC-8270-7E3569CAD834}"/>
    <cellStyle name="Percent 2 4 2 2 2 2" xfId="3543" xr:uid="{59C42447-23AC-4EA1-9EBE-C7C85BC213D4}"/>
    <cellStyle name="Percent 2 4 2 2 3" xfId="2854" xr:uid="{5F279D2D-171A-4A00-BDD3-3C82F8CF74C0}"/>
    <cellStyle name="Percent 2 4 2 3" xfId="1148" xr:uid="{A4D721D6-6179-4D9F-AAEB-885C12D4BD5E}"/>
    <cellStyle name="Percent 2 4 2 3 2" xfId="2966" xr:uid="{10AC734F-4537-4107-A26B-E8B117F06D4D}"/>
    <cellStyle name="Percent 2 4 2 4" xfId="2428" xr:uid="{0DACBB09-7571-4696-A50B-332EB379AF93}"/>
    <cellStyle name="Percent 2 4 3" xfId="524" xr:uid="{B5A33E5D-51CD-46F0-AFE4-60A271884D7A}"/>
    <cellStyle name="Percent 2 4 3 2" xfId="958" xr:uid="{1680592D-857E-4A64-BD99-618898B2084A}"/>
    <cellStyle name="Percent 2 4 3 2 2" xfId="1772" xr:uid="{A3F0018E-520D-42CF-A059-875A4B63B386}"/>
    <cellStyle name="Percent 2 4 3 2 2 2" xfId="3563" xr:uid="{745A0762-9BBA-4C49-94A7-286B12C6C0C2}"/>
    <cellStyle name="Percent 2 4 3 2 3" xfId="2855" xr:uid="{FEC733C3-DB15-4209-BC5F-363888FD01D0}"/>
    <cellStyle name="Percent 2 4 3 3" xfId="1352" xr:uid="{EDE48F03-4C16-4E15-A93A-350735D8602E}"/>
    <cellStyle name="Percent 2 4 3 3 2" xfId="3147" xr:uid="{13355996-B5D3-44E5-8488-173CDD135A09}"/>
    <cellStyle name="Percent 2 4 3 4" xfId="2429" xr:uid="{626D02A4-041D-4537-8BA5-99EC9B8D6231}"/>
    <cellStyle name="Percent 2 4 4" xfId="525" xr:uid="{E8B54A06-D667-41B3-B880-C9D9064B7A2D}"/>
    <cellStyle name="Percent 2 4 4 2" xfId="959" xr:uid="{824FF9E7-77AA-4E1B-AD45-EA1E7C0ECEFE}"/>
    <cellStyle name="Percent 2 4 4 2 2" xfId="1809" xr:uid="{61AE1D6F-454F-4798-8F40-C94908A09EDF}"/>
    <cellStyle name="Percent 2 4 4 2 2 2" xfId="3600" xr:uid="{E5DD16FE-D2B1-40FD-A4F6-240E54029850}"/>
    <cellStyle name="Percent 2 4 4 2 3" xfId="2856" xr:uid="{8B78D7AA-447F-4FB6-A67A-75D13BE50A5A}"/>
    <cellStyle name="Percent 2 4 4 3" xfId="1377" xr:uid="{D46D3506-F0EC-4F51-9444-288106DBE261}"/>
    <cellStyle name="Percent 2 4 4 3 2" xfId="3171" xr:uid="{1D1FF82C-446E-47DE-BB20-355EFE54133B}"/>
    <cellStyle name="Percent 2 4 4 4" xfId="2430" xr:uid="{FE4FB480-19AC-4E1B-A5FB-7EB7F6E64784}"/>
    <cellStyle name="Percent 2 4 5" xfId="526" xr:uid="{9124DD23-EDA1-4A2F-AEC3-7E18C8D6B005}"/>
    <cellStyle name="Percent 2 4 6" xfId="956" xr:uid="{92C8DD67-7107-4E40-8157-7DAC0D5520DE}"/>
    <cellStyle name="Percent 2 4 6 2" xfId="1578" xr:uid="{050FDF36-E7F0-470F-A61E-980DED209C04}"/>
    <cellStyle name="Percent 2 4 6 2 2" xfId="3369" xr:uid="{A1292D15-8D12-40EE-9D3B-DE71D387D9FE}"/>
    <cellStyle name="Percent 2 4 6 3" xfId="2853" xr:uid="{CDD28008-7284-4328-99CD-CC2CF5707233}"/>
    <cellStyle name="Percent 2 4 7" xfId="1114" xr:uid="{DD8EB69D-6C44-4E4C-A4B5-2EE4F2FD653E}"/>
    <cellStyle name="Percent 2 4 8" xfId="2427" xr:uid="{5E014BCF-1906-410C-BCC9-4839F341CD51}"/>
    <cellStyle name="Percent 2 5" xfId="527" xr:uid="{4E9C74FE-B65F-4A5C-8B12-EA686CBDAAA1}"/>
    <cellStyle name="Percent 3" xfId="11" xr:uid="{CF8DEBAA-473F-47B4-ABB9-AEFB8D617433}"/>
    <cellStyle name="Percent 3 2" xfId="960" xr:uid="{6BC1AD9E-C3B9-4BF6-A90C-F17F5DE0B662}"/>
    <cellStyle name="Percent 3 2 2" xfId="1746" xr:uid="{B5800F7C-48FD-43EA-9259-A7FAD3673D9B}"/>
    <cellStyle name="Percent 3 2 2 2" xfId="3537" xr:uid="{F7EFB3FE-534F-4A66-8056-7E060AAB02DE}"/>
    <cellStyle name="Percent 3 2 3" xfId="1064" xr:uid="{B522B2D4-A63C-4651-B613-24849612B0FA}"/>
    <cellStyle name="Percent 3 2 4" xfId="2857" xr:uid="{5B48DE16-2A1B-460B-8EE1-588CBFAAD4E6}"/>
    <cellStyle name="Percent 3 3" xfId="1322" xr:uid="{938C78C4-EC91-4854-8C42-5E3C3E85460E}"/>
    <cellStyle name="Percent 3 3 2" xfId="3123" xr:uid="{0271B95C-C6CC-44DE-B48A-DC12CA4A4E49}"/>
    <cellStyle name="Percent 3 4" xfId="1055" xr:uid="{C7B4A291-5CED-4B6C-B38D-9A3D9E117F59}"/>
    <cellStyle name="Percent 3 5" xfId="528" xr:uid="{FB563D3D-B16A-4E76-8E0A-38B6FFB4C8EB}"/>
    <cellStyle name="Percent 3 5 2" xfId="2431" xr:uid="{B9575EE0-D65A-4A26-93DC-887A7E1794AA}"/>
    <cellStyle name="Percent 4" xfId="529" xr:uid="{272E5EDC-F310-4D47-A365-4B06D008F94F}"/>
    <cellStyle name="Percent 4 2" xfId="530" xr:uid="{DB8EA921-22FA-40D6-98D7-90E8BC53CD1E}"/>
    <cellStyle name="Percent 4 2 2" xfId="531" xr:uid="{C58ACB6A-AAD1-4475-80B8-41883728ACE4}"/>
    <cellStyle name="Percent 4 2 3" xfId="1989" xr:uid="{26715F7D-33B5-4793-B96D-6EA1DFF43AED}"/>
    <cellStyle name="Percent 4 2 3 2" xfId="1999" xr:uid="{E78DB3B5-0269-4B35-A08B-2E8A20975283}"/>
    <cellStyle name="Percent 4 3" xfId="532" xr:uid="{D9343477-35AD-42BF-A487-2127111FDBF7}"/>
    <cellStyle name="Percent 4 3 2" xfId="961" xr:uid="{0315A0A3-E2D1-4D2E-9959-2E2A13FA2C1B}"/>
    <cellStyle name="Percent 4 3 2 2" xfId="1749" xr:uid="{B1FF90B2-CCAD-4478-AFA0-7F00CA810E45}"/>
    <cellStyle name="Percent 4 3 2 2 2" xfId="3540" xr:uid="{87353B21-9E25-45F6-B68E-897454979A7F}"/>
    <cellStyle name="Percent 4 3 2 3" xfId="2858" xr:uid="{0628E817-ED3A-4D10-AD1D-15480A8341DC}"/>
    <cellStyle name="Percent 4 3 3" xfId="1333" xr:uid="{DC8287CB-0820-4D07-9A92-9BE7F3F043BC}"/>
    <cellStyle name="Percent 4 3 3 2" xfId="3128" xr:uid="{7082ED4E-2C52-455A-8455-3081C97C63E6}"/>
    <cellStyle name="Percent 4 3 4" xfId="2432" xr:uid="{227133F4-6EAC-4C2E-A9B1-ADA4A6929BA6}"/>
    <cellStyle name="Percent 4 4" xfId="1320" xr:uid="{9FA98FA1-8570-4D42-AEB2-55319741C272}"/>
    <cellStyle name="Percent 4 5" xfId="1125" xr:uid="{C16169BA-F6C4-419F-A2BF-5C6FC4769621}"/>
    <cellStyle name="Percent 4 5 2" xfId="2948" xr:uid="{F2DDC026-C414-4B12-944B-85A59F1C7B7C}"/>
    <cellStyle name="Percent 5" xfId="533" xr:uid="{0F90D8FE-9F6C-4279-95B3-4CDF1301EB94}"/>
    <cellStyle name="Percent 5 2" xfId="962" xr:uid="{580FFB03-A899-4802-95CE-E9D0B19CB355}"/>
    <cellStyle name="Percent 5 2 2" xfId="1753" xr:uid="{007ED0E7-640B-4040-AE59-DE6664099701}"/>
    <cellStyle name="Percent 5 2 2 2" xfId="3544" xr:uid="{8D7E1A61-A73F-49C5-8FD2-2ACDE0C85605}"/>
    <cellStyle name="Percent 5 2 3" xfId="2859" xr:uid="{37F86B22-CE65-4F55-AED2-535559AEBB45}"/>
    <cellStyle name="Percent 5 3" xfId="1140" xr:uid="{7695C7EF-6B6E-4595-8833-A4FC54E657E5}"/>
    <cellStyle name="Percent 5 3 2" xfId="2963" xr:uid="{9536CEA5-E40B-4910-90CC-3D3D07AFC694}"/>
    <cellStyle name="Percent 5 4" xfId="2433" xr:uid="{B7B4D2EA-1E32-42A6-BA6E-D12272D8DB5B}"/>
    <cellStyle name="Percent 6" xfId="534" xr:uid="{7756C094-FC56-49C4-AB07-0D0360B5A694}"/>
    <cellStyle name="Percent 6 2" xfId="963" xr:uid="{64CEF03C-ED87-407B-849B-82C927FCE2CD}"/>
    <cellStyle name="Percent 6 2 2" xfId="1756" xr:uid="{BCC0C7BA-A72C-42CE-B20C-C4DE00778333}"/>
    <cellStyle name="Percent 6 2 2 2" xfId="3547" xr:uid="{E8E56607-8C88-427C-A739-8134074D764F}"/>
    <cellStyle name="Percent 6 2 3" xfId="2860" xr:uid="{247D033E-357A-4255-8203-B021DCBBBB86}"/>
    <cellStyle name="Percent 6 3" xfId="1338" xr:uid="{6F9334A0-CAD4-42F9-A0B8-002FAB01D5D5}"/>
    <cellStyle name="Percent 6 3 2" xfId="3133" xr:uid="{322442F0-0BD9-425D-A4B3-8E68F301BEA1}"/>
    <cellStyle name="Percent 6 4" xfId="2434" xr:uid="{DC23C734-1037-4DE3-AFF6-24EA8C4E4468}"/>
    <cellStyle name="Percent 7" xfId="535" xr:uid="{B9C59E7A-A5EA-4C35-AE7C-B73A0EF6D31E}"/>
    <cellStyle name="Percent 7 2" xfId="964" xr:uid="{220153A3-7EA6-427C-A52C-198BD42B0585}"/>
    <cellStyle name="Percent 7 2 2" xfId="1793" xr:uid="{BD140138-41E5-4BF0-842B-02FE60E4305A}"/>
    <cellStyle name="Percent 7 2 2 2" xfId="3584" xr:uid="{CF3DCF7E-1D6E-40CA-8D34-8152833346F5}"/>
    <cellStyle name="Percent 7 2 3" xfId="2861" xr:uid="{E167265C-98D5-416E-83AF-9E76998CD860}"/>
    <cellStyle name="Percent 7 3" xfId="1361" xr:uid="{D5A56BAC-E1E6-44B0-994F-7C619903D517}"/>
    <cellStyle name="Percent 7 3 2" xfId="3155" xr:uid="{5D96B101-46C3-485B-8E64-D975BB229C4C}"/>
    <cellStyle name="Percent 7 4" xfId="2435" xr:uid="{3770CDB9-79A6-4FA5-96BD-CBC9ECE6D69E}"/>
    <cellStyle name="Percent 8" xfId="536" xr:uid="{8099F6A9-6A81-4938-83E5-4CE6537EBF22}"/>
    <cellStyle name="Percent 8 2" xfId="965" xr:uid="{1FCE7DB7-8A08-4EDD-A65D-6446A9997B13}"/>
    <cellStyle name="Percent 8 2 2" xfId="2862" xr:uid="{FBB920EE-0D68-4037-A2E7-C1B1FDF2D31E}"/>
    <cellStyle name="Percent 8 3" xfId="1547" xr:uid="{5AE1442F-053F-4211-A867-FF8F0ACB259E}"/>
    <cellStyle name="Percent 8 3 2" xfId="3338" xr:uid="{613D3F5D-731D-4F66-803A-4900F58D8DDE}"/>
    <cellStyle name="Percent 8 4" xfId="2436" xr:uid="{B87315BA-1A1C-479A-94AD-CC2B5570C35E}"/>
    <cellStyle name="Percent 9" xfId="516" xr:uid="{FB5C67D0-D74D-4EFD-B3B6-AE09E1CA86B1}"/>
    <cellStyle name="Percent 9 2" xfId="1550" xr:uid="{A4658646-B3FE-4ED3-8E69-E374C128DEBA}"/>
    <cellStyle name="Percent 9 2 2" xfId="3341" xr:uid="{F6757EF0-233D-4CC8-9016-504EF97DD8B6}"/>
    <cellStyle name="Title 2" xfId="537" xr:uid="{F0EB5E00-D3E6-4B71-BC83-43E06BBEBA8B}"/>
    <cellStyle name="Title 2 2" xfId="1301" xr:uid="{8DA6800E-4619-49AB-9791-09831EA7D6FA}"/>
    <cellStyle name="Title 2 3" xfId="1115" xr:uid="{ADC9C267-5462-4FD0-97D6-B4661BF9764B}"/>
    <cellStyle name="Title 3" xfId="538" xr:uid="{FE73C47A-924E-400D-AC02-E3C8A3B5F182}"/>
    <cellStyle name="Title 4" xfId="539" xr:uid="{F8B40F61-5BFD-4AA1-B0CA-666021987668}"/>
    <cellStyle name="Title 4 2" xfId="968" xr:uid="{AB866E1E-5D82-4F46-842B-D770A319D1B1}"/>
    <cellStyle name="Total 2" xfId="1048" xr:uid="{56D24D72-A19E-478A-A66B-AF3C380AB770}"/>
    <cellStyle name="Total 2 2" xfId="1117" xr:uid="{44E1B011-16AD-404C-A389-6427F4FD4735}"/>
    <cellStyle name="Total 3" xfId="1047" xr:uid="{68E40904-D8EE-4A2A-9ECE-21EA81EDF69A}"/>
    <cellStyle name="Total 3 2" xfId="1121" xr:uid="{D720B33D-3046-4CAF-ADDA-40658216791E}"/>
    <cellStyle name="Total 3 3" xfId="2931" xr:uid="{4740D7E2-9411-49CF-8F78-7242D874F78B}"/>
    <cellStyle name="Total 4" xfId="1062" xr:uid="{E205B606-B14C-4579-8E29-6718506B1A48}"/>
    <cellStyle name="Total 5" xfId="1116" xr:uid="{73442853-6ED9-4590-9A3F-D1CA168AA62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solander@kvhealthcare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A428" sqref="A428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79" t="s">
        <v>2113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2112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7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4" x14ac:dyDescent="0.35">
      <c r="A33" s="14" t="s">
        <v>26</v>
      </c>
      <c r="B33" s="67"/>
      <c r="C33" s="67"/>
      <c r="D33" s="67"/>
    </row>
    <row r="34" spans="1:84" x14ac:dyDescent="0.35">
      <c r="A34" s="14" t="s">
        <v>27</v>
      </c>
      <c r="B34" s="66"/>
      <c r="C34" s="66"/>
      <c r="D34" s="66"/>
    </row>
    <row r="35" spans="1:84" x14ac:dyDescent="0.35">
      <c r="A35" s="380"/>
      <c r="B35" s="381"/>
      <c r="C35" s="381"/>
      <c r="D35" s="381"/>
      <c r="E35" s="380"/>
      <c r="F35" s="380"/>
      <c r="G35" s="380"/>
    </row>
    <row r="36" spans="1:84" x14ac:dyDescent="0.35">
      <c r="A36" s="382" t="s">
        <v>28</v>
      </c>
      <c r="B36" s="383"/>
      <c r="C36" s="384"/>
      <c r="D36" s="383"/>
      <c r="E36" s="383"/>
      <c r="F36" s="383"/>
      <c r="G36" s="383"/>
    </row>
    <row r="37" spans="1:84" x14ac:dyDescent="0.35">
      <c r="A37" s="385" t="s">
        <v>29</v>
      </c>
      <c r="B37" s="386"/>
      <c r="C37" s="384"/>
      <c r="D37" s="383"/>
      <c r="E37" s="383"/>
      <c r="F37" s="383"/>
      <c r="G37" s="383"/>
    </row>
    <row r="38" spans="1:84" x14ac:dyDescent="0.35">
      <c r="A38" s="387" t="s">
        <v>30</v>
      </c>
      <c r="B38" s="386"/>
      <c r="C38" s="384"/>
      <c r="D38" s="383"/>
      <c r="E38" s="383"/>
      <c r="F38" s="383"/>
      <c r="G38" s="383"/>
    </row>
    <row r="39" spans="1:84" x14ac:dyDescent="0.35">
      <c r="A39" s="388" t="s">
        <v>31</v>
      </c>
      <c r="B39" s="383"/>
      <c r="C39" s="384"/>
      <c r="D39" s="383"/>
      <c r="E39" s="383"/>
      <c r="F39" s="383"/>
      <c r="G39" s="383"/>
    </row>
    <row r="40" spans="1:84" x14ac:dyDescent="0.35">
      <c r="A40" s="387" t="s">
        <v>32</v>
      </c>
      <c r="B40" s="383"/>
      <c r="C40" s="384"/>
      <c r="D40" s="383"/>
      <c r="E40" s="383"/>
      <c r="F40" s="383"/>
      <c r="G40" s="383"/>
    </row>
    <row r="41" spans="1:84" x14ac:dyDescent="0.35">
      <c r="A41" s="380"/>
      <c r="B41" s="380"/>
      <c r="C41" s="389"/>
      <c r="D41" s="380"/>
      <c r="E41" s="380"/>
      <c r="F41" s="380"/>
      <c r="G41" s="380"/>
    </row>
    <row r="42" spans="1:84" x14ac:dyDescent="0.35">
      <c r="A42" s="11" t="s">
        <v>33</v>
      </c>
      <c r="C42" s="13"/>
      <c r="F42" s="15" t="s">
        <v>34</v>
      </c>
    </row>
    <row r="43" spans="1:84" x14ac:dyDescent="0.35">
      <c r="A43" s="257" t="s">
        <v>35</v>
      </c>
      <c r="C43" s="13"/>
    </row>
    <row r="44" spans="1:84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35">
      <c r="A47" s="16" t="s">
        <v>231</v>
      </c>
      <c r="B47" s="316">
        <v>0</v>
      </c>
      <c r="C47" s="317">
        <v>0</v>
      </c>
      <c r="D47" s="317">
        <v>0</v>
      </c>
      <c r="E47" s="317">
        <v>0</v>
      </c>
      <c r="F47" s="317">
        <v>0</v>
      </c>
      <c r="G47" s="317">
        <v>0</v>
      </c>
      <c r="H47" s="317">
        <v>0</v>
      </c>
      <c r="I47" s="317">
        <v>0</v>
      </c>
      <c r="J47" s="317">
        <v>0</v>
      </c>
      <c r="K47" s="317">
        <v>0</v>
      </c>
      <c r="L47" s="317">
        <v>0</v>
      </c>
      <c r="M47" s="317">
        <v>0</v>
      </c>
      <c r="N47" s="317">
        <v>0</v>
      </c>
      <c r="O47" s="317">
        <v>0</v>
      </c>
      <c r="P47" s="317">
        <v>0</v>
      </c>
      <c r="Q47" s="317">
        <v>0</v>
      </c>
      <c r="R47" s="317">
        <v>0</v>
      </c>
      <c r="S47" s="317">
        <v>0</v>
      </c>
      <c r="T47" s="317">
        <v>0</v>
      </c>
      <c r="U47" s="317">
        <v>0</v>
      </c>
      <c r="V47" s="317">
        <v>0</v>
      </c>
      <c r="W47" s="317">
        <v>0</v>
      </c>
      <c r="X47" s="317">
        <v>0</v>
      </c>
      <c r="Y47" s="317">
        <v>0</v>
      </c>
      <c r="Z47" s="317">
        <v>0</v>
      </c>
      <c r="AA47" s="317">
        <v>0</v>
      </c>
      <c r="AB47" s="317">
        <v>0</v>
      </c>
      <c r="AC47" s="317">
        <v>0</v>
      </c>
      <c r="AD47" s="317">
        <v>0</v>
      </c>
      <c r="AE47" s="317">
        <v>0</v>
      </c>
      <c r="AF47" s="317">
        <v>0</v>
      </c>
      <c r="AG47" s="317">
        <v>0</v>
      </c>
      <c r="AH47" s="317">
        <v>0</v>
      </c>
      <c r="AI47" s="317">
        <v>0</v>
      </c>
      <c r="AJ47" s="317">
        <v>0</v>
      </c>
      <c r="AK47" s="317">
        <v>0</v>
      </c>
      <c r="AL47" s="317">
        <v>0</v>
      </c>
      <c r="AM47" s="317">
        <v>0</v>
      </c>
      <c r="AN47" s="317">
        <v>0</v>
      </c>
      <c r="AO47" s="317">
        <v>0</v>
      </c>
      <c r="AP47" s="317">
        <v>0</v>
      </c>
      <c r="AQ47" s="317">
        <v>0</v>
      </c>
      <c r="AR47" s="317">
        <v>0</v>
      </c>
      <c r="AS47" s="317">
        <v>0</v>
      </c>
      <c r="AT47" s="317">
        <v>0</v>
      </c>
      <c r="AU47" s="317">
        <v>0</v>
      </c>
      <c r="AV47" s="317">
        <v>0</v>
      </c>
      <c r="AW47" s="317">
        <v>0</v>
      </c>
      <c r="AX47" s="317">
        <v>0</v>
      </c>
      <c r="AY47" s="317">
        <v>0</v>
      </c>
      <c r="AZ47" s="317">
        <v>0</v>
      </c>
      <c r="BA47" s="317">
        <v>0</v>
      </c>
      <c r="BB47" s="317">
        <v>0</v>
      </c>
      <c r="BC47" s="317">
        <v>0</v>
      </c>
      <c r="BD47" s="317">
        <v>0</v>
      </c>
      <c r="BE47" s="317">
        <v>0</v>
      </c>
      <c r="BF47" s="317">
        <v>0</v>
      </c>
      <c r="BG47" s="317">
        <v>0</v>
      </c>
      <c r="BH47" s="317">
        <v>0</v>
      </c>
      <c r="BI47" s="317">
        <v>0</v>
      </c>
      <c r="BJ47" s="317">
        <v>0</v>
      </c>
      <c r="BK47" s="317">
        <v>0</v>
      </c>
      <c r="BL47" s="317">
        <v>0</v>
      </c>
      <c r="BM47" s="317">
        <v>0</v>
      </c>
      <c r="BN47" s="317">
        <v>0</v>
      </c>
      <c r="BO47" s="317">
        <v>0</v>
      </c>
      <c r="BP47" s="317">
        <v>0</v>
      </c>
      <c r="BQ47" s="317">
        <v>0</v>
      </c>
      <c r="BR47" s="317">
        <v>0</v>
      </c>
      <c r="BS47" s="317">
        <v>0</v>
      </c>
      <c r="BT47" s="317">
        <v>0</v>
      </c>
      <c r="BU47" s="317">
        <v>0</v>
      </c>
      <c r="BV47" s="317">
        <v>0</v>
      </c>
      <c r="BW47" s="317">
        <v>0</v>
      </c>
      <c r="BX47" s="317">
        <v>0</v>
      </c>
      <c r="BY47" s="317">
        <v>0</v>
      </c>
      <c r="BZ47" s="317">
        <v>0</v>
      </c>
      <c r="CA47" s="317">
        <v>0</v>
      </c>
      <c r="CB47" s="317">
        <v>0</v>
      </c>
      <c r="CC47" s="317">
        <v>0</v>
      </c>
      <c r="CD47" s="16"/>
      <c r="CE47" s="28">
        <f>SUM(C47:CC47)</f>
        <v>0</v>
      </c>
      <c r="CF47" s="318">
        <v>0</v>
      </c>
    </row>
    <row r="48" spans="1:84" x14ac:dyDescent="0.35">
      <c r="A48" s="28" t="s">
        <v>232</v>
      </c>
      <c r="B48" s="336">
        <v>14961992</v>
      </c>
      <c r="C48" s="28">
        <f>IF($B$48,(ROUND((($B$48/$CE$61)*C61),0)))</f>
        <v>427565</v>
      </c>
      <c r="D48" s="28">
        <f t="shared" ref="D48:BO48" si="0">IF($B$48,(ROUND((($B$48/$CE$61)*D61),0)))</f>
        <v>0</v>
      </c>
      <c r="E48" s="28">
        <f t="shared" si="0"/>
        <v>348417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77867</v>
      </c>
      <c r="K48" s="28">
        <f t="shared" si="0"/>
        <v>0</v>
      </c>
      <c r="L48" s="28">
        <f t="shared" si="0"/>
        <v>8189</v>
      </c>
      <c r="M48" s="28">
        <f t="shared" si="0"/>
        <v>0</v>
      </c>
      <c r="N48" s="28">
        <f t="shared" si="0"/>
        <v>0</v>
      </c>
      <c r="O48" s="28">
        <f t="shared" si="0"/>
        <v>417068</v>
      </c>
      <c r="P48" s="28">
        <f t="shared" si="0"/>
        <v>224008</v>
      </c>
      <c r="Q48" s="28">
        <f t="shared" si="0"/>
        <v>630844</v>
      </c>
      <c r="R48" s="28">
        <f t="shared" si="0"/>
        <v>0</v>
      </c>
      <c r="S48" s="28">
        <f t="shared" si="0"/>
        <v>88249</v>
      </c>
      <c r="T48" s="28">
        <f t="shared" si="0"/>
        <v>0</v>
      </c>
      <c r="U48" s="28">
        <f t="shared" si="0"/>
        <v>507831</v>
      </c>
      <c r="V48" s="28">
        <f t="shared" si="0"/>
        <v>0</v>
      </c>
      <c r="W48" s="28">
        <f t="shared" si="0"/>
        <v>40321</v>
      </c>
      <c r="X48" s="28">
        <f t="shared" si="0"/>
        <v>244353</v>
      </c>
      <c r="Y48" s="28">
        <f t="shared" si="0"/>
        <v>295386</v>
      </c>
      <c r="Z48" s="28">
        <f t="shared" si="0"/>
        <v>0</v>
      </c>
      <c r="AA48" s="28">
        <f t="shared" si="0"/>
        <v>0</v>
      </c>
      <c r="AB48" s="28">
        <f t="shared" si="0"/>
        <v>480578</v>
      </c>
      <c r="AC48" s="28">
        <f t="shared" si="0"/>
        <v>214036</v>
      </c>
      <c r="AD48" s="28">
        <f t="shared" si="0"/>
        <v>0</v>
      </c>
      <c r="AE48" s="28">
        <f t="shared" si="0"/>
        <v>68894</v>
      </c>
      <c r="AF48" s="28">
        <f t="shared" si="0"/>
        <v>0</v>
      </c>
      <c r="AG48" s="28">
        <f t="shared" si="0"/>
        <v>1174809</v>
      </c>
      <c r="AH48" s="28">
        <f t="shared" si="0"/>
        <v>0</v>
      </c>
      <c r="AI48" s="28">
        <f t="shared" si="0"/>
        <v>0</v>
      </c>
      <c r="AJ48" s="28">
        <f t="shared" si="0"/>
        <v>5229223</v>
      </c>
      <c r="AK48" s="28">
        <f t="shared" si="0"/>
        <v>0</v>
      </c>
      <c r="AL48" s="28">
        <f t="shared" si="0"/>
        <v>16366</v>
      </c>
      <c r="AM48" s="28">
        <f t="shared" si="0"/>
        <v>0</v>
      </c>
      <c r="AN48" s="28">
        <f t="shared" si="0"/>
        <v>0</v>
      </c>
      <c r="AO48" s="28">
        <f t="shared" si="0"/>
        <v>170378</v>
      </c>
      <c r="AP48" s="28">
        <f t="shared" si="0"/>
        <v>0</v>
      </c>
      <c r="AQ48" s="28">
        <f t="shared" si="0"/>
        <v>0</v>
      </c>
      <c r="AR48" s="28">
        <f t="shared" si="0"/>
        <v>505559</v>
      </c>
      <c r="AS48" s="28">
        <f t="shared" si="0"/>
        <v>0</v>
      </c>
      <c r="AT48" s="28">
        <f t="shared" si="0"/>
        <v>0</v>
      </c>
      <c r="AU48" s="28">
        <f t="shared" si="0"/>
        <v>0</v>
      </c>
      <c r="AV48" s="28">
        <f t="shared" si="0"/>
        <v>0</v>
      </c>
      <c r="AW48" s="28">
        <f t="shared" si="0"/>
        <v>0</v>
      </c>
      <c r="AX48" s="28">
        <f t="shared" si="0"/>
        <v>0</v>
      </c>
      <c r="AY48" s="28">
        <f t="shared" si="0"/>
        <v>191408</v>
      </c>
      <c r="AZ48" s="28">
        <f t="shared" si="0"/>
        <v>0</v>
      </c>
      <c r="BA48" s="28">
        <f t="shared" si="0"/>
        <v>41893</v>
      </c>
      <c r="BB48" s="28">
        <f t="shared" si="0"/>
        <v>38064</v>
      </c>
      <c r="BC48" s="28">
        <f t="shared" si="0"/>
        <v>0</v>
      </c>
      <c r="BD48" s="28">
        <f t="shared" si="0"/>
        <v>80435</v>
      </c>
      <c r="BE48" s="28">
        <f t="shared" si="0"/>
        <v>188402</v>
      </c>
      <c r="BF48" s="28">
        <f t="shared" si="0"/>
        <v>285340</v>
      </c>
      <c r="BG48" s="28">
        <f t="shared" si="0"/>
        <v>0</v>
      </c>
      <c r="BH48" s="28">
        <f t="shared" si="0"/>
        <v>500715</v>
      </c>
      <c r="BI48" s="28">
        <f t="shared" si="0"/>
        <v>0</v>
      </c>
      <c r="BJ48" s="28">
        <f t="shared" si="0"/>
        <v>182842</v>
      </c>
      <c r="BK48" s="28">
        <f t="shared" si="0"/>
        <v>597047</v>
      </c>
      <c r="BL48" s="28">
        <f t="shared" si="0"/>
        <v>0</v>
      </c>
      <c r="BM48" s="28">
        <f t="shared" si="0"/>
        <v>0</v>
      </c>
      <c r="BN48" s="28">
        <f t="shared" si="0"/>
        <v>330581</v>
      </c>
      <c r="BO48" s="28">
        <f t="shared" si="0"/>
        <v>56823</v>
      </c>
      <c r="BP48" s="28">
        <f t="shared" ref="BP48:CD48" si="1">IF($B$48,(ROUND((($B$48/$CE$61)*BP61),0)))</f>
        <v>98648</v>
      </c>
      <c r="BQ48" s="28">
        <f t="shared" si="1"/>
        <v>0</v>
      </c>
      <c r="BR48" s="28">
        <f t="shared" si="1"/>
        <v>157307</v>
      </c>
      <c r="BS48" s="28">
        <f t="shared" si="1"/>
        <v>0</v>
      </c>
      <c r="BT48" s="28">
        <f t="shared" si="1"/>
        <v>0</v>
      </c>
      <c r="BU48" s="28">
        <f t="shared" si="1"/>
        <v>0</v>
      </c>
      <c r="BV48" s="28">
        <f t="shared" si="1"/>
        <v>403573</v>
      </c>
      <c r="BW48" s="28">
        <f t="shared" si="1"/>
        <v>208756</v>
      </c>
      <c r="BX48" s="28">
        <f t="shared" si="1"/>
        <v>198026</v>
      </c>
      <c r="BY48" s="28">
        <f t="shared" si="1"/>
        <v>202511</v>
      </c>
      <c r="BZ48" s="28">
        <f t="shared" si="1"/>
        <v>0</v>
      </c>
      <c r="CA48" s="28">
        <f t="shared" si="1"/>
        <v>0</v>
      </c>
      <c r="CB48" s="28">
        <f t="shared" si="1"/>
        <v>0</v>
      </c>
      <c r="CC48" s="28">
        <f t="shared" si="1"/>
        <v>29682</v>
      </c>
      <c r="CD48" s="28">
        <f t="shared" si="1"/>
        <v>0</v>
      </c>
      <c r="CE48" s="28">
        <f>SUM(C48:CD48)</f>
        <v>14961994</v>
      </c>
      <c r="CF48" s="318">
        <v>0</v>
      </c>
    </row>
    <row r="49" spans="1:84" x14ac:dyDescent="0.35">
      <c r="A49" s="16" t="s">
        <v>233</v>
      </c>
      <c r="B49" s="28">
        <f>B47+B48</f>
        <v>14961992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18">
        <v>0</v>
      </c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18">
        <v>0</v>
      </c>
    </row>
    <row r="51" spans="1:84" x14ac:dyDescent="0.35">
      <c r="A51" s="22" t="s">
        <v>234</v>
      </c>
      <c r="B51" s="317">
        <v>0</v>
      </c>
      <c r="C51" s="317">
        <v>0</v>
      </c>
      <c r="D51" s="317">
        <v>0</v>
      </c>
      <c r="E51" s="317">
        <v>0</v>
      </c>
      <c r="F51" s="317">
        <v>0</v>
      </c>
      <c r="G51" s="317">
        <v>0</v>
      </c>
      <c r="H51" s="317">
        <v>0</v>
      </c>
      <c r="I51" s="317">
        <v>0</v>
      </c>
      <c r="J51" s="317">
        <v>0</v>
      </c>
      <c r="K51" s="317">
        <v>0</v>
      </c>
      <c r="L51" s="317">
        <v>0</v>
      </c>
      <c r="M51" s="317">
        <v>0</v>
      </c>
      <c r="N51" s="317">
        <v>0</v>
      </c>
      <c r="O51" s="317">
        <v>0</v>
      </c>
      <c r="P51" s="317">
        <v>0</v>
      </c>
      <c r="Q51" s="317">
        <v>0</v>
      </c>
      <c r="R51" s="317">
        <v>0</v>
      </c>
      <c r="S51" s="317">
        <v>0</v>
      </c>
      <c r="T51" s="317">
        <v>0</v>
      </c>
      <c r="U51" s="317">
        <v>0</v>
      </c>
      <c r="V51" s="317">
        <v>0</v>
      </c>
      <c r="W51" s="317">
        <v>0</v>
      </c>
      <c r="X51" s="317">
        <v>0</v>
      </c>
      <c r="Y51" s="317">
        <v>0</v>
      </c>
      <c r="Z51" s="317">
        <v>0</v>
      </c>
      <c r="AA51" s="317">
        <v>0</v>
      </c>
      <c r="AB51" s="317">
        <v>0</v>
      </c>
      <c r="AC51" s="317">
        <v>0</v>
      </c>
      <c r="AD51" s="317">
        <v>0</v>
      </c>
      <c r="AE51" s="317">
        <v>0</v>
      </c>
      <c r="AF51" s="317">
        <v>0</v>
      </c>
      <c r="AG51" s="317">
        <v>0</v>
      </c>
      <c r="AH51" s="317">
        <v>0</v>
      </c>
      <c r="AI51" s="317">
        <v>0</v>
      </c>
      <c r="AJ51" s="317">
        <v>0</v>
      </c>
      <c r="AK51" s="317">
        <v>0</v>
      </c>
      <c r="AL51" s="317">
        <v>0</v>
      </c>
      <c r="AM51" s="317">
        <v>0</v>
      </c>
      <c r="AN51" s="317">
        <v>0</v>
      </c>
      <c r="AO51" s="317">
        <v>0</v>
      </c>
      <c r="AP51" s="317">
        <v>0</v>
      </c>
      <c r="AQ51" s="317">
        <v>0</v>
      </c>
      <c r="AR51" s="317">
        <v>0</v>
      </c>
      <c r="AS51" s="317">
        <v>0</v>
      </c>
      <c r="AT51" s="317">
        <v>0</v>
      </c>
      <c r="AU51" s="317">
        <v>0</v>
      </c>
      <c r="AV51" s="317">
        <v>0</v>
      </c>
      <c r="AW51" s="317">
        <v>0</v>
      </c>
      <c r="AX51" s="317">
        <v>0</v>
      </c>
      <c r="AY51" s="317">
        <v>0</v>
      </c>
      <c r="AZ51" s="317">
        <v>0</v>
      </c>
      <c r="BA51" s="317">
        <v>0</v>
      </c>
      <c r="BB51" s="317">
        <v>0</v>
      </c>
      <c r="BC51" s="317">
        <v>0</v>
      </c>
      <c r="BD51" s="317">
        <v>0</v>
      </c>
      <c r="BE51" s="317">
        <v>0</v>
      </c>
      <c r="BF51" s="317">
        <v>0</v>
      </c>
      <c r="BG51" s="317">
        <v>0</v>
      </c>
      <c r="BH51" s="317">
        <v>0</v>
      </c>
      <c r="BI51" s="317">
        <v>0</v>
      </c>
      <c r="BJ51" s="317">
        <v>0</v>
      </c>
      <c r="BK51" s="317">
        <v>0</v>
      </c>
      <c r="BL51" s="317">
        <v>0</v>
      </c>
      <c r="BM51" s="317">
        <v>0</v>
      </c>
      <c r="BN51" s="317">
        <v>0</v>
      </c>
      <c r="BO51" s="317">
        <v>0</v>
      </c>
      <c r="BP51" s="317">
        <v>0</v>
      </c>
      <c r="BQ51" s="317">
        <v>0</v>
      </c>
      <c r="BR51" s="317">
        <v>0</v>
      </c>
      <c r="BS51" s="317">
        <v>0</v>
      </c>
      <c r="BT51" s="317">
        <v>0</v>
      </c>
      <c r="BU51" s="317">
        <v>0</v>
      </c>
      <c r="BV51" s="317">
        <v>0</v>
      </c>
      <c r="BW51" s="317">
        <v>0</v>
      </c>
      <c r="BX51" s="317">
        <v>0</v>
      </c>
      <c r="BY51" s="317">
        <v>0</v>
      </c>
      <c r="BZ51" s="317">
        <v>0</v>
      </c>
      <c r="CA51" s="317">
        <v>0</v>
      </c>
      <c r="CB51" s="317">
        <v>0</v>
      </c>
      <c r="CC51" s="317">
        <v>0</v>
      </c>
      <c r="CD51" s="16"/>
      <c r="CE51" s="28">
        <f>SUM(C51:CD51)</f>
        <v>0</v>
      </c>
      <c r="CF51" s="318">
        <v>0</v>
      </c>
    </row>
    <row r="52" spans="1:84" x14ac:dyDescent="0.35">
      <c r="A52" s="35" t="s">
        <v>235</v>
      </c>
      <c r="B52" s="337">
        <v>7214516</v>
      </c>
      <c r="C52" s="28">
        <f>IF($B$52,ROUND(($B$52/($CE$90+$CF$90)*C90),0))</f>
        <v>143165</v>
      </c>
      <c r="D52" s="28">
        <f t="shared" ref="D52:BO52" si="2">IF($B$52,ROUND(($B$52/($CE$90+$CF$90)*D90),0))</f>
        <v>0</v>
      </c>
      <c r="E52" s="28">
        <f t="shared" si="2"/>
        <v>409232</v>
      </c>
      <c r="F52" s="28">
        <f t="shared" si="2"/>
        <v>0</v>
      </c>
      <c r="G52" s="28">
        <f t="shared" si="2"/>
        <v>0</v>
      </c>
      <c r="H52" s="28">
        <f t="shared" si="2"/>
        <v>0</v>
      </c>
      <c r="I52" s="28">
        <f t="shared" si="2"/>
        <v>0</v>
      </c>
      <c r="J52" s="28">
        <f t="shared" si="2"/>
        <v>12453</v>
      </c>
      <c r="K52" s="28">
        <f t="shared" si="2"/>
        <v>0</v>
      </c>
      <c r="L52" s="28">
        <f t="shared" si="2"/>
        <v>9637</v>
      </c>
      <c r="M52" s="28">
        <f t="shared" si="2"/>
        <v>0</v>
      </c>
      <c r="N52" s="28">
        <f t="shared" si="2"/>
        <v>0</v>
      </c>
      <c r="O52" s="28">
        <f t="shared" si="2"/>
        <v>141435</v>
      </c>
      <c r="P52" s="28">
        <f t="shared" si="2"/>
        <v>549876</v>
      </c>
      <c r="Q52" s="28">
        <f t="shared" si="2"/>
        <v>50011</v>
      </c>
      <c r="R52" s="28">
        <f t="shared" si="2"/>
        <v>0</v>
      </c>
      <c r="S52" s="28">
        <f t="shared" si="2"/>
        <v>0</v>
      </c>
      <c r="T52" s="28">
        <f t="shared" si="2"/>
        <v>0</v>
      </c>
      <c r="U52" s="28">
        <f t="shared" si="2"/>
        <v>199650</v>
      </c>
      <c r="V52" s="28">
        <f t="shared" si="2"/>
        <v>0</v>
      </c>
      <c r="W52" s="28">
        <f t="shared" si="2"/>
        <v>14578</v>
      </c>
      <c r="X52" s="28">
        <f t="shared" si="2"/>
        <v>46700</v>
      </c>
      <c r="Y52" s="28">
        <f t="shared" si="2"/>
        <v>183737</v>
      </c>
      <c r="Z52" s="28">
        <f t="shared" si="2"/>
        <v>0</v>
      </c>
      <c r="AA52" s="28">
        <f t="shared" si="2"/>
        <v>0</v>
      </c>
      <c r="AB52" s="28">
        <f t="shared" si="2"/>
        <v>57473</v>
      </c>
      <c r="AC52" s="28">
        <f t="shared" si="2"/>
        <v>51000</v>
      </c>
      <c r="AD52" s="28">
        <f t="shared" si="2"/>
        <v>0</v>
      </c>
      <c r="AE52" s="28">
        <f t="shared" si="2"/>
        <v>0</v>
      </c>
      <c r="AF52" s="28">
        <f t="shared" si="2"/>
        <v>0</v>
      </c>
      <c r="AG52" s="28">
        <f t="shared" si="2"/>
        <v>254998</v>
      </c>
      <c r="AH52" s="28">
        <f t="shared" si="2"/>
        <v>0</v>
      </c>
      <c r="AI52" s="28">
        <f t="shared" si="2"/>
        <v>0</v>
      </c>
      <c r="AJ52" s="28">
        <f t="shared" si="2"/>
        <v>2400490</v>
      </c>
      <c r="AK52" s="28">
        <f t="shared" si="2"/>
        <v>0</v>
      </c>
      <c r="AL52" s="28">
        <f t="shared" si="2"/>
        <v>0</v>
      </c>
      <c r="AM52" s="28">
        <f t="shared" si="2"/>
        <v>0</v>
      </c>
      <c r="AN52" s="28">
        <f t="shared" si="2"/>
        <v>0</v>
      </c>
      <c r="AO52" s="28">
        <f t="shared" si="2"/>
        <v>200094</v>
      </c>
      <c r="AP52" s="28">
        <f t="shared" si="2"/>
        <v>0</v>
      </c>
      <c r="AQ52" s="28">
        <f t="shared" si="2"/>
        <v>0</v>
      </c>
      <c r="AR52" s="28">
        <f t="shared" si="2"/>
        <v>68889</v>
      </c>
      <c r="AS52" s="28">
        <f t="shared" si="2"/>
        <v>0</v>
      </c>
      <c r="AT52" s="28">
        <f t="shared" si="2"/>
        <v>0</v>
      </c>
      <c r="AU52" s="28">
        <f t="shared" si="2"/>
        <v>0</v>
      </c>
      <c r="AV52" s="28">
        <f t="shared" si="2"/>
        <v>0</v>
      </c>
      <c r="AW52" s="28">
        <f t="shared" si="2"/>
        <v>0</v>
      </c>
      <c r="AX52" s="28">
        <f t="shared" si="2"/>
        <v>0</v>
      </c>
      <c r="AY52" s="28">
        <f t="shared" si="2"/>
        <v>131107</v>
      </c>
      <c r="AZ52" s="28">
        <f t="shared" si="2"/>
        <v>84604</v>
      </c>
      <c r="BA52" s="28">
        <f t="shared" si="2"/>
        <v>42253</v>
      </c>
      <c r="BB52" s="28">
        <f t="shared" si="2"/>
        <v>10674</v>
      </c>
      <c r="BC52" s="28">
        <f t="shared" si="2"/>
        <v>0</v>
      </c>
      <c r="BD52" s="28">
        <f t="shared" si="2"/>
        <v>154976</v>
      </c>
      <c r="BE52" s="28">
        <f t="shared" si="2"/>
        <v>175978</v>
      </c>
      <c r="BF52" s="28">
        <f t="shared" si="2"/>
        <v>16950</v>
      </c>
      <c r="BG52" s="28">
        <f t="shared" si="2"/>
        <v>0</v>
      </c>
      <c r="BH52" s="28">
        <f t="shared" si="2"/>
        <v>170789</v>
      </c>
      <c r="BI52" s="28">
        <f t="shared" si="2"/>
        <v>24907</v>
      </c>
      <c r="BJ52" s="28">
        <f t="shared" si="2"/>
        <v>0</v>
      </c>
      <c r="BK52" s="28">
        <f t="shared" si="2"/>
        <v>334314</v>
      </c>
      <c r="BL52" s="28">
        <f t="shared" si="2"/>
        <v>0</v>
      </c>
      <c r="BM52" s="28">
        <f t="shared" si="2"/>
        <v>0</v>
      </c>
      <c r="BN52" s="28">
        <f t="shared" si="2"/>
        <v>792915</v>
      </c>
      <c r="BO52" s="28">
        <f t="shared" si="2"/>
        <v>0</v>
      </c>
      <c r="BP52" s="28">
        <f t="shared" ref="BP52:CD52" si="3">IF($B$52,ROUND(($B$52/($CE$90+$CF$90)*BP90),0))</f>
        <v>0</v>
      </c>
      <c r="BQ52" s="28">
        <f t="shared" si="3"/>
        <v>0</v>
      </c>
      <c r="BR52" s="28">
        <f t="shared" si="3"/>
        <v>94735</v>
      </c>
      <c r="BS52" s="28">
        <f t="shared" si="3"/>
        <v>0</v>
      </c>
      <c r="BT52" s="28">
        <f t="shared" si="3"/>
        <v>0</v>
      </c>
      <c r="BU52" s="28">
        <f t="shared" si="3"/>
        <v>0</v>
      </c>
      <c r="BV52" s="28">
        <f t="shared" si="3"/>
        <v>88113</v>
      </c>
      <c r="BW52" s="28">
        <f t="shared" si="3"/>
        <v>0</v>
      </c>
      <c r="BX52" s="28">
        <f t="shared" si="3"/>
        <v>0</v>
      </c>
      <c r="BY52" s="28">
        <f t="shared" si="3"/>
        <v>298832</v>
      </c>
      <c r="BZ52" s="28">
        <f t="shared" si="3"/>
        <v>0</v>
      </c>
      <c r="CA52" s="28">
        <f t="shared" si="3"/>
        <v>0</v>
      </c>
      <c r="CB52" s="28">
        <f t="shared" si="3"/>
        <v>0</v>
      </c>
      <c r="CC52" s="28">
        <f t="shared" si="3"/>
        <v>0</v>
      </c>
      <c r="CD52" s="28">
        <f t="shared" si="3"/>
        <v>0</v>
      </c>
      <c r="CE52" s="28">
        <f>SUM(C52:CD52)</f>
        <v>7214565</v>
      </c>
      <c r="CF52" s="318">
        <v>0</v>
      </c>
    </row>
    <row r="53" spans="1:84" x14ac:dyDescent="0.35">
      <c r="A53" s="16" t="s">
        <v>233</v>
      </c>
      <c r="B53" s="28">
        <f>B51+B52</f>
        <v>7214516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18">
        <v>0</v>
      </c>
    </row>
    <row r="54" spans="1:84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18">
        <v>0</v>
      </c>
    </row>
    <row r="55" spans="1:84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18">
        <v>0</v>
      </c>
    </row>
    <row r="56" spans="1:84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18">
        <v>0</v>
      </c>
    </row>
    <row r="57" spans="1:84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18">
        <v>0</v>
      </c>
    </row>
    <row r="58" spans="1:84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  <c r="CF58" s="318">
        <v>0</v>
      </c>
    </row>
    <row r="59" spans="1:84" x14ac:dyDescent="0.35">
      <c r="A59" s="35" t="s">
        <v>261</v>
      </c>
      <c r="B59" s="28"/>
      <c r="C59" s="337">
        <v>505</v>
      </c>
      <c r="D59" s="337">
        <v>0</v>
      </c>
      <c r="E59" s="341">
        <v>2638</v>
      </c>
      <c r="F59" s="337">
        <v>0</v>
      </c>
      <c r="G59" s="337">
        <v>0</v>
      </c>
      <c r="H59" s="337">
        <v>0</v>
      </c>
      <c r="I59" s="337">
        <v>0</v>
      </c>
      <c r="J59" s="337">
        <v>369</v>
      </c>
      <c r="K59" s="337">
        <v>0</v>
      </c>
      <c r="L59" s="337">
        <v>62</v>
      </c>
      <c r="M59" s="337">
        <v>0</v>
      </c>
      <c r="N59" s="337">
        <v>0</v>
      </c>
      <c r="O59" s="337">
        <v>226</v>
      </c>
      <c r="P59" s="338">
        <v>137850</v>
      </c>
      <c r="Q59" s="338">
        <f>P59</f>
        <v>137850</v>
      </c>
      <c r="R59" s="342">
        <v>0</v>
      </c>
      <c r="S59" s="243">
        <v>0</v>
      </c>
      <c r="T59" s="243">
        <v>0</v>
      </c>
      <c r="U59" s="343">
        <v>279343</v>
      </c>
      <c r="V59" s="338">
        <v>0</v>
      </c>
      <c r="W59" s="338">
        <v>2279</v>
      </c>
      <c r="X59" s="338">
        <v>7302</v>
      </c>
      <c r="Y59" s="338">
        <v>28800</v>
      </c>
      <c r="Z59" s="338">
        <v>0</v>
      </c>
      <c r="AA59" s="338">
        <v>0</v>
      </c>
      <c r="AB59" s="243">
        <v>0</v>
      </c>
      <c r="AC59" s="342">
        <v>1225</v>
      </c>
      <c r="AD59" s="338">
        <v>0</v>
      </c>
      <c r="AE59" s="338">
        <v>14431</v>
      </c>
      <c r="AF59" s="338">
        <v>0</v>
      </c>
      <c r="AG59" s="338">
        <v>17212</v>
      </c>
      <c r="AH59" s="338">
        <v>0</v>
      </c>
      <c r="AI59" s="338">
        <v>0</v>
      </c>
      <c r="AJ59" s="338">
        <v>86142</v>
      </c>
      <c r="AK59" s="338">
        <v>2466</v>
      </c>
      <c r="AL59" s="338">
        <v>2068</v>
      </c>
      <c r="AM59" s="338">
        <v>0</v>
      </c>
      <c r="AN59" s="338">
        <v>0</v>
      </c>
      <c r="AO59" s="338">
        <v>30960</v>
      </c>
      <c r="AP59" s="338">
        <v>0</v>
      </c>
      <c r="AQ59" s="338">
        <v>0</v>
      </c>
      <c r="AR59" s="338">
        <v>14742</v>
      </c>
      <c r="AS59" s="338">
        <v>0</v>
      </c>
      <c r="AT59" s="338">
        <v>0</v>
      </c>
      <c r="AU59" s="338">
        <v>0</v>
      </c>
      <c r="AV59" s="243">
        <v>0</v>
      </c>
      <c r="AW59" s="243">
        <v>0</v>
      </c>
      <c r="AX59" s="243">
        <v>0</v>
      </c>
      <c r="AY59" s="338">
        <v>14485</v>
      </c>
      <c r="AZ59" s="338">
        <v>0</v>
      </c>
      <c r="BA59" s="243">
        <v>0</v>
      </c>
      <c r="BB59" s="243">
        <v>0</v>
      </c>
      <c r="BC59" s="243">
        <v>0</v>
      </c>
      <c r="BD59" s="243">
        <v>0</v>
      </c>
      <c r="BE59" s="319">
        <v>145989</v>
      </c>
      <c r="BF59" s="243">
        <v>0</v>
      </c>
      <c r="BG59" s="243">
        <v>0</v>
      </c>
      <c r="BH59" s="243">
        <v>0</v>
      </c>
      <c r="BI59" s="243">
        <v>0</v>
      </c>
      <c r="BJ59" s="243">
        <v>0</v>
      </c>
      <c r="BK59" s="243">
        <v>0</v>
      </c>
      <c r="BL59" s="243">
        <v>0</v>
      </c>
      <c r="BM59" s="243">
        <v>0</v>
      </c>
      <c r="BN59" s="243">
        <v>0</v>
      </c>
      <c r="BO59" s="243">
        <v>0</v>
      </c>
      <c r="BP59" s="243">
        <v>0</v>
      </c>
      <c r="BQ59" s="243">
        <v>0</v>
      </c>
      <c r="BR59" s="243">
        <v>0</v>
      </c>
      <c r="BS59" s="243">
        <v>0</v>
      </c>
      <c r="BT59" s="243">
        <v>0</v>
      </c>
      <c r="BU59" s="243">
        <v>0</v>
      </c>
      <c r="BV59" s="243">
        <v>0</v>
      </c>
      <c r="BW59" s="243">
        <v>0</v>
      </c>
      <c r="BX59" s="243">
        <v>0</v>
      </c>
      <c r="BY59" s="243">
        <v>0</v>
      </c>
      <c r="BZ59" s="243">
        <v>0</v>
      </c>
      <c r="CA59" s="243">
        <v>0</v>
      </c>
      <c r="CB59" s="243">
        <v>0</v>
      </c>
      <c r="CC59" s="243">
        <v>0</v>
      </c>
      <c r="CD59" s="233">
        <v>0</v>
      </c>
      <c r="CE59" s="28">
        <v>0</v>
      </c>
      <c r="CF59" s="318">
        <v>0</v>
      </c>
    </row>
    <row r="60" spans="1:84" s="210" customFormat="1" x14ac:dyDescent="0.35">
      <c r="A60" s="216" t="s">
        <v>262</v>
      </c>
      <c r="B60" s="217"/>
      <c r="C60" s="339">
        <v>16.57</v>
      </c>
      <c r="D60" s="339">
        <v>0</v>
      </c>
      <c r="E60" s="339">
        <v>14.91</v>
      </c>
      <c r="F60" s="339">
        <v>0</v>
      </c>
      <c r="G60" s="339">
        <v>0</v>
      </c>
      <c r="H60" s="339">
        <v>0</v>
      </c>
      <c r="I60" s="339">
        <v>0</v>
      </c>
      <c r="J60" s="339">
        <v>2.6</v>
      </c>
      <c r="K60" s="339">
        <v>0</v>
      </c>
      <c r="L60" s="339">
        <v>0.35</v>
      </c>
      <c r="M60" s="339">
        <v>0</v>
      </c>
      <c r="N60" s="339">
        <v>0</v>
      </c>
      <c r="O60" s="339">
        <v>13.91</v>
      </c>
      <c r="P60" s="340">
        <v>10.48</v>
      </c>
      <c r="Q60" s="340">
        <v>20.51</v>
      </c>
      <c r="R60" s="340">
        <v>0</v>
      </c>
      <c r="S60" s="320">
        <v>6.23</v>
      </c>
      <c r="T60" s="320">
        <v>0</v>
      </c>
      <c r="U60" s="344">
        <v>27.76</v>
      </c>
      <c r="V60" s="340">
        <v>0</v>
      </c>
      <c r="W60" s="340">
        <v>1.32</v>
      </c>
      <c r="X60" s="340">
        <v>10.69</v>
      </c>
      <c r="Y60" s="340">
        <v>14.8</v>
      </c>
      <c r="Z60" s="340">
        <v>0</v>
      </c>
      <c r="AA60" s="340">
        <v>0</v>
      </c>
      <c r="AB60" s="345">
        <v>16.78</v>
      </c>
      <c r="AC60" s="340">
        <v>8.5500000000000007</v>
      </c>
      <c r="AD60" s="340">
        <v>0</v>
      </c>
      <c r="AE60" s="340">
        <v>3.46</v>
      </c>
      <c r="AF60" s="340">
        <v>0</v>
      </c>
      <c r="AG60" s="340">
        <v>28.74</v>
      </c>
      <c r="AH60" s="340">
        <v>0</v>
      </c>
      <c r="AI60" s="340">
        <v>0</v>
      </c>
      <c r="AJ60" s="340">
        <v>193.77</v>
      </c>
      <c r="AK60" s="340">
        <v>0</v>
      </c>
      <c r="AL60" s="340">
        <v>0.69</v>
      </c>
      <c r="AM60" s="340">
        <v>0</v>
      </c>
      <c r="AN60" s="340">
        <v>0</v>
      </c>
      <c r="AO60" s="340">
        <v>7.29</v>
      </c>
      <c r="AP60" s="340">
        <v>0</v>
      </c>
      <c r="AQ60" s="340">
        <v>0</v>
      </c>
      <c r="AR60" s="340">
        <f>14.81+6.08</f>
        <v>20.89</v>
      </c>
      <c r="AS60" s="340">
        <v>0</v>
      </c>
      <c r="AT60" s="340">
        <v>0</v>
      </c>
      <c r="AU60" s="340">
        <v>0</v>
      </c>
      <c r="AV60" s="345">
        <v>0</v>
      </c>
      <c r="AW60" s="345">
        <v>0</v>
      </c>
      <c r="AX60" s="345">
        <v>0</v>
      </c>
      <c r="AY60" s="340">
        <v>13.41</v>
      </c>
      <c r="AZ60" s="340">
        <v>0</v>
      </c>
      <c r="BA60" s="345">
        <v>3.1</v>
      </c>
      <c r="BB60" s="345">
        <v>1.84</v>
      </c>
      <c r="BC60" s="345">
        <v>0</v>
      </c>
      <c r="BD60" s="345">
        <v>5.75</v>
      </c>
      <c r="BE60" s="340">
        <v>9.5</v>
      </c>
      <c r="BF60" s="345">
        <v>24.25</v>
      </c>
      <c r="BG60" s="345">
        <v>0</v>
      </c>
      <c r="BH60" s="345">
        <v>18.8</v>
      </c>
      <c r="BI60" s="345">
        <v>0</v>
      </c>
      <c r="BJ60" s="345">
        <v>8.02</v>
      </c>
      <c r="BK60" s="345">
        <v>41.02</v>
      </c>
      <c r="BL60" s="345">
        <v>0</v>
      </c>
      <c r="BM60" s="345">
        <v>0</v>
      </c>
      <c r="BN60" s="345">
        <v>7.16</v>
      </c>
      <c r="BO60" s="345">
        <v>2.0299999999999998</v>
      </c>
      <c r="BP60" s="345">
        <v>4.2</v>
      </c>
      <c r="BQ60" s="345">
        <v>0</v>
      </c>
      <c r="BR60" s="345">
        <v>7.1</v>
      </c>
      <c r="BS60" s="345">
        <v>0</v>
      </c>
      <c r="BT60" s="345">
        <v>0</v>
      </c>
      <c r="BU60" s="345">
        <v>0</v>
      </c>
      <c r="BV60" s="345">
        <v>24.45</v>
      </c>
      <c r="BW60" s="345">
        <v>3.8</v>
      </c>
      <c r="BX60" s="345">
        <v>6.78</v>
      </c>
      <c r="BY60" s="345">
        <v>8.68</v>
      </c>
      <c r="BZ60" s="345">
        <v>0</v>
      </c>
      <c r="CA60" s="345">
        <v>0</v>
      </c>
      <c r="CB60" s="345">
        <v>0</v>
      </c>
      <c r="CC60" s="345">
        <v>1.58</v>
      </c>
      <c r="CD60" s="218" t="s">
        <v>248</v>
      </c>
      <c r="CE60" s="236">
        <f t="shared" ref="CE60:CE68" si="4">SUM(C60:CD60)</f>
        <v>611.7700000000001</v>
      </c>
      <c r="CF60" s="321">
        <v>0</v>
      </c>
    </row>
    <row r="61" spans="1:84" x14ac:dyDescent="0.35">
      <c r="A61" s="35" t="s">
        <v>263</v>
      </c>
      <c r="B61" s="16"/>
      <c r="C61" s="337">
        <v>1701327</v>
      </c>
      <c r="D61" s="337">
        <v>0</v>
      </c>
      <c r="E61" s="337">
        <v>1386387</v>
      </c>
      <c r="F61" s="337">
        <v>0</v>
      </c>
      <c r="G61" s="337">
        <v>0</v>
      </c>
      <c r="H61" s="337">
        <v>0</v>
      </c>
      <c r="I61" s="337">
        <v>0</v>
      </c>
      <c r="J61" s="337">
        <v>309842</v>
      </c>
      <c r="K61" s="337">
        <v>0</v>
      </c>
      <c r="L61" s="337">
        <v>32584</v>
      </c>
      <c r="M61" s="337">
        <v>0</v>
      </c>
      <c r="N61" s="337">
        <v>0</v>
      </c>
      <c r="O61" s="337">
        <v>1659559</v>
      </c>
      <c r="P61" s="338">
        <v>891352</v>
      </c>
      <c r="Q61" s="338">
        <v>2510195</v>
      </c>
      <c r="R61" s="338">
        <v>0</v>
      </c>
      <c r="S61" s="322">
        <v>351153</v>
      </c>
      <c r="T61" s="322">
        <v>0</v>
      </c>
      <c r="U61" s="343">
        <v>2020713</v>
      </c>
      <c r="V61" s="338">
        <v>0</v>
      </c>
      <c r="W61" s="338">
        <v>160440</v>
      </c>
      <c r="X61" s="338">
        <v>972306</v>
      </c>
      <c r="Y61" s="338">
        <v>1175374</v>
      </c>
      <c r="Z61" s="338">
        <v>0</v>
      </c>
      <c r="AA61" s="338">
        <v>0</v>
      </c>
      <c r="AB61" s="346">
        <v>1912271</v>
      </c>
      <c r="AC61" s="338">
        <v>851671</v>
      </c>
      <c r="AD61" s="338">
        <v>0</v>
      </c>
      <c r="AE61" s="338">
        <v>274137</v>
      </c>
      <c r="AF61" s="338">
        <v>0</v>
      </c>
      <c r="AG61" s="338">
        <v>4674691</v>
      </c>
      <c r="AH61" s="338">
        <v>0</v>
      </c>
      <c r="AI61" s="338">
        <v>0</v>
      </c>
      <c r="AJ61" s="338">
        <v>20807639</v>
      </c>
      <c r="AK61" s="338">
        <v>0</v>
      </c>
      <c r="AL61" s="338">
        <v>65123</v>
      </c>
      <c r="AM61" s="338">
        <v>0</v>
      </c>
      <c r="AN61" s="338">
        <v>0</v>
      </c>
      <c r="AO61" s="338">
        <v>677953</v>
      </c>
      <c r="AP61" s="338">
        <v>0</v>
      </c>
      <c r="AQ61" s="338">
        <v>0</v>
      </c>
      <c r="AR61" s="338">
        <f>1498670+513002</f>
        <v>2011672</v>
      </c>
      <c r="AS61" s="338">
        <v>0</v>
      </c>
      <c r="AT61" s="338">
        <v>0</v>
      </c>
      <c r="AU61" s="338">
        <v>0</v>
      </c>
      <c r="AV61" s="350">
        <v>0</v>
      </c>
      <c r="AW61" s="350">
        <v>0</v>
      </c>
      <c r="AX61" s="350">
        <v>0</v>
      </c>
      <c r="AY61" s="338">
        <v>761633</v>
      </c>
      <c r="AZ61" s="338">
        <v>0</v>
      </c>
      <c r="BA61" s="350">
        <v>166697</v>
      </c>
      <c r="BB61" s="350">
        <v>151462</v>
      </c>
      <c r="BC61" s="350">
        <v>0</v>
      </c>
      <c r="BD61" s="350">
        <v>320060</v>
      </c>
      <c r="BE61" s="338">
        <v>749670</v>
      </c>
      <c r="BF61" s="350">
        <v>1135398</v>
      </c>
      <c r="BG61" s="350">
        <v>0</v>
      </c>
      <c r="BH61" s="350">
        <v>1992398</v>
      </c>
      <c r="BI61" s="350">
        <v>0</v>
      </c>
      <c r="BJ61" s="350">
        <v>727548</v>
      </c>
      <c r="BK61" s="350">
        <v>2375716</v>
      </c>
      <c r="BL61" s="350">
        <v>0</v>
      </c>
      <c r="BM61" s="350">
        <v>0</v>
      </c>
      <c r="BN61" s="350">
        <v>1315419</v>
      </c>
      <c r="BO61" s="350">
        <v>226104</v>
      </c>
      <c r="BP61" s="350">
        <v>392531</v>
      </c>
      <c r="BQ61" s="350">
        <v>0</v>
      </c>
      <c r="BR61" s="350">
        <v>625941</v>
      </c>
      <c r="BS61" s="350">
        <v>0</v>
      </c>
      <c r="BT61" s="350">
        <v>0</v>
      </c>
      <c r="BU61" s="350">
        <v>0</v>
      </c>
      <c r="BV61" s="350">
        <v>1605859</v>
      </c>
      <c r="BW61" s="350">
        <v>830663</v>
      </c>
      <c r="BX61" s="350">
        <v>787965</v>
      </c>
      <c r="BY61" s="350">
        <v>805815</v>
      </c>
      <c r="BZ61" s="350">
        <v>0</v>
      </c>
      <c r="CA61" s="350">
        <v>0</v>
      </c>
      <c r="CB61" s="350">
        <v>0</v>
      </c>
      <c r="CC61" s="350">
        <v>118108</v>
      </c>
      <c r="CD61" s="25" t="s">
        <v>248</v>
      </c>
      <c r="CE61" s="28">
        <f t="shared" si="4"/>
        <v>59535376</v>
      </c>
      <c r="CF61" s="318">
        <v>0</v>
      </c>
    </row>
    <row r="62" spans="1:84" x14ac:dyDescent="0.35">
      <c r="A62" s="35" t="s">
        <v>11</v>
      </c>
      <c r="B62" s="16"/>
      <c r="C62" s="28">
        <f>ROUND(C47+C48,0)</f>
        <v>427565</v>
      </c>
      <c r="D62" s="28">
        <f t="shared" ref="D62:BO62" si="5">ROUND(D47+D48,0)</f>
        <v>0</v>
      </c>
      <c r="E62" s="28">
        <f t="shared" si="5"/>
        <v>348417</v>
      </c>
      <c r="F62" s="28">
        <f t="shared" si="5"/>
        <v>0</v>
      </c>
      <c r="G62" s="28">
        <f t="shared" si="5"/>
        <v>0</v>
      </c>
      <c r="H62" s="28">
        <f t="shared" si="5"/>
        <v>0</v>
      </c>
      <c r="I62" s="28">
        <f t="shared" si="5"/>
        <v>0</v>
      </c>
      <c r="J62" s="28">
        <f t="shared" si="5"/>
        <v>77867</v>
      </c>
      <c r="K62" s="28">
        <f t="shared" si="5"/>
        <v>0</v>
      </c>
      <c r="L62" s="28">
        <f t="shared" si="5"/>
        <v>8189</v>
      </c>
      <c r="M62" s="28">
        <f t="shared" si="5"/>
        <v>0</v>
      </c>
      <c r="N62" s="28">
        <f t="shared" si="5"/>
        <v>0</v>
      </c>
      <c r="O62" s="28">
        <f t="shared" si="5"/>
        <v>417068</v>
      </c>
      <c r="P62" s="28">
        <f t="shared" si="5"/>
        <v>224008</v>
      </c>
      <c r="Q62" s="28">
        <f t="shared" si="5"/>
        <v>630844</v>
      </c>
      <c r="R62" s="28">
        <f t="shared" si="5"/>
        <v>0</v>
      </c>
      <c r="S62" s="28">
        <f t="shared" si="5"/>
        <v>88249</v>
      </c>
      <c r="T62" s="28">
        <f t="shared" si="5"/>
        <v>0</v>
      </c>
      <c r="U62" s="28">
        <f t="shared" si="5"/>
        <v>507831</v>
      </c>
      <c r="V62" s="28">
        <f t="shared" si="5"/>
        <v>0</v>
      </c>
      <c r="W62" s="28">
        <f t="shared" si="5"/>
        <v>40321</v>
      </c>
      <c r="X62" s="28">
        <f t="shared" si="5"/>
        <v>244353</v>
      </c>
      <c r="Y62" s="28">
        <f t="shared" si="5"/>
        <v>295386</v>
      </c>
      <c r="Z62" s="28">
        <f t="shared" si="5"/>
        <v>0</v>
      </c>
      <c r="AA62" s="28">
        <f t="shared" si="5"/>
        <v>0</v>
      </c>
      <c r="AB62" s="28">
        <f t="shared" si="5"/>
        <v>480578</v>
      </c>
      <c r="AC62" s="28">
        <f t="shared" si="5"/>
        <v>214036</v>
      </c>
      <c r="AD62" s="28">
        <f t="shared" si="5"/>
        <v>0</v>
      </c>
      <c r="AE62" s="28">
        <f t="shared" si="5"/>
        <v>68894</v>
      </c>
      <c r="AF62" s="28">
        <f t="shared" si="5"/>
        <v>0</v>
      </c>
      <c r="AG62" s="28">
        <f t="shared" si="5"/>
        <v>1174809</v>
      </c>
      <c r="AH62" s="28">
        <f t="shared" si="5"/>
        <v>0</v>
      </c>
      <c r="AI62" s="28">
        <f t="shared" si="5"/>
        <v>0</v>
      </c>
      <c r="AJ62" s="28">
        <f t="shared" si="5"/>
        <v>5229223</v>
      </c>
      <c r="AK62" s="28">
        <f t="shared" si="5"/>
        <v>0</v>
      </c>
      <c r="AL62" s="28">
        <f t="shared" si="5"/>
        <v>16366</v>
      </c>
      <c r="AM62" s="28">
        <f t="shared" si="5"/>
        <v>0</v>
      </c>
      <c r="AN62" s="28">
        <f t="shared" si="5"/>
        <v>0</v>
      </c>
      <c r="AO62" s="28">
        <f t="shared" si="5"/>
        <v>170378</v>
      </c>
      <c r="AP62" s="28">
        <f t="shared" si="5"/>
        <v>0</v>
      </c>
      <c r="AQ62" s="28">
        <f t="shared" si="5"/>
        <v>0</v>
      </c>
      <c r="AR62" s="28">
        <f t="shared" si="5"/>
        <v>505559</v>
      </c>
      <c r="AS62" s="28">
        <f t="shared" si="5"/>
        <v>0</v>
      </c>
      <c r="AT62" s="28">
        <f t="shared" si="5"/>
        <v>0</v>
      </c>
      <c r="AU62" s="28">
        <f t="shared" si="5"/>
        <v>0</v>
      </c>
      <c r="AV62" s="28">
        <f t="shared" si="5"/>
        <v>0</v>
      </c>
      <c r="AW62" s="28">
        <f t="shared" si="5"/>
        <v>0</v>
      </c>
      <c r="AX62" s="28">
        <f t="shared" si="5"/>
        <v>0</v>
      </c>
      <c r="AY62" s="28">
        <f t="shared" si="5"/>
        <v>191408</v>
      </c>
      <c r="AZ62" s="28">
        <f t="shared" si="5"/>
        <v>0</v>
      </c>
      <c r="BA62" s="28">
        <f t="shared" si="5"/>
        <v>41893</v>
      </c>
      <c r="BB62" s="28">
        <f t="shared" si="5"/>
        <v>38064</v>
      </c>
      <c r="BC62" s="28">
        <f t="shared" si="5"/>
        <v>0</v>
      </c>
      <c r="BD62" s="28">
        <f t="shared" si="5"/>
        <v>80435</v>
      </c>
      <c r="BE62" s="28">
        <f t="shared" si="5"/>
        <v>188402</v>
      </c>
      <c r="BF62" s="28">
        <f t="shared" si="5"/>
        <v>285340</v>
      </c>
      <c r="BG62" s="28">
        <f t="shared" si="5"/>
        <v>0</v>
      </c>
      <c r="BH62" s="28">
        <f t="shared" si="5"/>
        <v>500715</v>
      </c>
      <c r="BI62" s="28">
        <f t="shared" si="5"/>
        <v>0</v>
      </c>
      <c r="BJ62" s="28">
        <f t="shared" si="5"/>
        <v>182842</v>
      </c>
      <c r="BK62" s="28">
        <f t="shared" si="5"/>
        <v>597047</v>
      </c>
      <c r="BL62" s="28">
        <f t="shared" si="5"/>
        <v>0</v>
      </c>
      <c r="BM62" s="28">
        <f t="shared" si="5"/>
        <v>0</v>
      </c>
      <c r="BN62" s="28">
        <f t="shared" si="5"/>
        <v>330581</v>
      </c>
      <c r="BO62" s="28">
        <f t="shared" si="5"/>
        <v>56823</v>
      </c>
      <c r="BP62" s="28">
        <f t="shared" ref="BP62:CC62" si="6">ROUND(BP47+BP48,0)</f>
        <v>98648</v>
      </c>
      <c r="BQ62" s="28">
        <f t="shared" si="6"/>
        <v>0</v>
      </c>
      <c r="BR62" s="28">
        <f t="shared" si="6"/>
        <v>157307</v>
      </c>
      <c r="BS62" s="28">
        <f t="shared" si="6"/>
        <v>0</v>
      </c>
      <c r="BT62" s="28">
        <f t="shared" si="6"/>
        <v>0</v>
      </c>
      <c r="BU62" s="28">
        <f t="shared" si="6"/>
        <v>0</v>
      </c>
      <c r="BV62" s="28">
        <f t="shared" si="6"/>
        <v>403573</v>
      </c>
      <c r="BW62" s="28">
        <f t="shared" si="6"/>
        <v>208756</v>
      </c>
      <c r="BX62" s="28">
        <f t="shared" si="6"/>
        <v>198026</v>
      </c>
      <c r="BY62" s="28">
        <f t="shared" si="6"/>
        <v>202511</v>
      </c>
      <c r="BZ62" s="28">
        <f t="shared" si="6"/>
        <v>0</v>
      </c>
      <c r="CA62" s="28">
        <f t="shared" si="6"/>
        <v>0</v>
      </c>
      <c r="CB62" s="28">
        <f t="shared" si="6"/>
        <v>0</v>
      </c>
      <c r="CC62" s="28">
        <f t="shared" si="6"/>
        <v>29682</v>
      </c>
      <c r="CD62" s="25" t="s">
        <v>248</v>
      </c>
      <c r="CE62" s="28">
        <f t="shared" si="4"/>
        <v>14961994</v>
      </c>
      <c r="CF62" s="318">
        <v>0</v>
      </c>
    </row>
    <row r="63" spans="1:84" x14ac:dyDescent="0.35">
      <c r="A63" s="35" t="s">
        <v>264</v>
      </c>
      <c r="B63" s="16"/>
      <c r="C63" s="337">
        <v>0</v>
      </c>
      <c r="D63" s="337">
        <v>0</v>
      </c>
      <c r="E63" s="337">
        <v>591662</v>
      </c>
      <c r="F63" s="337">
        <v>0</v>
      </c>
      <c r="G63" s="337">
        <v>0</v>
      </c>
      <c r="H63" s="337">
        <v>0</v>
      </c>
      <c r="I63" s="337">
        <v>0</v>
      </c>
      <c r="J63" s="337">
        <v>0</v>
      </c>
      <c r="K63" s="337">
        <v>0</v>
      </c>
      <c r="L63" s="337">
        <v>13906</v>
      </c>
      <c r="M63" s="337">
        <v>0</v>
      </c>
      <c r="N63" s="337">
        <v>0</v>
      </c>
      <c r="O63" s="337">
        <v>0</v>
      </c>
      <c r="P63" s="338">
        <v>0</v>
      </c>
      <c r="Q63" s="338">
        <v>805905</v>
      </c>
      <c r="R63" s="338">
        <v>0</v>
      </c>
      <c r="S63" s="350">
        <v>0</v>
      </c>
      <c r="T63" s="350">
        <v>0</v>
      </c>
      <c r="U63" s="343">
        <v>4375</v>
      </c>
      <c r="V63" s="338">
        <v>0</v>
      </c>
      <c r="W63" s="338">
        <v>2500</v>
      </c>
      <c r="X63" s="338">
        <v>0</v>
      </c>
      <c r="Y63" s="338">
        <v>-26179</v>
      </c>
      <c r="Z63" s="338">
        <v>0</v>
      </c>
      <c r="AA63" s="338">
        <v>0</v>
      </c>
      <c r="AB63" s="346">
        <v>0</v>
      </c>
      <c r="AC63" s="338">
        <v>23104</v>
      </c>
      <c r="AD63" s="338">
        <v>0</v>
      </c>
      <c r="AE63" s="338">
        <v>0</v>
      </c>
      <c r="AF63" s="338">
        <v>0</v>
      </c>
      <c r="AG63" s="338">
        <v>1203307</v>
      </c>
      <c r="AH63" s="338">
        <v>0</v>
      </c>
      <c r="AI63" s="338">
        <v>0</v>
      </c>
      <c r="AJ63" s="338">
        <v>2357308</v>
      </c>
      <c r="AK63" s="338">
        <v>0</v>
      </c>
      <c r="AL63" s="338">
        <v>5120</v>
      </c>
      <c r="AM63" s="338">
        <v>0</v>
      </c>
      <c r="AN63" s="338">
        <v>0</v>
      </c>
      <c r="AO63" s="338">
        <v>289326</v>
      </c>
      <c r="AP63" s="338">
        <v>0</v>
      </c>
      <c r="AQ63" s="338">
        <v>0</v>
      </c>
      <c r="AR63" s="338">
        <v>0</v>
      </c>
      <c r="AS63" s="338">
        <v>0</v>
      </c>
      <c r="AT63" s="338">
        <v>0</v>
      </c>
      <c r="AU63" s="338">
        <v>0</v>
      </c>
      <c r="AV63" s="350">
        <v>0</v>
      </c>
      <c r="AW63" s="350">
        <v>0</v>
      </c>
      <c r="AX63" s="350">
        <v>0</v>
      </c>
      <c r="AY63" s="338">
        <v>216</v>
      </c>
      <c r="AZ63" s="338">
        <v>0</v>
      </c>
      <c r="BA63" s="350">
        <v>0</v>
      </c>
      <c r="BB63" s="350">
        <v>0</v>
      </c>
      <c r="BC63" s="350">
        <v>0</v>
      </c>
      <c r="BD63" s="350">
        <v>0</v>
      </c>
      <c r="BE63" s="338">
        <v>8</v>
      </c>
      <c r="BF63" s="350">
        <v>0</v>
      </c>
      <c r="BG63" s="350">
        <v>0</v>
      </c>
      <c r="BH63" s="350">
        <v>0</v>
      </c>
      <c r="BI63" s="350">
        <v>0</v>
      </c>
      <c r="BJ63" s="350">
        <v>89652</v>
      </c>
      <c r="BK63" s="350">
        <v>15600</v>
      </c>
      <c r="BL63" s="350">
        <v>0</v>
      </c>
      <c r="BM63" s="350">
        <v>0</v>
      </c>
      <c r="BN63" s="350">
        <v>141385</v>
      </c>
      <c r="BO63" s="350">
        <v>0</v>
      </c>
      <c r="BP63" s="350">
        <v>0</v>
      </c>
      <c r="BQ63" s="350">
        <v>0</v>
      </c>
      <c r="BR63" s="350">
        <v>24548</v>
      </c>
      <c r="BS63" s="350">
        <v>0</v>
      </c>
      <c r="BT63" s="350">
        <v>0</v>
      </c>
      <c r="BU63" s="350">
        <v>0</v>
      </c>
      <c r="BV63" s="350">
        <v>1840</v>
      </c>
      <c r="BW63" s="350">
        <v>0</v>
      </c>
      <c r="BX63" s="350">
        <v>0</v>
      </c>
      <c r="BY63" s="350">
        <v>386</v>
      </c>
      <c r="BZ63" s="350">
        <v>0</v>
      </c>
      <c r="CA63" s="350">
        <v>0</v>
      </c>
      <c r="CB63" s="350">
        <v>0</v>
      </c>
      <c r="CC63" s="350">
        <v>0</v>
      </c>
      <c r="CD63" s="25" t="s">
        <v>248</v>
      </c>
      <c r="CE63" s="28">
        <f t="shared" si="4"/>
        <v>5543969</v>
      </c>
      <c r="CF63" s="318">
        <v>0</v>
      </c>
    </row>
    <row r="64" spans="1:84" x14ac:dyDescent="0.35">
      <c r="A64" s="35" t="s">
        <v>265</v>
      </c>
      <c r="B64" s="16"/>
      <c r="C64" s="337">
        <v>85017</v>
      </c>
      <c r="D64" s="337">
        <v>0</v>
      </c>
      <c r="E64" s="337">
        <v>95311</v>
      </c>
      <c r="F64" s="337">
        <v>0</v>
      </c>
      <c r="G64" s="337">
        <v>0</v>
      </c>
      <c r="H64" s="337">
        <v>0</v>
      </c>
      <c r="I64" s="337">
        <v>0</v>
      </c>
      <c r="J64" s="337">
        <v>21735</v>
      </c>
      <c r="K64" s="337">
        <v>0</v>
      </c>
      <c r="L64" s="337">
        <v>2240</v>
      </c>
      <c r="M64" s="337">
        <v>0</v>
      </c>
      <c r="N64" s="337">
        <v>0</v>
      </c>
      <c r="O64" s="337">
        <v>116415</v>
      </c>
      <c r="P64" s="338">
        <v>5593495</v>
      </c>
      <c r="Q64" s="338">
        <v>490006</v>
      </c>
      <c r="R64" s="338">
        <v>0</v>
      </c>
      <c r="S64" s="350">
        <v>183324</v>
      </c>
      <c r="T64" s="350">
        <v>0</v>
      </c>
      <c r="U64" s="343">
        <v>2124985</v>
      </c>
      <c r="V64" s="338">
        <v>0</v>
      </c>
      <c r="W64" s="338">
        <v>14634</v>
      </c>
      <c r="X64" s="338">
        <v>57377</v>
      </c>
      <c r="Y64" s="338">
        <v>65349</v>
      </c>
      <c r="Z64" s="338">
        <v>0</v>
      </c>
      <c r="AA64" s="338">
        <v>0</v>
      </c>
      <c r="AB64" s="346">
        <v>3621906</v>
      </c>
      <c r="AC64" s="338">
        <v>71116</v>
      </c>
      <c r="AD64" s="338">
        <v>0</v>
      </c>
      <c r="AE64" s="338">
        <v>17585</v>
      </c>
      <c r="AF64" s="338">
        <v>0</v>
      </c>
      <c r="AG64" s="338">
        <v>353735</v>
      </c>
      <c r="AH64" s="338">
        <v>0</v>
      </c>
      <c r="AI64" s="338">
        <v>0</v>
      </c>
      <c r="AJ64" s="338">
        <v>734747</v>
      </c>
      <c r="AK64" s="338">
        <v>11929</v>
      </c>
      <c r="AL64" s="338">
        <v>3734</v>
      </c>
      <c r="AM64" s="338">
        <v>0</v>
      </c>
      <c r="AN64" s="338">
        <v>0</v>
      </c>
      <c r="AO64" s="338">
        <v>46608</v>
      </c>
      <c r="AP64" s="338">
        <v>0</v>
      </c>
      <c r="AQ64" s="338">
        <v>0</v>
      </c>
      <c r="AR64" s="338">
        <f>77796+53129</f>
        <v>130925</v>
      </c>
      <c r="AS64" s="338">
        <v>0</v>
      </c>
      <c r="AT64" s="338">
        <v>0</v>
      </c>
      <c r="AU64" s="338">
        <v>0</v>
      </c>
      <c r="AV64" s="350">
        <v>0</v>
      </c>
      <c r="AW64" s="350">
        <v>0</v>
      </c>
      <c r="AX64" s="350">
        <v>0</v>
      </c>
      <c r="AY64" s="338">
        <v>411676</v>
      </c>
      <c r="AZ64" s="338">
        <v>0</v>
      </c>
      <c r="BA64" s="350">
        <v>10</v>
      </c>
      <c r="BB64" s="350">
        <v>302</v>
      </c>
      <c r="BC64" s="350">
        <v>0</v>
      </c>
      <c r="BD64" s="350">
        <v>-13186</v>
      </c>
      <c r="BE64" s="338">
        <v>66923</v>
      </c>
      <c r="BF64" s="350">
        <v>317652</v>
      </c>
      <c r="BG64" s="350">
        <v>0</v>
      </c>
      <c r="BH64" s="350">
        <v>473437</v>
      </c>
      <c r="BI64" s="350">
        <v>0</v>
      </c>
      <c r="BJ64" s="350">
        <v>10177</v>
      </c>
      <c r="BK64" s="350">
        <v>30398</v>
      </c>
      <c r="BL64" s="350">
        <v>0</v>
      </c>
      <c r="BM64" s="350">
        <v>0</v>
      </c>
      <c r="BN64" s="350">
        <v>13840</v>
      </c>
      <c r="BO64" s="350">
        <v>13141</v>
      </c>
      <c r="BP64" s="350">
        <v>22551</v>
      </c>
      <c r="BQ64" s="350">
        <v>0</v>
      </c>
      <c r="BR64" s="350">
        <v>13888</v>
      </c>
      <c r="BS64" s="350">
        <v>0</v>
      </c>
      <c r="BT64" s="350">
        <v>0</v>
      </c>
      <c r="BU64" s="350">
        <v>0</v>
      </c>
      <c r="BV64" s="350">
        <v>11346</v>
      </c>
      <c r="BW64" s="350">
        <v>2450</v>
      </c>
      <c r="BX64" s="350">
        <v>3735</v>
      </c>
      <c r="BY64" s="350">
        <v>5983</v>
      </c>
      <c r="BZ64" s="350">
        <v>0</v>
      </c>
      <c r="CA64" s="350">
        <v>0</v>
      </c>
      <c r="CB64" s="350">
        <v>0</v>
      </c>
      <c r="CC64" s="350">
        <v>25450</v>
      </c>
      <c r="CD64" s="25" t="s">
        <v>248</v>
      </c>
      <c r="CE64" s="28">
        <f t="shared" si="4"/>
        <v>15251946</v>
      </c>
      <c r="CF64" s="318">
        <v>0</v>
      </c>
    </row>
    <row r="65" spans="1:84" x14ac:dyDescent="0.35">
      <c r="A65" s="35" t="s">
        <v>266</v>
      </c>
      <c r="B65" s="16"/>
      <c r="C65" s="337">
        <v>0</v>
      </c>
      <c r="D65" s="337">
        <v>0</v>
      </c>
      <c r="E65" s="337">
        <v>0</v>
      </c>
      <c r="F65" s="337">
        <v>0</v>
      </c>
      <c r="G65" s="337">
        <v>0</v>
      </c>
      <c r="H65" s="337">
        <v>0</v>
      </c>
      <c r="I65" s="337">
        <v>0</v>
      </c>
      <c r="J65" s="337">
        <v>0</v>
      </c>
      <c r="K65" s="337">
        <v>0</v>
      </c>
      <c r="L65" s="337">
        <v>0</v>
      </c>
      <c r="M65" s="337">
        <v>0</v>
      </c>
      <c r="N65" s="337">
        <v>0</v>
      </c>
      <c r="O65" s="337">
        <v>0</v>
      </c>
      <c r="P65" s="338">
        <v>2919</v>
      </c>
      <c r="Q65" s="338">
        <v>3390</v>
      </c>
      <c r="R65" s="338">
        <v>0</v>
      </c>
      <c r="S65" s="350">
        <v>0</v>
      </c>
      <c r="T65" s="350">
        <v>0</v>
      </c>
      <c r="U65" s="343">
        <v>0</v>
      </c>
      <c r="V65" s="338">
        <v>0</v>
      </c>
      <c r="W65" s="338">
        <v>0</v>
      </c>
      <c r="X65" s="338">
        <v>0</v>
      </c>
      <c r="Y65" s="338">
        <v>0</v>
      </c>
      <c r="Z65" s="338">
        <v>0</v>
      </c>
      <c r="AA65" s="338">
        <v>0</v>
      </c>
      <c r="AB65" s="346">
        <v>0</v>
      </c>
      <c r="AC65" s="338">
        <v>0</v>
      </c>
      <c r="AD65" s="338">
        <v>0</v>
      </c>
      <c r="AE65" s="338">
        <v>0</v>
      </c>
      <c r="AF65" s="338">
        <v>0</v>
      </c>
      <c r="AG65" s="338">
        <v>0</v>
      </c>
      <c r="AH65" s="338">
        <v>0</v>
      </c>
      <c r="AI65" s="338">
        <v>0</v>
      </c>
      <c r="AJ65" s="338">
        <v>255070</v>
      </c>
      <c r="AK65" s="338">
        <v>0</v>
      </c>
      <c r="AL65" s="338">
        <v>0</v>
      </c>
      <c r="AM65" s="338">
        <v>0</v>
      </c>
      <c r="AN65" s="338">
        <v>0</v>
      </c>
      <c r="AO65" s="338">
        <v>0</v>
      </c>
      <c r="AP65" s="338">
        <v>0</v>
      </c>
      <c r="AQ65" s="338">
        <v>0</v>
      </c>
      <c r="AR65" s="338">
        <v>0</v>
      </c>
      <c r="AS65" s="338">
        <v>0</v>
      </c>
      <c r="AT65" s="338">
        <v>0</v>
      </c>
      <c r="AU65" s="338">
        <v>0</v>
      </c>
      <c r="AV65" s="350">
        <v>0</v>
      </c>
      <c r="AW65" s="350">
        <v>0</v>
      </c>
      <c r="AX65" s="350">
        <v>0</v>
      </c>
      <c r="AY65" s="338">
        <v>0</v>
      </c>
      <c r="AZ65" s="338">
        <v>0</v>
      </c>
      <c r="BA65" s="350">
        <v>0</v>
      </c>
      <c r="BB65" s="350">
        <v>0</v>
      </c>
      <c r="BC65" s="350">
        <v>0</v>
      </c>
      <c r="BD65" s="350">
        <v>0</v>
      </c>
      <c r="BE65" s="338">
        <v>677458</v>
      </c>
      <c r="BF65" s="350">
        <v>0</v>
      </c>
      <c r="BG65" s="350">
        <v>0</v>
      </c>
      <c r="BH65" s="350">
        <v>421181</v>
      </c>
      <c r="BI65" s="350">
        <v>0</v>
      </c>
      <c r="BJ65" s="350">
        <v>0</v>
      </c>
      <c r="BK65" s="350">
        <v>0</v>
      </c>
      <c r="BL65" s="350">
        <v>0</v>
      </c>
      <c r="BM65" s="350">
        <v>0</v>
      </c>
      <c r="BN65" s="350">
        <v>-1</v>
      </c>
      <c r="BO65" s="350">
        <v>0</v>
      </c>
      <c r="BP65" s="350">
        <v>0</v>
      </c>
      <c r="BQ65" s="350">
        <v>0</v>
      </c>
      <c r="BR65" s="350">
        <v>0</v>
      </c>
      <c r="BS65" s="350">
        <v>0</v>
      </c>
      <c r="BT65" s="350">
        <v>0</v>
      </c>
      <c r="BU65" s="350">
        <v>0</v>
      </c>
      <c r="BV65" s="350">
        <v>0</v>
      </c>
      <c r="BW65" s="350">
        <v>0</v>
      </c>
      <c r="BX65" s="350">
        <v>0</v>
      </c>
      <c r="BY65" s="350">
        <v>0</v>
      </c>
      <c r="BZ65" s="350">
        <v>0</v>
      </c>
      <c r="CA65" s="350">
        <v>0</v>
      </c>
      <c r="CB65" s="350">
        <v>0</v>
      </c>
      <c r="CC65" s="350">
        <v>0</v>
      </c>
      <c r="CD65" s="25" t="s">
        <v>248</v>
      </c>
      <c r="CE65" s="28">
        <f t="shared" si="4"/>
        <v>1360017</v>
      </c>
      <c r="CF65" s="318">
        <v>0</v>
      </c>
    </row>
    <row r="66" spans="1:84" x14ac:dyDescent="0.35">
      <c r="A66" s="35" t="s">
        <v>267</v>
      </c>
      <c r="B66" s="16"/>
      <c r="C66" s="337">
        <v>186946</v>
      </c>
      <c r="D66" s="337">
        <v>0</v>
      </c>
      <c r="E66" s="337">
        <v>422996</v>
      </c>
      <c r="F66" s="337">
        <v>0</v>
      </c>
      <c r="G66" s="337">
        <v>0</v>
      </c>
      <c r="H66" s="337">
        <v>0</v>
      </c>
      <c r="I66" s="337">
        <v>0</v>
      </c>
      <c r="J66" s="337">
        <v>29199</v>
      </c>
      <c r="K66" s="337">
        <v>0</v>
      </c>
      <c r="L66" s="337">
        <v>9942</v>
      </c>
      <c r="M66" s="337">
        <v>0</v>
      </c>
      <c r="N66" s="337">
        <v>0</v>
      </c>
      <c r="O66" s="337">
        <v>156397</v>
      </c>
      <c r="P66" s="338">
        <v>745700</v>
      </c>
      <c r="Q66" s="338">
        <v>142666</v>
      </c>
      <c r="R66" s="338">
        <v>0</v>
      </c>
      <c r="S66" s="350">
        <v>10452</v>
      </c>
      <c r="T66" s="350">
        <v>0</v>
      </c>
      <c r="U66" s="343">
        <v>1262191</v>
      </c>
      <c r="V66" s="338">
        <v>0</v>
      </c>
      <c r="W66" s="338">
        <v>-30000</v>
      </c>
      <c r="X66" s="338">
        <v>0</v>
      </c>
      <c r="Y66" s="338">
        <v>729367</v>
      </c>
      <c r="Z66" s="338">
        <v>0</v>
      </c>
      <c r="AA66" s="338">
        <v>0</v>
      </c>
      <c r="AB66" s="346">
        <v>258874</v>
      </c>
      <c r="AC66" s="338">
        <v>46250</v>
      </c>
      <c r="AD66" s="338">
        <v>0</v>
      </c>
      <c r="AE66" s="338">
        <v>1044439</v>
      </c>
      <c r="AF66" s="338">
        <v>0</v>
      </c>
      <c r="AG66" s="338">
        <v>1155771</v>
      </c>
      <c r="AH66" s="338">
        <v>0</v>
      </c>
      <c r="AI66" s="338">
        <v>0</v>
      </c>
      <c r="AJ66" s="338">
        <v>1655135</v>
      </c>
      <c r="AK66" s="338">
        <v>217741</v>
      </c>
      <c r="AL66" s="338">
        <v>189179</v>
      </c>
      <c r="AM66" s="338">
        <v>0</v>
      </c>
      <c r="AN66" s="338">
        <v>0</v>
      </c>
      <c r="AO66" s="338">
        <v>206848</v>
      </c>
      <c r="AP66" s="338">
        <v>0</v>
      </c>
      <c r="AQ66" s="338">
        <v>0</v>
      </c>
      <c r="AR66" s="338">
        <f>340709+128185</f>
        <v>468894</v>
      </c>
      <c r="AS66" s="338">
        <v>0</v>
      </c>
      <c r="AT66" s="338">
        <v>0</v>
      </c>
      <c r="AU66" s="338">
        <v>0</v>
      </c>
      <c r="AV66" s="350">
        <v>0</v>
      </c>
      <c r="AW66" s="350">
        <v>0</v>
      </c>
      <c r="AX66" s="350">
        <v>0</v>
      </c>
      <c r="AY66" s="338">
        <v>5655</v>
      </c>
      <c r="AZ66" s="338">
        <v>0</v>
      </c>
      <c r="BA66" s="350">
        <v>5256</v>
      </c>
      <c r="BB66" s="350">
        <v>7467</v>
      </c>
      <c r="BC66" s="350">
        <v>0</v>
      </c>
      <c r="BD66" s="350">
        <v>169239</v>
      </c>
      <c r="BE66" s="338">
        <v>450224</v>
      </c>
      <c r="BF66" s="350">
        <v>60583</v>
      </c>
      <c r="BG66" s="350">
        <v>0</v>
      </c>
      <c r="BH66" s="350">
        <v>2289371</v>
      </c>
      <c r="BI66" s="350">
        <v>0</v>
      </c>
      <c r="BJ66" s="350">
        <v>352920</v>
      </c>
      <c r="BK66" s="350">
        <v>978260</v>
      </c>
      <c r="BL66" s="350">
        <v>0</v>
      </c>
      <c r="BM66" s="350">
        <v>0</v>
      </c>
      <c r="BN66" s="350">
        <v>71187</v>
      </c>
      <c r="BO66" s="350">
        <v>31893</v>
      </c>
      <c r="BP66" s="350">
        <v>73046</v>
      </c>
      <c r="BQ66" s="350">
        <v>0</v>
      </c>
      <c r="BR66" s="350">
        <v>368013</v>
      </c>
      <c r="BS66" s="350">
        <v>0</v>
      </c>
      <c r="BT66" s="350">
        <v>0</v>
      </c>
      <c r="BU66" s="350">
        <v>0</v>
      </c>
      <c r="BV66" s="350">
        <v>413742</v>
      </c>
      <c r="BW66" s="350">
        <v>65040</v>
      </c>
      <c r="BX66" s="350">
        <v>258695</v>
      </c>
      <c r="BY66" s="350">
        <v>357929</v>
      </c>
      <c r="BZ66" s="350">
        <v>0</v>
      </c>
      <c r="CA66" s="350">
        <v>0</v>
      </c>
      <c r="CB66" s="350">
        <v>0</v>
      </c>
      <c r="CC66" s="350">
        <v>72395</v>
      </c>
      <c r="CD66" s="25" t="s">
        <v>248</v>
      </c>
      <c r="CE66" s="28">
        <f t="shared" si="4"/>
        <v>14939902</v>
      </c>
      <c r="CF66" s="318">
        <v>0</v>
      </c>
    </row>
    <row r="67" spans="1:84" x14ac:dyDescent="0.35">
      <c r="A67" s="35" t="s">
        <v>16</v>
      </c>
      <c r="B67" s="16"/>
      <c r="C67" s="28">
        <f t="shared" ref="C67:BN67" si="7">ROUND(C51+C52,0)</f>
        <v>143165</v>
      </c>
      <c r="D67" s="28">
        <f t="shared" si="7"/>
        <v>0</v>
      </c>
      <c r="E67" s="28">
        <f t="shared" si="7"/>
        <v>409232</v>
      </c>
      <c r="F67" s="28">
        <f t="shared" si="7"/>
        <v>0</v>
      </c>
      <c r="G67" s="28">
        <f t="shared" si="7"/>
        <v>0</v>
      </c>
      <c r="H67" s="28">
        <f t="shared" si="7"/>
        <v>0</v>
      </c>
      <c r="I67" s="28">
        <f t="shared" si="7"/>
        <v>0</v>
      </c>
      <c r="J67" s="28">
        <f t="shared" si="7"/>
        <v>12453</v>
      </c>
      <c r="K67" s="28">
        <f t="shared" si="7"/>
        <v>0</v>
      </c>
      <c r="L67" s="28">
        <f t="shared" si="7"/>
        <v>9637</v>
      </c>
      <c r="M67" s="28">
        <f t="shared" si="7"/>
        <v>0</v>
      </c>
      <c r="N67" s="28">
        <f t="shared" si="7"/>
        <v>0</v>
      </c>
      <c r="O67" s="28">
        <f t="shared" si="7"/>
        <v>141435</v>
      </c>
      <c r="P67" s="28">
        <f t="shared" si="7"/>
        <v>549876</v>
      </c>
      <c r="Q67" s="28">
        <f t="shared" si="7"/>
        <v>50011</v>
      </c>
      <c r="R67" s="28">
        <f t="shared" si="7"/>
        <v>0</v>
      </c>
      <c r="S67" s="28">
        <f t="shared" si="7"/>
        <v>0</v>
      </c>
      <c r="T67" s="28">
        <f t="shared" si="7"/>
        <v>0</v>
      </c>
      <c r="U67" s="28">
        <f t="shared" si="7"/>
        <v>199650</v>
      </c>
      <c r="V67" s="28">
        <f t="shared" si="7"/>
        <v>0</v>
      </c>
      <c r="W67" s="28">
        <f t="shared" si="7"/>
        <v>14578</v>
      </c>
      <c r="X67" s="28">
        <f t="shared" si="7"/>
        <v>46700</v>
      </c>
      <c r="Y67" s="28">
        <f t="shared" si="7"/>
        <v>183737</v>
      </c>
      <c r="Z67" s="28">
        <f t="shared" si="7"/>
        <v>0</v>
      </c>
      <c r="AA67" s="28">
        <f t="shared" si="7"/>
        <v>0</v>
      </c>
      <c r="AB67" s="28">
        <f t="shared" si="7"/>
        <v>57473</v>
      </c>
      <c r="AC67" s="28">
        <f t="shared" si="7"/>
        <v>51000</v>
      </c>
      <c r="AD67" s="28">
        <f t="shared" si="7"/>
        <v>0</v>
      </c>
      <c r="AE67" s="28">
        <f t="shared" si="7"/>
        <v>0</v>
      </c>
      <c r="AF67" s="28">
        <f t="shared" si="7"/>
        <v>0</v>
      </c>
      <c r="AG67" s="28">
        <f t="shared" si="7"/>
        <v>254998</v>
      </c>
      <c r="AH67" s="28">
        <f t="shared" si="7"/>
        <v>0</v>
      </c>
      <c r="AI67" s="28">
        <f t="shared" si="7"/>
        <v>0</v>
      </c>
      <c r="AJ67" s="28">
        <f t="shared" si="7"/>
        <v>2400490</v>
      </c>
      <c r="AK67" s="28">
        <f t="shared" si="7"/>
        <v>0</v>
      </c>
      <c r="AL67" s="28">
        <f t="shared" si="7"/>
        <v>0</v>
      </c>
      <c r="AM67" s="28">
        <f t="shared" si="7"/>
        <v>0</v>
      </c>
      <c r="AN67" s="28">
        <f t="shared" si="7"/>
        <v>0</v>
      </c>
      <c r="AO67" s="28">
        <f t="shared" si="7"/>
        <v>200094</v>
      </c>
      <c r="AP67" s="28">
        <f t="shared" si="7"/>
        <v>0</v>
      </c>
      <c r="AQ67" s="28">
        <f t="shared" si="7"/>
        <v>0</v>
      </c>
      <c r="AR67" s="28">
        <f t="shared" si="7"/>
        <v>68889</v>
      </c>
      <c r="AS67" s="28">
        <f t="shared" si="7"/>
        <v>0</v>
      </c>
      <c r="AT67" s="28">
        <f t="shared" si="7"/>
        <v>0</v>
      </c>
      <c r="AU67" s="28">
        <f t="shared" si="7"/>
        <v>0</v>
      </c>
      <c r="AV67" s="28">
        <f t="shared" si="7"/>
        <v>0</v>
      </c>
      <c r="AW67" s="28">
        <f t="shared" si="7"/>
        <v>0</v>
      </c>
      <c r="AX67" s="28">
        <f t="shared" si="7"/>
        <v>0</v>
      </c>
      <c r="AY67" s="28">
        <f t="shared" si="7"/>
        <v>131107</v>
      </c>
      <c r="AZ67" s="28">
        <f t="shared" si="7"/>
        <v>84604</v>
      </c>
      <c r="BA67" s="28">
        <f t="shared" si="7"/>
        <v>42253</v>
      </c>
      <c r="BB67" s="28">
        <f t="shared" si="7"/>
        <v>10674</v>
      </c>
      <c r="BC67" s="28">
        <f t="shared" si="7"/>
        <v>0</v>
      </c>
      <c r="BD67" s="28">
        <f t="shared" si="7"/>
        <v>154976</v>
      </c>
      <c r="BE67" s="28">
        <f t="shared" si="7"/>
        <v>175978</v>
      </c>
      <c r="BF67" s="28">
        <f t="shared" si="7"/>
        <v>16950</v>
      </c>
      <c r="BG67" s="28">
        <f t="shared" si="7"/>
        <v>0</v>
      </c>
      <c r="BH67" s="28">
        <f t="shared" si="7"/>
        <v>170789</v>
      </c>
      <c r="BI67" s="28">
        <f t="shared" si="7"/>
        <v>24907</v>
      </c>
      <c r="BJ67" s="28">
        <f t="shared" si="7"/>
        <v>0</v>
      </c>
      <c r="BK67" s="28">
        <f t="shared" si="7"/>
        <v>334314</v>
      </c>
      <c r="BL67" s="28">
        <f t="shared" si="7"/>
        <v>0</v>
      </c>
      <c r="BM67" s="28">
        <f t="shared" si="7"/>
        <v>0</v>
      </c>
      <c r="BN67" s="28">
        <f t="shared" si="7"/>
        <v>792915</v>
      </c>
      <c r="BO67" s="28">
        <f t="shared" ref="BO67:CC67" si="8">ROUND(BO51+BO52,0)</f>
        <v>0</v>
      </c>
      <c r="BP67" s="28">
        <f t="shared" si="8"/>
        <v>0</v>
      </c>
      <c r="BQ67" s="28">
        <f t="shared" si="8"/>
        <v>0</v>
      </c>
      <c r="BR67" s="28">
        <f t="shared" si="8"/>
        <v>94735</v>
      </c>
      <c r="BS67" s="28">
        <f t="shared" si="8"/>
        <v>0</v>
      </c>
      <c r="BT67" s="28">
        <f t="shared" si="8"/>
        <v>0</v>
      </c>
      <c r="BU67" s="28">
        <f t="shared" si="8"/>
        <v>0</v>
      </c>
      <c r="BV67" s="28">
        <f t="shared" si="8"/>
        <v>88113</v>
      </c>
      <c r="BW67" s="28">
        <f t="shared" si="8"/>
        <v>0</v>
      </c>
      <c r="BX67" s="28">
        <f t="shared" si="8"/>
        <v>0</v>
      </c>
      <c r="BY67" s="28">
        <f t="shared" si="8"/>
        <v>298832</v>
      </c>
      <c r="BZ67" s="28">
        <f t="shared" si="8"/>
        <v>0</v>
      </c>
      <c r="CA67" s="28">
        <f t="shared" si="8"/>
        <v>0</v>
      </c>
      <c r="CB67" s="28">
        <f t="shared" si="8"/>
        <v>0</v>
      </c>
      <c r="CC67" s="28">
        <f t="shared" si="8"/>
        <v>0</v>
      </c>
      <c r="CD67" s="25" t="s">
        <v>248</v>
      </c>
      <c r="CE67" s="28">
        <f t="shared" si="4"/>
        <v>7214565</v>
      </c>
      <c r="CF67" s="318">
        <v>0</v>
      </c>
    </row>
    <row r="68" spans="1:84" x14ac:dyDescent="0.35">
      <c r="A68" s="35" t="s">
        <v>268</v>
      </c>
      <c r="B68" s="28"/>
      <c r="C68" s="337">
        <v>0</v>
      </c>
      <c r="D68" s="337">
        <v>0</v>
      </c>
      <c r="E68" s="337">
        <v>0</v>
      </c>
      <c r="F68" s="337">
        <v>0</v>
      </c>
      <c r="G68" s="337">
        <v>0</v>
      </c>
      <c r="H68" s="337">
        <v>0</v>
      </c>
      <c r="I68" s="337">
        <v>0</v>
      </c>
      <c r="J68" s="337">
        <v>0</v>
      </c>
      <c r="K68" s="337">
        <v>0</v>
      </c>
      <c r="L68" s="337">
        <v>0</v>
      </c>
      <c r="M68" s="337">
        <v>0</v>
      </c>
      <c r="N68" s="337">
        <v>0</v>
      </c>
      <c r="O68" s="337">
        <v>0</v>
      </c>
      <c r="P68" s="338">
        <v>14161</v>
      </c>
      <c r="Q68" s="338">
        <v>0</v>
      </c>
      <c r="R68" s="338">
        <v>0</v>
      </c>
      <c r="S68" s="350">
        <v>0</v>
      </c>
      <c r="T68" s="350">
        <v>0</v>
      </c>
      <c r="U68" s="343">
        <v>976</v>
      </c>
      <c r="V68" s="338">
        <v>0</v>
      </c>
      <c r="W68" s="338">
        <v>107532</v>
      </c>
      <c r="X68" s="338">
        <v>0</v>
      </c>
      <c r="Y68" s="338">
        <v>13896</v>
      </c>
      <c r="Z68" s="338">
        <v>0</v>
      </c>
      <c r="AA68" s="338">
        <v>0</v>
      </c>
      <c r="AB68" s="346">
        <v>-2575</v>
      </c>
      <c r="AC68" s="338">
        <v>9958</v>
      </c>
      <c r="AD68" s="338">
        <v>0</v>
      </c>
      <c r="AE68" s="338">
        <v>0</v>
      </c>
      <c r="AF68" s="338">
        <v>0</v>
      </c>
      <c r="AG68" s="338">
        <v>0</v>
      </c>
      <c r="AH68" s="338">
        <v>0</v>
      </c>
      <c r="AI68" s="338">
        <v>0</v>
      </c>
      <c r="AJ68" s="338">
        <v>16402</v>
      </c>
      <c r="AK68" s="338">
        <v>0</v>
      </c>
      <c r="AL68" s="338">
        <v>0</v>
      </c>
      <c r="AM68" s="338">
        <v>0</v>
      </c>
      <c r="AN68" s="338">
        <v>0</v>
      </c>
      <c r="AO68" s="338">
        <v>0</v>
      </c>
      <c r="AP68" s="338">
        <v>0</v>
      </c>
      <c r="AQ68" s="338">
        <v>0</v>
      </c>
      <c r="AR68" s="338">
        <v>55817</v>
      </c>
      <c r="AS68" s="338">
        <v>0</v>
      </c>
      <c r="AT68" s="338">
        <v>0</v>
      </c>
      <c r="AU68" s="338">
        <v>0</v>
      </c>
      <c r="AV68" s="350">
        <v>0</v>
      </c>
      <c r="AW68" s="350">
        <v>0</v>
      </c>
      <c r="AX68" s="350">
        <v>0</v>
      </c>
      <c r="AY68" s="338">
        <v>1567</v>
      </c>
      <c r="AZ68" s="338">
        <v>0</v>
      </c>
      <c r="BA68" s="350">
        <v>0</v>
      </c>
      <c r="BB68" s="350">
        <v>0</v>
      </c>
      <c r="BC68" s="350">
        <v>0</v>
      </c>
      <c r="BD68" s="350">
        <v>0</v>
      </c>
      <c r="BE68" s="338">
        <v>3637</v>
      </c>
      <c r="BF68" s="350">
        <v>0</v>
      </c>
      <c r="BG68" s="350">
        <v>0</v>
      </c>
      <c r="BH68" s="350">
        <v>0</v>
      </c>
      <c r="BI68" s="350">
        <v>0</v>
      </c>
      <c r="BJ68" s="350">
        <v>0</v>
      </c>
      <c r="BK68" s="350">
        <v>6322</v>
      </c>
      <c r="BL68" s="350">
        <v>0</v>
      </c>
      <c r="BM68" s="350">
        <v>0</v>
      </c>
      <c r="BN68" s="350">
        <v>0</v>
      </c>
      <c r="BO68" s="350">
        <v>0</v>
      </c>
      <c r="BP68" s="350">
        <v>0</v>
      </c>
      <c r="BQ68" s="350">
        <v>0</v>
      </c>
      <c r="BR68" s="350">
        <v>0</v>
      </c>
      <c r="BS68" s="350">
        <v>0</v>
      </c>
      <c r="BT68" s="350">
        <v>0</v>
      </c>
      <c r="BU68" s="350">
        <v>0</v>
      </c>
      <c r="BV68" s="350">
        <v>0</v>
      </c>
      <c r="BW68" s="350">
        <v>0</v>
      </c>
      <c r="BX68" s="350">
        <v>0</v>
      </c>
      <c r="BY68" s="350">
        <v>0</v>
      </c>
      <c r="BZ68" s="350">
        <v>0</v>
      </c>
      <c r="CA68" s="350">
        <v>0</v>
      </c>
      <c r="CB68" s="350">
        <v>0</v>
      </c>
      <c r="CC68" s="350">
        <v>0</v>
      </c>
      <c r="CD68" s="25" t="s">
        <v>248</v>
      </c>
      <c r="CE68" s="28">
        <f t="shared" si="4"/>
        <v>227693</v>
      </c>
      <c r="CF68" s="318">
        <v>0</v>
      </c>
    </row>
    <row r="69" spans="1:84" x14ac:dyDescent="0.35">
      <c r="A69" s="35" t="s">
        <v>269</v>
      </c>
      <c r="B69" s="16"/>
      <c r="C69" s="28">
        <f t="shared" ref="C69:BN69" si="9">SUM(C70:C83)</f>
        <v>3948</v>
      </c>
      <c r="D69" s="28">
        <f t="shared" si="9"/>
        <v>0</v>
      </c>
      <c r="E69" s="28">
        <f t="shared" si="9"/>
        <v>39940</v>
      </c>
      <c r="F69" s="28">
        <f t="shared" si="9"/>
        <v>0</v>
      </c>
      <c r="G69" s="28">
        <f t="shared" si="9"/>
        <v>0</v>
      </c>
      <c r="H69" s="28">
        <f t="shared" si="9"/>
        <v>0</v>
      </c>
      <c r="I69" s="28">
        <f t="shared" si="9"/>
        <v>0</v>
      </c>
      <c r="J69" s="28">
        <f t="shared" si="9"/>
        <v>2071</v>
      </c>
      <c r="K69" s="28">
        <f t="shared" si="9"/>
        <v>0</v>
      </c>
      <c r="L69" s="28">
        <f t="shared" si="9"/>
        <v>392</v>
      </c>
      <c r="M69" s="28">
        <f t="shared" si="9"/>
        <v>0</v>
      </c>
      <c r="N69" s="28">
        <f t="shared" si="9"/>
        <v>0</v>
      </c>
      <c r="O69" s="28">
        <f t="shared" si="9"/>
        <v>16175</v>
      </c>
      <c r="P69" s="28">
        <f t="shared" si="9"/>
        <v>151413</v>
      </c>
      <c r="Q69" s="28">
        <f t="shared" si="9"/>
        <v>6464</v>
      </c>
      <c r="R69" s="28">
        <f t="shared" si="9"/>
        <v>0</v>
      </c>
      <c r="S69" s="28">
        <f t="shared" si="9"/>
        <v>46677</v>
      </c>
      <c r="T69" s="28">
        <f t="shared" si="9"/>
        <v>0</v>
      </c>
      <c r="U69" s="28">
        <f t="shared" si="9"/>
        <v>195002</v>
      </c>
      <c r="V69" s="28">
        <f t="shared" si="9"/>
        <v>0</v>
      </c>
      <c r="W69" s="28">
        <f t="shared" si="9"/>
        <v>441</v>
      </c>
      <c r="X69" s="28">
        <f t="shared" si="9"/>
        <v>68343</v>
      </c>
      <c r="Y69" s="28">
        <f t="shared" si="9"/>
        <v>447196</v>
      </c>
      <c r="Z69" s="28">
        <f t="shared" si="9"/>
        <v>0</v>
      </c>
      <c r="AA69" s="28">
        <f t="shared" si="9"/>
        <v>0</v>
      </c>
      <c r="AB69" s="28">
        <f t="shared" si="9"/>
        <v>8894</v>
      </c>
      <c r="AC69" s="28">
        <f t="shared" si="9"/>
        <v>37090</v>
      </c>
      <c r="AD69" s="28">
        <f t="shared" si="9"/>
        <v>0</v>
      </c>
      <c r="AE69" s="28">
        <f t="shared" si="9"/>
        <v>13049</v>
      </c>
      <c r="AF69" s="28">
        <f t="shared" si="9"/>
        <v>0</v>
      </c>
      <c r="AG69" s="28">
        <f t="shared" si="9"/>
        <v>106004</v>
      </c>
      <c r="AH69" s="28">
        <f t="shared" si="9"/>
        <v>0</v>
      </c>
      <c r="AI69" s="28">
        <f t="shared" si="9"/>
        <v>0</v>
      </c>
      <c r="AJ69" s="28">
        <f t="shared" si="9"/>
        <v>849682</v>
      </c>
      <c r="AK69" s="28">
        <f t="shared" si="9"/>
        <v>473</v>
      </c>
      <c r="AL69" s="28">
        <f t="shared" si="9"/>
        <v>2184</v>
      </c>
      <c r="AM69" s="28">
        <f t="shared" si="9"/>
        <v>0</v>
      </c>
      <c r="AN69" s="28">
        <f t="shared" si="9"/>
        <v>0</v>
      </c>
      <c r="AO69" s="28">
        <f t="shared" si="9"/>
        <v>8164</v>
      </c>
      <c r="AP69" s="28">
        <f t="shared" si="9"/>
        <v>0</v>
      </c>
      <c r="AQ69" s="28">
        <f t="shared" si="9"/>
        <v>0</v>
      </c>
      <c r="AR69" s="28">
        <f t="shared" si="9"/>
        <v>89877</v>
      </c>
      <c r="AS69" s="28">
        <f t="shared" si="9"/>
        <v>0</v>
      </c>
      <c r="AT69" s="28">
        <f t="shared" si="9"/>
        <v>0</v>
      </c>
      <c r="AU69" s="28">
        <f t="shared" si="9"/>
        <v>0</v>
      </c>
      <c r="AV69" s="28">
        <f t="shared" si="9"/>
        <v>0</v>
      </c>
      <c r="AW69" s="28">
        <f t="shared" si="9"/>
        <v>0</v>
      </c>
      <c r="AX69" s="28">
        <f t="shared" si="9"/>
        <v>0</v>
      </c>
      <c r="AY69" s="28">
        <f t="shared" si="9"/>
        <v>28103</v>
      </c>
      <c r="AZ69" s="28">
        <f t="shared" si="9"/>
        <v>0</v>
      </c>
      <c r="BA69" s="28">
        <f t="shared" si="9"/>
        <v>2595</v>
      </c>
      <c r="BB69" s="28">
        <f t="shared" si="9"/>
        <v>69</v>
      </c>
      <c r="BC69" s="28">
        <f t="shared" si="9"/>
        <v>0</v>
      </c>
      <c r="BD69" s="28">
        <f t="shared" si="9"/>
        <v>140051</v>
      </c>
      <c r="BE69" s="28">
        <f t="shared" si="9"/>
        <v>831334</v>
      </c>
      <c r="BF69" s="28">
        <f t="shared" si="9"/>
        <v>11692</v>
      </c>
      <c r="BG69" s="28">
        <f t="shared" si="9"/>
        <v>0</v>
      </c>
      <c r="BH69" s="28">
        <f t="shared" si="9"/>
        <v>189778</v>
      </c>
      <c r="BI69" s="28">
        <f t="shared" si="9"/>
        <v>0</v>
      </c>
      <c r="BJ69" s="28">
        <f t="shared" si="9"/>
        <v>6911</v>
      </c>
      <c r="BK69" s="28">
        <f t="shared" si="9"/>
        <v>9524</v>
      </c>
      <c r="BL69" s="28">
        <f t="shared" si="9"/>
        <v>0</v>
      </c>
      <c r="BM69" s="28">
        <f t="shared" si="9"/>
        <v>0</v>
      </c>
      <c r="BN69" s="28">
        <f t="shared" si="9"/>
        <v>231047</v>
      </c>
      <c r="BO69" s="28">
        <f t="shared" ref="BO69:CD69" si="10">SUM(BO70:BO83)</f>
        <v>6477</v>
      </c>
      <c r="BP69" s="28">
        <f t="shared" si="10"/>
        <v>334126</v>
      </c>
      <c r="BQ69" s="28">
        <f t="shared" si="10"/>
        <v>0</v>
      </c>
      <c r="BR69" s="28">
        <f t="shared" si="10"/>
        <v>30850</v>
      </c>
      <c r="BS69" s="28">
        <f t="shared" si="10"/>
        <v>0</v>
      </c>
      <c r="BT69" s="28">
        <f t="shared" si="10"/>
        <v>0</v>
      </c>
      <c r="BU69" s="28">
        <f t="shared" si="10"/>
        <v>0</v>
      </c>
      <c r="BV69" s="28">
        <f t="shared" si="10"/>
        <v>42383</v>
      </c>
      <c r="BW69" s="28">
        <f t="shared" si="10"/>
        <v>262297</v>
      </c>
      <c r="BX69" s="28">
        <f t="shared" si="10"/>
        <v>25944</v>
      </c>
      <c r="BY69" s="28">
        <f t="shared" si="10"/>
        <v>70251</v>
      </c>
      <c r="BZ69" s="28">
        <f t="shared" si="10"/>
        <v>0</v>
      </c>
      <c r="CA69" s="28">
        <f t="shared" si="10"/>
        <v>0</v>
      </c>
      <c r="CB69" s="28">
        <f t="shared" si="10"/>
        <v>0</v>
      </c>
      <c r="CC69" s="28">
        <f t="shared" si="10"/>
        <v>870292</v>
      </c>
      <c r="CD69" s="28">
        <f t="shared" si="10"/>
        <v>4592637</v>
      </c>
      <c r="CE69" s="28">
        <f>SUM(CE70:CE83)</f>
        <v>9779840</v>
      </c>
      <c r="CF69" s="318">
        <v>0</v>
      </c>
    </row>
    <row r="70" spans="1:84" x14ac:dyDescent="0.35">
      <c r="A70" s="29" t="s">
        <v>270</v>
      </c>
      <c r="B70" s="30"/>
      <c r="C70" s="351">
        <v>0</v>
      </c>
      <c r="D70" s="351">
        <v>0</v>
      </c>
      <c r="E70" s="351">
        <v>0</v>
      </c>
      <c r="F70" s="351">
        <v>0</v>
      </c>
      <c r="G70" s="351">
        <v>0</v>
      </c>
      <c r="H70" s="351">
        <v>0</v>
      </c>
      <c r="I70" s="351">
        <v>0</v>
      </c>
      <c r="J70" s="351">
        <v>0</v>
      </c>
      <c r="K70" s="351">
        <v>0</v>
      </c>
      <c r="L70" s="351">
        <v>0</v>
      </c>
      <c r="M70" s="351">
        <v>0</v>
      </c>
      <c r="N70" s="351">
        <v>0</v>
      </c>
      <c r="O70" s="351">
        <v>0</v>
      </c>
      <c r="P70" s="351">
        <v>0</v>
      </c>
      <c r="Q70" s="351">
        <v>0</v>
      </c>
      <c r="R70" s="351">
        <v>0</v>
      </c>
      <c r="S70" s="351">
        <v>0</v>
      </c>
      <c r="T70" s="351">
        <v>0</v>
      </c>
      <c r="U70" s="351">
        <v>0</v>
      </c>
      <c r="V70" s="351">
        <v>0</v>
      </c>
      <c r="W70" s="351">
        <v>0</v>
      </c>
      <c r="X70" s="351">
        <v>0</v>
      </c>
      <c r="Y70" s="351">
        <v>0</v>
      </c>
      <c r="Z70" s="351">
        <v>0</v>
      </c>
      <c r="AA70" s="351">
        <v>0</v>
      </c>
      <c r="AB70" s="351">
        <v>0</v>
      </c>
      <c r="AC70" s="351">
        <v>0</v>
      </c>
      <c r="AD70" s="351">
        <v>0</v>
      </c>
      <c r="AE70" s="351">
        <v>0</v>
      </c>
      <c r="AF70" s="351">
        <v>0</v>
      </c>
      <c r="AG70" s="351">
        <v>0</v>
      </c>
      <c r="AH70" s="351">
        <v>0</v>
      </c>
      <c r="AI70" s="351">
        <v>0</v>
      </c>
      <c r="AJ70" s="351">
        <v>0</v>
      </c>
      <c r="AK70" s="351">
        <v>0</v>
      </c>
      <c r="AL70" s="351">
        <v>0</v>
      </c>
      <c r="AM70" s="351">
        <v>0</v>
      </c>
      <c r="AN70" s="351">
        <v>0</v>
      </c>
      <c r="AO70" s="351">
        <v>0</v>
      </c>
      <c r="AP70" s="351">
        <v>0</v>
      </c>
      <c r="AQ70" s="351">
        <v>0</v>
      </c>
      <c r="AR70" s="351">
        <v>0</v>
      </c>
      <c r="AS70" s="351">
        <v>0</v>
      </c>
      <c r="AT70" s="351">
        <v>0</v>
      </c>
      <c r="AU70" s="351">
        <v>0</v>
      </c>
      <c r="AV70" s="351">
        <v>0</v>
      </c>
      <c r="AW70" s="351">
        <v>0</v>
      </c>
      <c r="AX70" s="351">
        <v>0</v>
      </c>
      <c r="AY70" s="351">
        <v>0</v>
      </c>
      <c r="AZ70" s="351">
        <v>0</v>
      </c>
      <c r="BA70" s="351">
        <v>0</v>
      </c>
      <c r="BB70" s="351">
        <v>0</v>
      </c>
      <c r="BC70" s="351">
        <v>0</v>
      </c>
      <c r="BD70" s="351">
        <v>0</v>
      </c>
      <c r="BE70" s="351">
        <v>0</v>
      </c>
      <c r="BF70" s="351">
        <v>0</v>
      </c>
      <c r="BG70" s="351">
        <v>0</v>
      </c>
      <c r="BH70" s="351">
        <v>0</v>
      </c>
      <c r="BI70" s="351">
        <v>0</v>
      </c>
      <c r="BJ70" s="351">
        <v>0</v>
      </c>
      <c r="BK70" s="351">
        <v>0</v>
      </c>
      <c r="BL70" s="351">
        <v>0</v>
      </c>
      <c r="BM70" s="351">
        <v>0</v>
      </c>
      <c r="BN70" s="351">
        <v>0</v>
      </c>
      <c r="BO70" s="351">
        <v>0</v>
      </c>
      <c r="BP70" s="351">
        <v>0</v>
      </c>
      <c r="BQ70" s="351">
        <v>0</v>
      </c>
      <c r="BR70" s="351">
        <v>0</v>
      </c>
      <c r="BS70" s="351">
        <v>0</v>
      </c>
      <c r="BT70" s="351">
        <v>0</v>
      </c>
      <c r="BU70" s="351">
        <v>0</v>
      </c>
      <c r="BV70" s="351">
        <v>0</v>
      </c>
      <c r="BW70" s="351">
        <v>0</v>
      </c>
      <c r="BX70" s="351">
        <v>0</v>
      </c>
      <c r="BY70" s="351">
        <v>0</v>
      </c>
      <c r="BZ70" s="351">
        <v>0</v>
      </c>
      <c r="CA70" s="351">
        <v>0</v>
      </c>
      <c r="CB70" s="351">
        <v>0</v>
      </c>
      <c r="CC70" s="351">
        <v>0</v>
      </c>
      <c r="CD70" s="351">
        <v>0</v>
      </c>
      <c r="CE70" s="28">
        <f>SUM(C70:CD70)</f>
        <v>0</v>
      </c>
      <c r="CF70" s="318">
        <v>0</v>
      </c>
    </row>
    <row r="71" spans="1:84" x14ac:dyDescent="0.35">
      <c r="A71" s="29" t="s">
        <v>271</v>
      </c>
      <c r="B71" s="30"/>
      <c r="C71" s="351">
        <v>0</v>
      </c>
      <c r="D71" s="351">
        <v>0</v>
      </c>
      <c r="E71" s="351">
        <v>0</v>
      </c>
      <c r="F71" s="351">
        <v>0</v>
      </c>
      <c r="G71" s="351">
        <v>0</v>
      </c>
      <c r="H71" s="351">
        <v>0</v>
      </c>
      <c r="I71" s="351">
        <v>0</v>
      </c>
      <c r="J71" s="351">
        <v>0</v>
      </c>
      <c r="K71" s="351">
        <v>0</v>
      </c>
      <c r="L71" s="351">
        <v>0</v>
      </c>
      <c r="M71" s="351">
        <v>0</v>
      </c>
      <c r="N71" s="351">
        <v>0</v>
      </c>
      <c r="O71" s="351">
        <v>0</v>
      </c>
      <c r="P71" s="351">
        <v>0</v>
      </c>
      <c r="Q71" s="351">
        <v>0</v>
      </c>
      <c r="R71" s="351">
        <v>0</v>
      </c>
      <c r="S71" s="351">
        <v>0</v>
      </c>
      <c r="T71" s="351">
        <v>0</v>
      </c>
      <c r="U71" s="351">
        <v>0</v>
      </c>
      <c r="V71" s="351">
        <v>0</v>
      </c>
      <c r="W71" s="351">
        <v>0</v>
      </c>
      <c r="X71" s="351">
        <v>0</v>
      </c>
      <c r="Y71" s="351">
        <v>0</v>
      </c>
      <c r="Z71" s="351">
        <v>0</v>
      </c>
      <c r="AA71" s="351">
        <v>0</v>
      </c>
      <c r="AB71" s="351">
        <v>0</v>
      </c>
      <c r="AC71" s="351">
        <v>0</v>
      </c>
      <c r="AD71" s="351">
        <v>0</v>
      </c>
      <c r="AE71" s="351">
        <v>0</v>
      </c>
      <c r="AF71" s="351">
        <v>0</v>
      </c>
      <c r="AG71" s="351">
        <v>0</v>
      </c>
      <c r="AH71" s="351">
        <v>0</v>
      </c>
      <c r="AI71" s="351">
        <v>0</v>
      </c>
      <c r="AJ71" s="351">
        <v>0</v>
      </c>
      <c r="AK71" s="351">
        <v>0</v>
      </c>
      <c r="AL71" s="351">
        <v>0</v>
      </c>
      <c r="AM71" s="351">
        <v>0</v>
      </c>
      <c r="AN71" s="351">
        <v>0</v>
      </c>
      <c r="AO71" s="351">
        <v>0</v>
      </c>
      <c r="AP71" s="351">
        <v>0</v>
      </c>
      <c r="AQ71" s="351">
        <v>0</v>
      </c>
      <c r="AR71" s="351">
        <v>0</v>
      </c>
      <c r="AS71" s="351">
        <v>0</v>
      </c>
      <c r="AT71" s="351">
        <v>0</v>
      </c>
      <c r="AU71" s="351">
        <v>0</v>
      </c>
      <c r="AV71" s="351">
        <v>0</v>
      </c>
      <c r="AW71" s="351">
        <v>0</v>
      </c>
      <c r="AX71" s="351">
        <v>0</v>
      </c>
      <c r="AY71" s="351">
        <v>0</v>
      </c>
      <c r="AZ71" s="351">
        <v>0</v>
      </c>
      <c r="BA71" s="351">
        <v>0</v>
      </c>
      <c r="BB71" s="351">
        <v>0</v>
      </c>
      <c r="BC71" s="351">
        <v>0</v>
      </c>
      <c r="BD71" s="351">
        <v>0</v>
      </c>
      <c r="BE71" s="351">
        <v>0</v>
      </c>
      <c r="BF71" s="351">
        <v>0</v>
      </c>
      <c r="BG71" s="351">
        <v>0</v>
      </c>
      <c r="BH71" s="351">
        <v>0</v>
      </c>
      <c r="BI71" s="351">
        <v>0</v>
      </c>
      <c r="BJ71" s="351">
        <v>0</v>
      </c>
      <c r="BK71" s="351">
        <v>0</v>
      </c>
      <c r="BL71" s="351">
        <v>0</v>
      </c>
      <c r="BM71" s="351">
        <v>0</v>
      </c>
      <c r="BN71" s="351">
        <v>0</v>
      </c>
      <c r="BO71" s="351">
        <v>0</v>
      </c>
      <c r="BP71" s="351">
        <v>0</v>
      </c>
      <c r="BQ71" s="351">
        <v>0</v>
      </c>
      <c r="BR71" s="351">
        <v>0</v>
      </c>
      <c r="BS71" s="351">
        <v>0</v>
      </c>
      <c r="BT71" s="351">
        <v>0</v>
      </c>
      <c r="BU71" s="351">
        <v>0</v>
      </c>
      <c r="BV71" s="351">
        <v>0</v>
      </c>
      <c r="BW71" s="351">
        <v>0</v>
      </c>
      <c r="BX71" s="351">
        <v>0</v>
      </c>
      <c r="BY71" s="351">
        <v>0</v>
      </c>
      <c r="BZ71" s="351">
        <v>0</v>
      </c>
      <c r="CA71" s="351">
        <v>0</v>
      </c>
      <c r="CB71" s="351">
        <v>0</v>
      </c>
      <c r="CC71" s="351">
        <v>0</v>
      </c>
      <c r="CD71" s="351">
        <v>0</v>
      </c>
      <c r="CE71" s="28">
        <f t="shared" ref="CE71:CE85" si="11">SUM(C71:CD71)</f>
        <v>0</v>
      </c>
      <c r="CF71" s="318">
        <v>0</v>
      </c>
    </row>
    <row r="72" spans="1:84" x14ac:dyDescent="0.35">
      <c r="A72" s="29" t="s">
        <v>272</v>
      </c>
      <c r="B72" s="30"/>
      <c r="C72" s="351">
        <v>0</v>
      </c>
      <c r="D72" s="351">
        <v>0</v>
      </c>
      <c r="E72" s="351">
        <v>0</v>
      </c>
      <c r="F72" s="351">
        <v>0</v>
      </c>
      <c r="G72" s="351">
        <v>0</v>
      </c>
      <c r="H72" s="351">
        <v>0</v>
      </c>
      <c r="I72" s="351">
        <v>0</v>
      </c>
      <c r="J72" s="351">
        <v>0</v>
      </c>
      <c r="K72" s="351">
        <v>0</v>
      </c>
      <c r="L72" s="351">
        <v>0</v>
      </c>
      <c r="M72" s="351">
        <v>0</v>
      </c>
      <c r="N72" s="351">
        <v>0</v>
      </c>
      <c r="O72" s="351">
        <v>0</v>
      </c>
      <c r="P72" s="351">
        <v>0</v>
      </c>
      <c r="Q72" s="351">
        <v>0</v>
      </c>
      <c r="R72" s="351">
        <v>0</v>
      </c>
      <c r="S72" s="351">
        <v>0</v>
      </c>
      <c r="T72" s="351">
        <v>0</v>
      </c>
      <c r="U72" s="351">
        <v>0</v>
      </c>
      <c r="V72" s="351">
        <v>0</v>
      </c>
      <c r="W72" s="351">
        <v>0</v>
      </c>
      <c r="X72" s="351">
        <v>0</v>
      </c>
      <c r="Y72" s="351">
        <v>0</v>
      </c>
      <c r="Z72" s="351">
        <v>0</v>
      </c>
      <c r="AA72" s="351">
        <v>0</v>
      </c>
      <c r="AB72" s="351">
        <v>0</v>
      </c>
      <c r="AC72" s="351">
        <v>0</v>
      </c>
      <c r="AD72" s="351">
        <v>0</v>
      </c>
      <c r="AE72" s="351">
        <v>0</v>
      </c>
      <c r="AF72" s="351">
        <v>0</v>
      </c>
      <c r="AG72" s="351">
        <v>0</v>
      </c>
      <c r="AH72" s="351">
        <v>0</v>
      </c>
      <c r="AI72" s="351">
        <v>0</v>
      </c>
      <c r="AJ72" s="351">
        <v>0</v>
      </c>
      <c r="AK72" s="351">
        <v>0</v>
      </c>
      <c r="AL72" s="351">
        <v>0</v>
      </c>
      <c r="AM72" s="351">
        <v>0</v>
      </c>
      <c r="AN72" s="351">
        <v>0</v>
      </c>
      <c r="AO72" s="351">
        <v>0</v>
      </c>
      <c r="AP72" s="351">
        <v>0</v>
      </c>
      <c r="AQ72" s="351">
        <v>0</v>
      </c>
      <c r="AR72" s="351">
        <v>0</v>
      </c>
      <c r="AS72" s="351">
        <v>0</v>
      </c>
      <c r="AT72" s="351">
        <v>0</v>
      </c>
      <c r="AU72" s="351">
        <v>0</v>
      </c>
      <c r="AV72" s="351">
        <v>0</v>
      </c>
      <c r="AW72" s="351">
        <v>0</v>
      </c>
      <c r="AX72" s="351">
        <v>0</v>
      </c>
      <c r="AY72" s="351">
        <v>0</v>
      </c>
      <c r="AZ72" s="351">
        <v>0</v>
      </c>
      <c r="BA72" s="351">
        <v>0</v>
      </c>
      <c r="BB72" s="351">
        <v>0</v>
      </c>
      <c r="BC72" s="351">
        <v>0</v>
      </c>
      <c r="BD72" s="351">
        <v>0</v>
      </c>
      <c r="BE72" s="351">
        <v>0</v>
      </c>
      <c r="BF72" s="351">
        <v>0</v>
      </c>
      <c r="BG72" s="351">
        <v>0</v>
      </c>
      <c r="BH72" s="351">
        <v>0</v>
      </c>
      <c r="BI72" s="351">
        <v>0</v>
      </c>
      <c r="BJ72" s="351">
        <v>0</v>
      </c>
      <c r="BK72" s="351">
        <v>0</v>
      </c>
      <c r="BL72" s="351">
        <v>0</v>
      </c>
      <c r="BM72" s="351">
        <v>0</v>
      </c>
      <c r="BN72" s="351">
        <v>0</v>
      </c>
      <c r="BO72" s="351">
        <v>0</v>
      </c>
      <c r="BP72" s="351">
        <v>0</v>
      </c>
      <c r="BQ72" s="351">
        <v>0</v>
      </c>
      <c r="BR72" s="351">
        <v>0</v>
      </c>
      <c r="BS72" s="351">
        <v>0</v>
      </c>
      <c r="BT72" s="351">
        <v>0</v>
      </c>
      <c r="BU72" s="351">
        <v>0</v>
      </c>
      <c r="BV72" s="351">
        <v>0</v>
      </c>
      <c r="BW72" s="351">
        <v>0</v>
      </c>
      <c r="BX72" s="351">
        <v>0</v>
      </c>
      <c r="BY72" s="351">
        <v>0</v>
      </c>
      <c r="BZ72" s="351">
        <v>0</v>
      </c>
      <c r="CA72" s="351">
        <v>0</v>
      </c>
      <c r="CB72" s="351">
        <v>0</v>
      </c>
      <c r="CC72" s="351">
        <v>0</v>
      </c>
      <c r="CD72" s="351">
        <v>0</v>
      </c>
      <c r="CE72" s="28">
        <f t="shared" si="11"/>
        <v>0</v>
      </c>
      <c r="CF72" s="318">
        <v>0</v>
      </c>
    </row>
    <row r="73" spans="1:84" x14ac:dyDescent="0.35">
      <c r="A73" s="29" t="s">
        <v>273</v>
      </c>
      <c r="B73" s="30"/>
      <c r="C73" s="351">
        <v>0</v>
      </c>
      <c r="D73" s="351">
        <v>0</v>
      </c>
      <c r="E73" s="351">
        <v>0</v>
      </c>
      <c r="F73" s="351">
        <v>0</v>
      </c>
      <c r="G73" s="351">
        <v>0</v>
      </c>
      <c r="H73" s="351">
        <v>0</v>
      </c>
      <c r="I73" s="351">
        <v>0</v>
      </c>
      <c r="J73" s="351">
        <v>0</v>
      </c>
      <c r="K73" s="351">
        <v>0</v>
      </c>
      <c r="L73" s="351">
        <v>0</v>
      </c>
      <c r="M73" s="351">
        <v>0</v>
      </c>
      <c r="N73" s="351">
        <v>0</v>
      </c>
      <c r="O73" s="351">
        <v>0</v>
      </c>
      <c r="P73" s="351">
        <v>0</v>
      </c>
      <c r="Q73" s="351">
        <v>0</v>
      </c>
      <c r="R73" s="351">
        <v>0</v>
      </c>
      <c r="S73" s="351">
        <v>0</v>
      </c>
      <c r="T73" s="351">
        <v>0</v>
      </c>
      <c r="U73" s="351">
        <v>0</v>
      </c>
      <c r="V73" s="351">
        <v>0</v>
      </c>
      <c r="W73" s="351">
        <v>0</v>
      </c>
      <c r="X73" s="351">
        <v>0</v>
      </c>
      <c r="Y73" s="351">
        <v>0</v>
      </c>
      <c r="Z73" s="351">
        <v>0</v>
      </c>
      <c r="AA73" s="351">
        <v>0</v>
      </c>
      <c r="AB73" s="351">
        <v>0</v>
      </c>
      <c r="AC73" s="351">
        <v>0</v>
      </c>
      <c r="AD73" s="351">
        <v>0</v>
      </c>
      <c r="AE73" s="351">
        <v>0</v>
      </c>
      <c r="AF73" s="351">
        <v>0</v>
      </c>
      <c r="AG73" s="351">
        <v>0</v>
      </c>
      <c r="AH73" s="351">
        <v>0</v>
      </c>
      <c r="AI73" s="351">
        <v>0</v>
      </c>
      <c r="AJ73" s="351">
        <v>0</v>
      </c>
      <c r="AK73" s="351">
        <v>0</v>
      </c>
      <c r="AL73" s="351">
        <v>0</v>
      </c>
      <c r="AM73" s="351">
        <v>0</v>
      </c>
      <c r="AN73" s="351">
        <v>0</v>
      </c>
      <c r="AO73" s="351">
        <v>0</v>
      </c>
      <c r="AP73" s="351">
        <v>0</v>
      </c>
      <c r="AQ73" s="351">
        <v>0</v>
      </c>
      <c r="AR73" s="351">
        <v>0</v>
      </c>
      <c r="AS73" s="351">
        <v>0</v>
      </c>
      <c r="AT73" s="351">
        <v>0</v>
      </c>
      <c r="AU73" s="351">
        <v>0</v>
      </c>
      <c r="AV73" s="351">
        <v>0</v>
      </c>
      <c r="AW73" s="351">
        <v>0</v>
      </c>
      <c r="AX73" s="351">
        <v>0</v>
      </c>
      <c r="AY73" s="351">
        <v>0</v>
      </c>
      <c r="AZ73" s="351">
        <v>0</v>
      </c>
      <c r="BA73" s="351">
        <v>0</v>
      </c>
      <c r="BB73" s="351">
        <v>0</v>
      </c>
      <c r="BC73" s="351">
        <v>0</v>
      </c>
      <c r="BD73" s="351">
        <v>0</v>
      </c>
      <c r="BE73" s="351">
        <v>0</v>
      </c>
      <c r="BF73" s="351">
        <v>0</v>
      </c>
      <c r="BG73" s="351">
        <v>0</v>
      </c>
      <c r="BH73" s="351">
        <v>0</v>
      </c>
      <c r="BI73" s="351">
        <v>0</v>
      </c>
      <c r="BJ73" s="351">
        <v>0</v>
      </c>
      <c r="BK73" s="351">
        <v>0</v>
      </c>
      <c r="BL73" s="351">
        <v>0</v>
      </c>
      <c r="BM73" s="351">
        <v>0</v>
      </c>
      <c r="BN73" s="351">
        <v>0</v>
      </c>
      <c r="BO73" s="351">
        <v>0</v>
      </c>
      <c r="BP73" s="351">
        <v>0</v>
      </c>
      <c r="BQ73" s="351">
        <v>0</v>
      </c>
      <c r="BR73" s="351">
        <v>0</v>
      </c>
      <c r="BS73" s="351">
        <v>0</v>
      </c>
      <c r="BT73" s="351">
        <v>0</v>
      </c>
      <c r="BU73" s="351">
        <v>0</v>
      </c>
      <c r="BV73" s="351">
        <v>0</v>
      </c>
      <c r="BW73" s="351">
        <v>0</v>
      </c>
      <c r="BX73" s="351">
        <v>0</v>
      </c>
      <c r="BY73" s="351">
        <v>0</v>
      </c>
      <c r="BZ73" s="351">
        <v>0</v>
      </c>
      <c r="CA73" s="351">
        <v>0</v>
      </c>
      <c r="CB73" s="351">
        <v>0</v>
      </c>
      <c r="CC73" s="351">
        <v>0</v>
      </c>
      <c r="CD73" s="351">
        <v>2093783</v>
      </c>
      <c r="CE73" s="28">
        <f t="shared" si="11"/>
        <v>2093783</v>
      </c>
      <c r="CF73" s="318">
        <v>0</v>
      </c>
    </row>
    <row r="74" spans="1:84" x14ac:dyDescent="0.35">
      <c r="A74" s="29" t="s">
        <v>274</v>
      </c>
      <c r="B74" s="30"/>
      <c r="C74" s="351">
        <v>0</v>
      </c>
      <c r="D74" s="351">
        <v>0</v>
      </c>
      <c r="E74" s="351">
        <v>0</v>
      </c>
      <c r="F74" s="351">
        <v>0</v>
      </c>
      <c r="G74" s="351">
        <v>0</v>
      </c>
      <c r="H74" s="351">
        <v>0</v>
      </c>
      <c r="I74" s="351">
        <v>0</v>
      </c>
      <c r="J74" s="351">
        <v>0</v>
      </c>
      <c r="K74" s="351">
        <v>0</v>
      </c>
      <c r="L74" s="351">
        <v>0</v>
      </c>
      <c r="M74" s="351">
        <v>0</v>
      </c>
      <c r="N74" s="351">
        <v>0</v>
      </c>
      <c r="O74" s="351">
        <v>0</v>
      </c>
      <c r="P74" s="351">
        <v>0</v>
      </c>
      <c r="Q74" s="351">
        <v>0</v>
      </c>
      <c r="R74" s="351">
        <v>0</v>
      </c>
      <c r="S74" s="351">
        <v>0</v>
      </c>
      <c r="T74" s="351">
        <v>0</v>
      </c>
      <c r="U74" s="351">
        <v>0</v>
      </c>
      <c r="V74" s="351">
        <v>0</v>
      </c>
      <c r="W74" s="351">
        <v>0</v>
      </c>
      <c r="X74" s="351">
        <v>0</v>
      </c>
      <c r="Y74" s="351">
        <v>0</v>
      </c>
      <c r="Z74" s="351">
        <v>0</v>
      </c>
      <c r="AA74" s="351">
        <v>0</v>
      </c>
      <c r="AB74" s="351">
        <v>0</v>
      </c>
      <c r="AC74" s="351">
        <v>0</v>
      </c>
      <c r="AD74" s="351">
        <v>0</v>
      </c>
      <c r="AE74" s="351">
        <v>0</v>
      </c>
      <c r="AF74" s="351">
        <v>0</v>
      </c>
      <c r="AG74" s="351">
        <v>0</v>
      </c>
      <c r="AH74" s="351">
        <v>0</v>
      </c>
      <c r="AI74" s="351">
        <v>0</v>
      </c>
      <c r="AJ74" s="351">
        <v>0</v>
      </c>
      <c r="AK74" s="351">
        <v>0</v>
      </c>
      <c r="AL74" s="351">
        <v>0</v>
      </c>
      <c r="AM74" s="351">
        <v>0</v>
      </c>
      <c r="AN74" s="351">
        <v>0</v>
      </c>
      <c r="AO74" s="351">
        <v>0</v>
      </c>
      <c r="AP74" s="351">
        <v>0</v>
      </c>
      <c r="AQ74" s="351">
        <v>0</v>
      </c>
      <c r="AR74" s="351">
        <v>0</v>
      </c>
      <c r="AS74" s="351">
        <v>0</v>
      </c>
      <c r="AT74" s="351">
        <v>0</v>
      </c>
      <c r="AU74" s="351">
        <v>0</v>
      </c>
      <c r="AV74" s="351">
        <v>0</v>
      </c>
      <c r="AW74" s="351">
        <v>0</v>
      </c>
      <c r="AX74" s="351">
        <v>0</v>
      </c>
      <c r="AY74" s="351">
        <v>0</v>
      </c>
      <c r="AZ74" s="351">
        <v>0</v>
      </c>
      <c r="BA74" s="351">
        <v>0</v>
      </c>
      <c r="BB74" s="351">
        <v>0</v>
      </c>
      <c r="BC74" s="351">
        <v>0</v>
      </c>
      <c r="BD74" s="351">
        <v>0</v>
      </c>
      <c r="BE74" s="351">
        <v>0</v>
      </c>
      <c r="BF74" s="351">
        <v>0</v>
      </c>
      <c r="BG74" s="351">
        <v>0</v>
      </c>
      <c r="BH74" s="351">
        <v>0</v>
      </c>
      <c r="BI74" s="351">
        <v>0</v>
      </c>
      <c r="BJ74" s="351">
        <v>0</v>
      </c>
      <c r="BK74" s="351">
        <v>0</v>
      </c>
      <c r="BL74" s="351">
        <v>0</v>
      </c>
      <c r="BM74" s="351">
        <v>0</v>
      </c>
      <c r="BN74" s="351">
        <v>0</v>
      </c>
      <c r="BO74" s="351">
        <v>0</v>
      </c>
      <c r="BP74" s="351">
        <v>0</v>
      </c>
      <c r="BQ74" s="351">
        <v>0</v>
      </c>
      <c r="BR74" s="351">
        <v>0</v>
      </c>
      <c r="BS74" s="351">
        <v>0</v>
      </c>
      <c r="BT74" s="351">
        <v>0</v>
      </c>
      <c r="BU74" s="351">
        <v>0</v>
      </c>
      <c r="BV74" s="351">
        <v>0</v>
      </c>
      <c r="BW74" s="351">
        <v>0</v>
      </c>
      <c r="BX74" s="351">
        <v>0</v>
      </c>
      <c r="BY74" s="351">
        <v>0</v>
      </c>
      <c r="BZ74" s="351">
        <v>0</v>
      </c>
      <c r="CA74" s="351">
        <v>0</v>
      </c>
      <c r="CB74" s="351">
        <v>0</v>
      </c>
      <c r="CC74" s="351">
        <v>0</v>
      </c>
      <c r="CD74" s="351">
        <v>0</v>
      </c>
      <c r="CE74" s="28">
        <f t="shared" si="11"/>
        <v>0</v>
      </c>
      <c r="CF74" s="318">
        <v>0</v>
      </c>
    </row>
    <row r="75" spans="1:84" x14ac:dyDescent="0.35">
      <c r="A75" s="29" t="s">
        <v>275</v>
      </c>
      <c r="B75" s="30"/>
      <c r="C75" s="351">
        <v>0</v>
      </c>
      <c r="D75" s="351">
        <v>0</v>
      </c>
      <c r="E75" s="351">
        <v>0</v>
      </c>
      <c r="F75" s="351">
        <v>0</v>
      </c>
      <c r="G75" s="351">
        <v>0</v>
      </c>
      <c r="H75" s="351">
        <v>0</v>
      </c>
      <c r="I75" s="351">
        <v>0</v>
      </c>
      <c r="J75" s="351">
        <v>0</v>
      </c>
      <c r="K75" s="351">
        <v>0</v>
      </c>
      <c r="L75" s="351">
        <v>0</v>
      </c>
      <c r="M75" s="351">
        <v>0</v>
      </c>
      <c r="N75" s="351">
        <v>0</v>
      </c>
      <c r="O75" s="351">
        <v>0</v>
      </c>
      <c r="P75" s="351">
        <v>0</v>
      </c>
      <c r="Q75" s="351">
        <v>0</v>
      </c>
      <c r="R75" s="351">
        <v>0</v>
      </c>
      <c r="S75" s="351">
        <v>0</v>
      </c>
      <c r="T75" s="351">
        <v>0</v>
      </c>
      <c r="U75" s="351">
        <v>0</v>
      </c>
      <c r="V75" s="351">
        <v>0</v>
      </c>
      <c r="W75" s="351">
        <v>0</v>
      </c>
      <c r="X75" s="351">
        <v>0</v>
      </c>
      <c r="Y75" s="351">
        <v>0</v>
      </c>
      <c r="Z75" s="351">
        <v>0</v>
      </c>
      <c r="AA75" s="351">
        <v>0</v>
      </c>
      <c r="AB75" s="351">
        <v>0</v>
      </c>
      <c r="AC75" s="351">
        <v>0</v>
      </c>
      <c r="AD75" s="351">
        <v>0</v>
      </c>
      <c r="AE75" s="351">
        <v>0</v>
      </c>
      <c r="AF75" s="351">
        <v>0</v>
      </c>
      <c r="AG75" s="351">
        <v>0</v>
      </c>
      <c r="AH75" s="351">
        <v>0</v>
      </c>
      <c r="AI75" s="351">
        <v>0</v>
      </c>
      <c r="AJ75" s="351">
        <v>0</v>
      </c>
      <c r="AK75" s="351">
        <v>0</v>
      </c>
      <c r="AL75" s="351">
        <v>0</v>
      </c>
      <c r="AM75" s="351">
        <v>0</v>
      </c>
      <c r="AN75" s="351">
        <v>0</v>
      </c>
      <c r="AO75" s="351">
        <v>0</v>
      </c>
      <c r="AP75" s="351">
        <v>0</v>
      </c>
      <c r="AQ75" s="351">
        <v>0</v>
      </c>
      <c r="AR75" s="351">
        <v>0</v>
      </c>
      <c r="AS75" s="351">
        <v>0</v>
      </c>
      <c r="AT75" s="351">
        <v>0</v>
      </c>
      <c r="AU75" s="351">
        <v>0</v>
      </c>
      <c r="AV75" s="351">
        <v>0</v>
      </c>
      <c r="AW75" s="351">
        <v>0</v>
      </c>
      <c r="AX75" s="351">
        <v>0</v>
      </c>
      <c r="AY75" s="351">
        <v>0</v>
      </c>
      <c r="AZ75" s="351">
        <v>0</v>
      </c>
      <c r="BA75" s="351">
        <v>0</v>
      </c>
      <c r="BB75" s="351">
        <v>0</v>
      </c>
      <c r="BC75" s="351">
        <v>0</v>
      </c>
      <c r="BD75" s="351">
        <v>0</v>
      </c>
      <c r="BE75" s="351">
        <v>0</v>
      </c>
      <c r="BF75" s="351">
        <v>0</v>
      </c>
      <c r="BG75" s="351">
        <v>0</v>
      </c>
      <c r="BH75" s="351">
        <v>0</v>
      </c>
      <c r="BI75" s="351">
        <v>0</v>
      </c>
      <c r="BJ75" s="351">
        <v>0</v>
      </c>
      <c r="BK75" s="351">
        <v>0</v>
      </c>
      <c r="BL75" s="351">
        <v>0</v>
      </c>
      <c r="BM75" s="351">
        <v>0</v>
      </c>
      <c r="BN75" s="351">
        <v>0</v>
      </c>
      <c r="BO75" s="351">
        <v>0</v>
      </c>
      <c r="BP75" s="351">
        <v>0</v>
      </c>
      <c r="BQ75" s="351">
        <v>0</v>
      </c>
      <c r="BR75" s="351">
        <v>0</v>
      </c>
      <c r="BS75" s="351">
        <v>0</v>
      </c>
      <c r="BT75" s="351">
        <v>0</v>
      </c>
      <c r="BU75" s="351">
        <v>0</v>
      </c>
      <c r="BV75" s="351">
        <v>0</v>
      </c>
      <c r="BW75" s="351">
        <v>0</v>
      </c>
      <c r="BX75" s="351">
        <v>0</v>
      </c>
      <c r="BY75" s="351">
        <v>0</v>
      </c>
      <c r="BZ75" s="351">
        <v>0</v>
      </c>
      <c r="CA75" s="351">
        <v>0</v>
      </c>
      <c r="CB75" s="351">
        <v>0</v>
      </c>
      <c r="CC75" s="351">
        <v>0</v>
      </c>
      <c r="CD75" s="351">
        <v>0</v>
      </c>
      <c r="CE75" s="28">
        <f t="shared" si="11"/>
        <v>0</v>
      </c>
      <c r="CF75" s="318">
        <v>0</v>
      </c>
    </row>
    <row r="76" spans="1:84" x14ac:dyDescent="0.35">
      <c r="A76" s="29" t="s">
        <v>276</v>
      </c>
      <c r="B76" s="212"/>
      <c r="C76" s="351">
        <v>0</v>
      </c>
      <c r="D76" s="351">
        <v>0</v>
      </c>
      <c r="E76" s="351">
        <v>0</v>
      </c>
      <c r="F76" s="351">
        <v>0</v>
      </c>
      <c r="G76" s="351">
        <v>0</v>
      </c>
      <c r="H76" s="351">
        <v>0</v>
      </c>
      <c r="I76" s="351">
        <v>0</v>
      </c>
      <c r="J76" s="351">
        <v>0</v>
      </c>
      <c r="K76" s="351">
        <v>0</v>
      </c>
      <c r="L76" s="351">
        <v>0</v>
      </c>
      <c r="M76" s="351">
        <v>0</v>
      </c>
      <c r="N76" s="351">
        <v>0</v>
      </c>
      <c r="O76" s="351">
        <v>0</v>
      </c>
      <c r="P76" s="351">
        <v>0</v>
      </c>
      <c r="Q76" s="351">
        <v>0</v>
      </c>
      <c r="R76" s="351">
        <v>0</v>
      </c>
      <c r="S76" s="351">
        <v>0</v>
      </c>
      <c r="T76" s="351">
        <v>0</v>
      </c>
      <c r="U76" s="351">
        <v>0</v>
      </c>
      <c r="V76" s="351">
        <v>0</v>
      </c>
      <c r="W76" s="351">
        <v>0</v>
      </c>
      <c r="X76" s="351">
        <v>0</v>
      </c>
      <c r="Y76" s="351">
        <v>0</v>
      </c>
      <c r="Z76" s="351">
        <v>0</v>
      </c>
      <c r="AA76" s="351">
        <v>0</v>
      </c>
      <c r="AB76" s="351">
        <v>0</v>
      </c>
      <c r="AC76" s="351">
        <v>0</v>
      </c>
      <c r="AD76" s="351">
        <v>0</v>
      </c>
      <c r="AE76" s="351">
        <v>0</v>
      </c>
      <c r="AF76" s="351">
        <v>0</v>
      </c>
      <c r="AG76" s="351">
        <v>0</v>
      </c>
      <c r="AH76" s="351">
        <v>0</v>
      </c>
      <c r="AI76" s="351">
        <v>0</v>
      </c>
      <c r="AJ76" s="351">
        <v>0</v>
      </c>
      <c r="AK76" s="351">
        <v>0</v>
      </c>
      <c r="AL76" s="351">
        <v>0</v>
      </c>
      <c r="AM76" s="351">
        <v>0</v>
      </c>
      <c r="AN76" s="351">
        <v>0</v>
      </c>
      <c r="AO76" s="351">
        <v>0</v>
      </c>
      <c r="AP76" s="351">
        <v>0</v>
      </c>
      <c r="AQ76" s="351">
        <v>0</v>
      </c>
      <c r="AR76" s="351">
        <v>0</v>
      </c>
      <c r="AS76" s="351">
        <v>0</v>
      </c>
      <c r="AT76" s="351">
        <v>0</v>
      </c>
      <c r="AU76" s="351">
        <v>0</v>
      </c>
      <c r="AV76" s="351">
        <v>0</v>
      </c>
      <c r="AW76" s="351">
        <v>0</v>
      </c>
      <c r="AX76" s="351">
        <v>0</v>
      </c>
      <c r="AY76" s="351">
        <v>0</v>
      </c>
      <c r="AZ76" s="351">
        <v>0</v>
      </c>
      <c r="BA76" s="351">
        <v>0</v>
      </c>
      <c r="BB76" s="351">
        <v>0</v>
      </c>
      <c r="BC76" s="351">
        <v>0</v>
      </c>
      <c r="BD76" s="351">
        <v>0</v>
      </c>
      <c r="BE76" s="351">
        <v>0</v>
      </c>
      <c r="BF76" s="351">
        <v>0</v>
      </c>
      <c r="BG76" s="351">
        <v>0</v>
      </c>
      <c r="BH76" s="351">
        <v>0</v>
      </c>
      <c r="BI76" s="351">
        <v>0</v>
      </c>
      <c r="BJ76" s="351">
        <v>0</v>
      </c>
      <c r="BK76" s="351">
        <v>0</v>
      </c>
      <c r="BL76" s="351">
        <v>0</v>
      </c>
      <c r="BM76" s="351">
        <v>0</v>
      </c>
      <c r="BN76" s="351">
        <v>0</v>
      </c>
      <c r="BO76" s="351">
        <v>0</v>
      </c>
      <c r="BP76" s="351">
        <v>0</v>
      </c>
      <c r="BQ76" s="351">
        <v>0</v>
      </c>
      <c r="BR76" s="351">
        <v>0</v>
      </c>
      <c r="BS76" s="351">
        <v>0</v>
      </c>
      <c r="BT76" s="351">
        <v>0</v>
      </c>
      <c r="BU76" s="351">
        <v>0</v>
      </c>
      <c r="BV76" s="351">
        <v>0</v>
      </c>
      <c r="BW76" s="351">
        <v>0</v>
      </c>
      <c r="BX76" s="351">
        <v>0</v>
      </c>
      <c r="BY76" s="351">
        <v>0</v>
      </c>
      <c r="BZ76" s="351">
        <v>0</v>
      </c>
      <c r="CA76" s="351">
        <v>0</v>
      </c>
      <c r="CB76" s="351">
        <v>0</v>
      </c>
      <c r="CC76" s="351">
        <v>0</v>
      </c>
      <c r="CD76" s="351">
        <v>0</v>
      </c>
      <c r="CE76" s="28">
        <f t="shared" si="11"/>
        <v>0</v>
      </c>
      <c r="CF76" s="318">
        <v>0</v>
      </c>
    </row>
    <row r="77" spans="1:84" x14ac:dyDescent="0.35">
      <c r="A77" s="29" t="s">
        <v>277</v>
      </c>
      <c r="B77" s="30"/>
      <c r="C77" s="351">
        <v>1098</v>
      </c>
      <c r="D77" s="351">
        <v>0</v>
      </c>
      <c r="E77" s="351">
        <v>23245</v>
      </c>
      <c r="F77" s="351">
        <v>0</v>
      </c>
      <c r="G77" s="351">
        <v>0</v>
      </c>
      <c r="H77" s="351">
        <v>0</v>
      </c>
      <c r="I77" s="351">
        <v>0</v>
      </c>
      <c r="J77" s="351">
        <v>0</v>
      </c>
      <c r="K77" s="351">
        <v>0</v>
      </c>
      <c r="L77" s="351">
        <v>0</v>
      </c>
      <c r="M77" s="351">
        <v>0</v>
      </c>
      <c r="N77" s="351">
        <v>0</v>
      </c>
      <c r="O77" s="351">
        <v>5085</v>
      </c>
      <c r="P77" s="351">
        <v>132072</v>
      </c>
      <c r="Q77" s="351">
        <v>271</v>
      </c>
      <c r="R77" s="351">
        <v>0</v>
      </c>
      <c r="S77" s="351">
        <v>44604</v>
      </c>
      <c r="T77" s="351">
        <v>0</v>
      </c>
      <c r="U77" s="351">
        <v>165273</v>
      </c>
      <c r="V77" s="351">
        <v>0</v>
      </c>
      <c r="W77" s="351">
        <v>0</v>
      </c>
      <c r="X77" s="351">
        <v>67008</v>
      </c>
      <c r="Y77" s="351">
        <v>437414</v>
      </c>
      <c r="Z77" s="351">
        <v>0</v>
      </c>
      <c r="AA77" s="351">
        <v>0</v>
      </c>
      <c r="AB77" s="351">
        <v>1461</v>
      </c>
      <c r="AC77" s="351">
        <v>32856</v>
      </c>
      <c r="AD77" s="351">
        <v>0</v>
      </c>
      <c r="AE77" s="351">
        <v>9244</v>
      </c>
      <c r="AF77" s="351">
        <v>0</v>
      </c>
      <c r="AG77" s="351">
        <v>2037</v>
      </c>
      <c r="AH77" s="351">
        <v>0</v>
      </c>
      <c r="AI77" s="351">
        <v>0</v>
      </c>
      <c r="AJ77" s="351">
        <v>457211</v>
      </c>
      <c r="AK77" s="351">
        <v>0</v>
      </c>
      <c r="AL77" s="351">
        <v>0</v>
      </c>
      <c r="AM77" s="351">
        <v>0</v>
      </c>
      <c r="AN77" s="351">
        <v>0</v>
      </c>
      <c r="AO77" s="351">
        <v>0</v>
      </c>
      <c r="AP77" s="351">
        <v>0</v>
      </c>
      <c r="AQ77" s="351">
        <v>0</v>
      </c>
      <c r="AR77" s="351">
        <v>48</v>
      </c>
      <c r="AS77" s="351">
        <v>0</v>
      </c>
      <c r="AT77" s="351">
        <v>0</v>
      </c>
      <c r="AU77" s="351">
        <v>0</v>
      </c>
      <c r="AV77" s="351">
        <v>0</v>
      </c>
      <c r="AW77" s="351">
        <v>0</v>
      </c>
      <c r="AX77" s="351">
        <v>0</v>
      </c>
      <c r="AY77" s="351">
        <v>24137</v>
      </c>
      <c r="AZ77" s="351">
        <v>0</v>
      </c>
      <c r="BA77" s="351">
        <v>2595</v>
      </c>
      <c r="BB77" s="351">
        <v>0</v>
      </c>
      <c r="BC77" s="351">
        <v>0</v>
      </c>
      <c r="BD77" s="351">
        <v>0</v>
      </c>
      <c r="BE77" s="351">
        <v>811765</v>
      </c>
      <c r="BF77" s="351">
        <v>8892</v>
      </c>
      <c r="BG77" s="351">
        <v>0</v>
      </c>
      <c r="BH77" s="351">
        <v>173751</v>
      </c>
      <c r="BI77" s="351">
        <v>0</v>
      </c>
      <c r="BJ77" s="351">
        <v>0</v>
      </c>
      <c r="BK77" s="351">
        <v>0</v>
      </c>
      <c r="BL77" s="351">
        <v>0</v>
      </c>
      <c r="BM77" s="351">
        <v>0</v>
      </c>
      <c r="BN77" s="351">
        <v>0</v>
      </c>
      <c r="BO77" s="351">
        <v>0</v>
      </c>
      <c r="BP77" s="351">
        <v>0</v>
      </c>
      <c r="BQ77" s="351">
        <v>0</v>
      </c>
      <c r="BR77" s="351">
        <v>2534</v>
      </c>
      <c r="BS77" s="351">
        <v>0</v>
      </c>
      <c r="BT77" s="351">
        <v>0</v>
      </c>
      <c r="BU77" s="351">
        <v>0</v>
      </c>
      <c r="BV77" s="351">
        <v>26436</v>
      </c>
      <c r="BW77" s="351">
        <v>0</v>
      </c>
      <c r="BX77" s="351">
        <v>0</v>
      </c>
      <c r="BY77" s="351">
        <v>40975</v>
      </c>
      <c r="BZ77" s="351">
        <v>0</v>
      </c>
      <c r="CA77" s="351">
        <v>0</v>
      </c>
      <c r="CB77" s="351">
        <v>0</v>
      </c>
      <c r="CC77" s="351">
        <v>65671</v>
      </c>
      <c r="CD77" s="351">
        <v>0</v>
      </c>
      <c r="CE77" s="28">
        <f t="shared" si="11"/>
        <v>2535683</v>
      </c>
      <c r="CF77" s="318">
        <v>0</v>
      </c>
    </row>
    <row r="78" spans="1:84" x14ac:dyDescent="0.35">
      <c r="A78" s="29" t="s">
        <v>278</v>
      </c>
      <c r="B78" s="16"/>
      <c r="C78" s="351">
        <v>0</v>
      </c>
      <c r="D78" s="351">
        <v>0</v>
      </c>
      <c r="E78" s="351">
        <v>0</v>
      </c>
      <c r="F78" s="351">
        <v>0</v>
      </c>
      <c r="G78" s="351">
        <v>0</v>
      </c>
      <c r="H78" s="351">
        <v>0</v>
      </c>
      <c r="I78" s="351">
        <v>0</v>
      </c>
      <c r="J78" s="351">
        <v>0</v>
      </c>
      <c r="K78" s="351">
        <v>0</v>
      </c>
      <c r="L78" s="351">
        <v>0</v>
      </c>
      <c r="M78" s="351">
        <v>0</v>
      </c>
      <c r="N78" s="351">
        <v>0</v>
      </c>
      <c r="O78" s="351">
        <v>0</v>
      </c>
      <c r="P78" s="351">
        <v>0</v>
      </c>
      <c r="Q78" s="351">
        <v>0</v>
      </c>
      <c r="R78" s="351">
        <v>0</v>
      </c>
      <c r="S78" s="351">
        <v>0</v>
      </c>
      <c r="T78" s="351">
        <v>0</v>
      </c>
      <c r="U78" s="351">
        <v>0</v>
      </c>
      <c r="V78" s="351">
        <v>0</v>
      </c>
      <c r="W78" s="351">
        <v>0</v>
      </c>
      <c r="X78" s="351">
        <v>0</v>
      </c>
      <c r="Y78" s="351">
        <v>0</v>
      </c>
      <c r="Z78" s="351">
        <v>0</v>
      </c>
      <c r="AA78" s="351">
        <v>0</v>
      </c>
      <c r="AB78" s="351">
        <v>0</v>
      </c>
      <c r="AC78" s="351">
        <v>0</v>
      </c>
      <c r="AD78" s="351">
        <v>0</v>
      </c>
      <c r="AE78" s="351">
        <v>0</v>
      </c>
      <c r="AF78" s="351">
        <v>0</v>
      </c>
      <c r="AG78" s="351">
        <v>0</v>
      </c>
      <c r="AH78" s="351">
        <v>0</v>
      </c>
      <c r="AI78" s="351">
        <v>0</v>
      </c>
      <c r="AJ78" s="351">
        <v>0</v>
      </c>
      <c r="AK78" s="351">
        <v>0</v>
      </c>
      <c r="AL78" s="351">
        <v>0</v>
      </c>
      <c r="AM78" s="351">
        <v>0</v>
      </c>
      <c r="AN78" s="351">
        <v>0</v>
      </c>
      <c r="AO78" s="351">
        <v>0</v>
      </c>
      <c r="AP78" s="351">
        <v>0</v>
      </c>
      <c r="AQ78" s="351">
        <v>0</v>
      </c>
      <c r="AR78" s="351">
        <v>0</v>
      </c>
      <c r="AS78" s="351">
        <v>0</v>
      </c>
      <c r="AT78" s="351">
        <v>0</v>
      </c>
      <c r="AU78" s="351">
        <v>0</v>
      </c>
      <c r="AV78" s="351">
        <v>0</v>
      </c>
      <c r="AW78" s="351">
        <v>0</v>
      </c>
      <c r="AX78" s="351">
        <v>0</v>
      </c>
      <c r="AY78" s="351">
        <v>0</v>
      </c>
      <c r="AZ78" s="351">
        <v>0</v>
      </c>
      <c r="BA78" s="351">
        <v>0</v>
      </c>
      <c r="BB78" s="351">
        <v>0</v>
      </c>
      <c r="BC78" s="351">
        <v>0</v>
      </c>
      <c r="BD78" s="351">
        <v>0</v>
      </c>
      <c r="BE78" s="351">
        <v>0</v>
      </c>
      <c r="BF78" s="351">
        <v>0</v>
      </c>
      <c r="BG78" s="351">
        <v>0</v>
      </c>
      <c r="BH78" s="351">
        <v>0</v>
      </c>
      <c r="BI78" s="351">
        <v>0</v>
      </c>
      <c r="BJ78" s="351">
        <v>0</v>
      </c>
      <c r="BK78" s="351">
        <v>0</v>
      </c>
      <c r="BL78" s="351">
        <v>0</v>
      </c>
      <c r="BM78" s="351">
        <v>0</v>
      </c>
      <c r="BN78" s="351">
        <v>0</v>
      </c>
      <c r="BO78" s="351">
        <v>0</v>
      </c>
      <c r="BP78" s="351">
        <v>0</v>
      </c>
      <c r="BQ78" s="351">
        <v>0</v>
      </c>
      <c r="BR78" s="351">
        <v>0</v>
      </c>
      <c r="BS78" s="351">
        <v>0</v>
      </c>
      <c r="BT78" s="351">
        <v>0</v>
      </c>
      <c r="BU78" s="351">
        <v>0</v>
      </c>
      <c r="BV78" s="351">
        <v>0</v>
      </c>
      <c r="BW78" s="351">
        <v>0</v>
      </c>
      <c r="BX78" s="351">
        <v>0</v>
      </c>
      <c r="BY78" s="351">
        <v>0</v>
      </c>
      <c r="BZ78" s="351">
        <v>0</v>
      </c>
      <c r="CA78" s="351">
        <v>0</v>
      </c>
      <c r="CB78" s="351">
        <v>0</v>
      </c>
      <c r="CC78" s="351">
        <v>0</v>
      </c>
      <c r="CD78" s="351">
        <v>0</v>
      </c>
      <c r="CE78" s="28">
        <f t="shared" si="11"/>
        <v>0</v>
      </c>
      <c r="CF78" s="318">
        <v>0</v>
      </c>
    </row>
    <row r="79" spans="1:84" x14ac:dyDescent="0.35">
      <c r="A79" s="29" t="s">
        <v>279</v>
      </c>
      <c r="B79" s="16"/>
      <c r="C79" s="351">
        <v>0</v>
      </c>
      <c r="D79" s="351">
        <v>0</v>
      </c>
      <c r="E79" s="351">
        <v>0</v>
      </c>
      <c r="F79" s="351">
        <v>0</v>
      </c>
      <c r="G79" s="351">
        <v>0</v>
      </c>
      <c r="H79" s="351">
        <v>0</v>
      </c>
      <c r="I79" s="351">
        <v>0</v>
      </c>
      <c r="J79" s="351">
        <v>0</v>
      </c>
      <c r="K79" s="351">
        <v>0</v>
      </c>
      <c r="L79" s="351">
        <v>0</v>
      </c>
      <c r="M79" s="351">
        <v>0</v>
      </c>
      <c r="N79" s="351">
        <v>0</v>
      </c>
      <c r="O79" s="351">
        <v>0</v>
      </c>
      <c r="P79" s="351">
        <v>0</v>
      </c>
      <c r="Q79" s="351">
        <v>0</v>
      </c>
      <c r="R79" s="351">
        <v>0</v>
      </c>
      <c r="S79" s="351">
        <v>0</v>
      </c>
      <c r="T79" s="351">
        <v>0</v>
      </c>
      <c r="U79" s="351">
        <v>0</v>
      </c>
      <c r="V79" s="351">
        <v>0</v>
      </c>
      <c r="W79" s="351">
        <v>0</v>
      </c>
      <c r="X79" s="351">
        <v>0</v>
      </c>
      <c r="Y79" s="351">
        <v>0</v>
      </c>
      <c r="Z79" s="351">
        <v>0</v>
      </c>
      <c r="AA79" s="351">
        <v>0</v>
      </c>
      <c r="AB79" s="351">
        <v>0</v>
      </c>
      <c r="AC79" s="351">
        <v>0</v>
      </c>
      <c r="AD79" s="351">
        <v>0</v>
      </c>
      <c r="AE79" s="351">
        <v>0</v>
      </c>
      <c r="AF79" s="351">
        <v>0</v>
      </c>
      <c r="AG79" s="351">
        <v>0</v>
      </c>
      <c r="AH79" s="351">
        <v>0</v>
      </c>
      <c r="AI79" s="351">
        <v>0</v>
      </c>
      <c r="AJ79" s="351">
        <v>0</v>
      </c>
      <c r="AK79" s="351">
        <v>0</v>
      </c>
      <c r="AL79" s="351">
        <v>0</v>
      </c>
      <c r="AM79" s="351">
        <v>0</v>
      </c>
      <c r="AN79" s="351">
        <v>0</v>
      </c>
      <c r="AO79" s="351">
        <v>0</v>
      </c>
      <c r="AP79" s="351">
        <v>0</v>
      </c>
      <c r="AQ79" s="351">
        <v>0</v>
      </c>
      <c r="AR79" s="351">
        <v>0</v>
      </c>
      <c r="AS79" s="351">
        <v>0</v>
      </c>
      <c r="AT79" s="351">
        <v>0</v>
      </c>
      <c r="AU79" s="351">
        <v>0</v>
      </c>
      <c r="AV79" s="351">
        <v>0</v>
      </c>
      <c r="AW79" s="351">
        <v>0</v>
      </c>
      <c r="AX79" s="351">
        <v>0</v>
      </c>
      <c r="AY79" s="351">
        <v>0</v>
      </c>
      <c r="AZ79" s="351">
        <v>0</v>
      </c>
      <c r="BA79" s="351">
        <v>0</v>
      </c>
      <c r="BB79" s="351">
        <v>0</v>
      </c>
      <c r="BC79" s="351">
        <v>0</v>
      </c>
      <c r="BD79" s="351">
        <v>0</v>
      </c>
      <c r="BE79" s="351">
        <v>0</v>
      </c>
      <c r="BF79" s="351">
        <v>0</v>
      </c>
      <c r="BG79" s="351">
        <v>0</v>
      </c>
      <c r="BH79" s="351">
        <v>0</v>
      </c>
      <c r="BI79" s="351">
        <v>0</v>
      </c>
      <c r="BJ79" s="351">
        <v>0</v>
      </c>
      <c r="BK79" s="351">
        <v>0</v>
      </c>
      <c r="BL79" s="351">
        <v>0</v>
      </c>
      <c r="BM79" s="351">
        <v>0</v>
      </c>
      <c r="BN79" s="351">
        <v>0</v>
      </c>
      <c r="BO79" s="351">
        <v>0</v>
      </c>
      <c r="BP79" s="351">
        <v>0</v>
      </c>
      <c r="BQ79" s="351">
        <v>0</v>
      </c>
      <c r="BR79" s="351">
        <v>0</v>
      </c>
      <c r="BS79" s="351">
        <v>0</v>
      </c>
      <c r="BT79" s="351">
        <v>0</v>
      </c>
      <c r="BU79" s="351">
        <v>0</v>
      </c>
      <c r="BV79" s="351">
        <v>0</v>
      </c>
      <c r="BW79" s="351">
        <v>0</v>
      </c>
      <c r="BX79" s="351">
        <v>0</v>
      </c>
      <c r="BY79" s="351">
        <v>0</v>
      </c>
      <c r="BZ79" s="351">
        <v>0</v>
      </c>
      <c r="CA79" s="351">
        <v>0</v>
      </c>
      <c r="CB79" s="351">
        <v>0</v>
      </c>
      <c r="CC79" s="351">
        <v>0</v>
      </c>
      <c r="CD79" s="351">
        <v>0</v>
      </c>
      <c r="CE79" s="28">
        <f t="shared" si="11"/>
        <v>0</v>
      </c>
      <c r="CF79" s="318">
        <v>0</v>
      </c>
    </row>
    <row r="80" spans="1:84" x14ac:dyDescent="0.35">
      <c r="A80" s="29" t="s">
        <v>280</v>
      </c>
      <c r="B80" s="16"/>
      <c r="C80" s="351">
        <v>1062</v>
      </c>
      <c r="D80" s="351">
        <v>0</v>
      </c>
      <c r="E80" s="351">
        <v>0</v>
      </c>
      <c r="F80" s="351">
        <v>0</v>
      </c>
      <c r="G80" s="351">
        <v>0</v>
      </c>
      <c r="H80" s="351">
        <v>0</v>
      </c>
      <c r="I80" s="351">
        <v>0</v>
      </c>
      <c r="J80" s="351">
        <v>2071</v>
      </c>
      <c r="K80" s="351">
        <v>0</v>
      </c>
      <c r="L80" s="351">
        <v>0</v>
      </c>
      <c r="M80" s="351">
        <v>0</v>
      </c>
      <c r="N80" s="351">
        <v>0</v>
      </c>
      <c r="O80" s="351">
        <v>11090</v>
      </c>
      <c r="P80" s="351">
        <v>10537</v>
      </c>
      <c r="Q80" s="351">
        <v>6193</v>
      </c>
      <c r="R80" s="351">
        <v>0</v>
      </c>
      <c r="S80" s="351">
        <v>0</v>
      </c>
      <c r="T80" s="351">
        <v>0</v>
      </c>
      <c r="U80" s="351">
        <v>8085</v>
      </c>
      <c r="V80" s="351">
        <v>0</v>
      </c>
      <c r="W80" s="351">
        <v>0</v>
      </c>
      <c r="X80" s="351">
        <v>0</v>
      </c>
      <c r="Y80" s="351">
        <f>4324+828+1048</f>
        <v>6200</v>
      </c>
      <c r="Z80" s="351">
        <v>0</v>
      </c>
      <c r="AA80" s="351">
        <v>0</v>
      </c>
      <c r="AB80" s="351">
        <v>0</v>
      </c>
      <c r="AC80" s="351">
        <v>4234</v>
      </c>
      <c r="AD80" s="351">
        <v>0</v>
      </c>
      <c r="AE80" s="351">
        <v>1595</v>
      </c>
      <c r="AF80" s="351">
        <v>0</v>
      </c>
      <c r="AG80" s="351">
        <f>24566+1147+38988</f>
        <v>64701</v>
      </c>
      <c r="AH80" s="351">
        <v>0</v>
      </c>
      <c r="AI80" s="351">
        <v>0</v>
      </c>
      <c r="AJ80" s="351">
        <v>167867</v>
      </c>
      <c r="AK80" s="351">
        <v>0</v>
      </c>
      <c r="AL80" s="351">
        <v>0</v>
      </c>
      <c r="AM80" s="351">
        <v>0</v>
      </c>
      <c r="AN80" s="351">
        <v>0</v>
      </c>
      <c r="AO80" s="351">
        <v>0</v>
      </c>
      <c r="AP80" s="351">
        <v>0</v>
      </c>
      <c r="AQ80" s="351">
        <v>0</v>
      </c>
      <c r="AR80" s="351">
        <f>1330</f>
        <v>1330</v>
      </c>
      <c r="AS80" s="351">
        <v>0</v>
      </c>
      <c r="AT80" s="351">
        <v>0</v>
      </c>
      <c r="AU80" s="351">
        <v>0</v>
      </c>
      <c r="AV80" s="351">
        <v>0</v>
      </c>
      <c r="AW80" s="351">
        <v>0</v>
      </c>
      <c r="AX80" s="351">
        <v>0</v>
      </c>
      <c r="AY80" s="351">
        <f>2105</f>
        <v>2105</v>
      </c>
      <c r="AZ80" s="351">
        <v>0</v>
      </c>
      <c r="BA80" s="351">
        <v>0</v>
      </c>
      <c r="BB80" s="351">
        <v>0</v>
      </c>
      <c r="BC80" s="351">
        <v>0</v>
      </c>
      <c r="BD80" s="351">
        <f>5291</f>
        <v>5291</v>
      </c>
      <c r="BE80" s="351">
        <v>7486</v>
      </c>
      <c r="BF80" s="351">
        <v>617</v>
      </c>
      <c r="BG80" s="351">
        <v>0</v>
      </c>
      <c r="BH80" s="351">
        <v>15168</v>
      </c>
      <c r="BI80" s="351">
        <v>0</v>
      </c>
      <c r="BJ80" s="351">
        <f>5586</f>
        <v>5586</v>
      </c>
      <c r="BK80" s="351">
        <f>5977</f>
        <v>5977</v>
      </c>
      <c r="BL80" s="351">
        <v>0</v>
      </c>
      <c r="BM80" s="351">
        <v>0</v>
      </c>
      <c r="BN80" s="351">
        <f>30301+545+29597</f>
        <v>60443</v>
      </c>
      <c r="BO80" s="351">
        <v>5787</v>
      </c>
      <c r="BP80" s="351">
        <f>9933</f>
        <v>9933</v>
      </c>
      <c r="BQ80" s="351">
        <v>0</v>
      </c>
      <c r="BR80" s="351">
        <f>2942</f>
        <v>2942</v>
      </c>
      <c r="BS80" s="351">
        <v>0</v>
      </c>
      <c r="BT80" s="351">
        <v>0</v>
      </c>
      <c r="BU80" s="351">
        <v>0</v>
      </c>
      <c r="BV80" s="351">
        <v>13607</v>
      </c>
      <c r="BW80" s="351">
        <f>9083+29890</f>
        <v>38973</v>
      </c>
      <c r="BX80" s="351">
        <f>19632</f>
        <v>19632</v>
      </c>
      <c r="BY80" s="351">
        <f>16506+279</f>
        <v>16785</v>
      </c>
      <c r="BZ80" s="351">
        <v>0</v>
      </c>
      <c r="CA80" s="351">
        <v>0</v>
      </c>
      <c r="CB80" s="351">
        <v>0</v>
      </c>
      <c r="CC80" s="351">
        <v>0</v>
      </c>
      <c r="CD80" s="351">
        <v>0</v>
      </c>
      <c r="CE80" s="28">
        <f t="shared" si="11"/>
        <v>495297</v>
      </c>
      <c r="CF80" s="318">
        <v>0</v>
      </c>
    </row>
    <row r="81" spans="1:84" x14ac:dyDescent="0.35">
      <c r="A81" s="29" t="s">
        <v>281</v>
      </c>
      <c r="B81" s="16"/>
      <c r="C81" s="351">
        <v>0</v>
      </c>
      <c r="D81" s="351">
        <v>0</v>
      </c>
      <c r="E81" s="351">
        <v>0</v>
      </c>
      <c r="F81" s="351">
        <v>0</v>
      </c>
      <c r="G81" s="351">
        <v>0</v>
      </c>
      <c r="H81" s="351">
        <v>0</v>
      </c>
      <c r="I81" s="351">
        <v>0</v>
      </c>
      <c r="J81" s="351">
        <v>0</v>
      </c>
      <c r="K81" s="351">
        <v>0</v>
      </c>
      <c r="L81" s="351">
        <v>0</v>
      </c>
      <c r="M81" s="351">
        <v>0</v>
      </c>
      <c r="N81" s="351">
        <v>0</v>
      </c>
      <c r="O81" s="351">
        <v>0</v>
      </c>
      <c r="P81" s="351">
        <v>0</v>
      </c>
      <c r="Q81" s="351">
        <v>0</v>
      </c>
      <c r="R81" s="351">
        <v>0</v>
      </c>
      <c r="S81" s="351">
        <v>0</v>
      </c>
      <c r="T81" s="351">
        <v>0</v>
      </c>
      <c r="U81" s="351">
        <v>0</v>
      </c>
      <c r="V81" s="351">
        <v>0</v>
      </c>
      <c r="W81" s="351">
        <v>0</v>
      </c>
      <c r="X81" s="351">
        <v>0</v>
      </c>
      <c r="Y81" s="351">
        <v>0</v>
      </c>
      <c r="Z81" s="351">
        <v>0</v>
      </c>
      <c r="AA81" s="351">
        <v>0</v>
      </c>
      <c r="AB81" s="351">
        <v>0</v>
      </c>
      <c r="AC81" s="351">
        <v>0</v>
      </c>
      <c r="AD81" s="351">
        <v>0</v>
      </c>
      <c r="AE81" s="351">
        <v>0</v>
      </c>
      <c r="AF81" s="351">
        <v>0</v>
      </c>
      <c r="AG81" s="351">
        <v>0</v>
      </c>
      <c r="AH81" s="351">
        <v>0</v>
      </c>
      <c r="AI81" s="351">
        <v>0</v>
      </c>
      <c r="AJ81" s="351">
        <v>0</v>
      </c>
      <c r="AK81" s="351">
        <v>0</v>
      </c>
      <c r="AL81" s="351">
        <v>0</v>
      </c>
      <c r="AM81" s="351">
        <v>0</v>
      </c>
      <c r="AN81" s="351">
        <v>0</v>
      </c>
      <c r="AO81" s="351">
        <v>0</v>
      </c>
      <c r="AP81" s="351">
        <v>0</v>
      </c>
      <c r="AQ81" s="351">
        <v>0</v>
      </c>
      <c r="AR81" s="351">
        <v>0</v>
      </c>
      <c r="AS81" s="351">
        <v>0</v>
      </c>
      <c r="AT81" s="351">
        <v>0</v>
      </c>
      <c r="AU81" s="351">
        <v>0</v>
      </c>
      <c r="AV81" s="351">
        <v>0</v>
      </c>
      <c r="AW81" s="351">
        <v>0</v>
      </c>
      <c r="AX81" s="351">
        <v>0</v>
      </c>
      <c r="AY81" s="351">
        <v>0</v>
      </c>
      <c r="AZ81" s="351">
        <v>0</v>
      </c>
      <c r="BA81" s="351">
        <v>0</v>
      </c>
      <c r="BB81" s="351">
        <v>0</v>
      </c>
      <c r="BC81" s="351">
        <v>0</v>
      </c>
      <c r="BD81" s="351">
        <v>0</v>
      </c>
      <c r="BE81" s="351">
        <v>0</v>
      </c>
      <c r="BF81" s="351">
        <v>0</v>
      </c>
      <c r="BG81" s="351">
        <v>0</v>
      </c>
      <c r="BH81" s="351">
        <v>0</v>
      </c>
      <c r="BI81" s="351">
        <v>0</v>
      </c>
      <c r="BJ81" s="351">
        <v>0</v>
      </c>
      <c r="BK81" s="351">
        <v>0</v>
      </c>
      <c r="BL81" s="351">
        <v>0</v>
      </c>
      <c r="BM81" s="351">
        <v>0</v>
      </c>
      <c r="BN81" s="351">
        <v>0</v>
      </c>
      <c r="BO81" s="351">
        <v>0</v>
      </c>
      <c r="BP81" s="351">
        <v>0</v>
      </c>
      <c r="BQ81" s="351">
        <v>0</v>
      </c>
      <c r="BR81" s="351">
        <v>0</v>
      </c>
      <c r="BS81" s="351">
        <v>0</v>
      </c>
      <c r="BT81" s="351">
        <v>0</v>
      </c>
      <c r="BU81" s="351">
        <v>0</v>
      </c>
      <c r="BV81" s="351">
        <v>0</v>
      </c>
      <c r="BW81" s="351">
        <v>0</v>
      </c>
      <c r="BX81" s="351">
        <v>0</v>
      </c>
      <c r="BY81" s="351">
        <v>0</v>
      </c>
      <c r="BZ81" s="351">
        <v>0</v>
      </c>
      <c r="CA81" s="351">
        <v>0</v>
      </c>
      <c r="CB81" s="351">
        <v>0</v>
      </c>
      <c r="CC81" s="351">
        <v>0</v>
      </c>
      <c r="CD81" s="351">
        <v>0</v>
      </c>
      <c r="CE81" s="28">
        <f t="shared" si="11"/>
        <v>0</v>
      </c>
      <c r="CF81" s="318">
        <v>0</v>
      </c>
    </row>
    <row r="82" spans="1:84" x14ac:dyDescent="0.35">
      <c r="A82" s="29" t="s">
        <v>282</v>
      </c>
      <c r="B82" s="16"/>
      <c r="C82" s="351">
        <v>0</v>
      </c>
      <c r="D82" s="351">
        <v>0</v>
      </c>
      <c r="E82" s="351">
        <v>0</v>
      </c>
      <c r="F82" s="351">
        <v>0</v>
      </c>
      <c r="G82" s="351">
        <v>0</v>
      </c>
      <c r="H82" s="351">
        <v>0</v>
      </c>
      <c r="I82" s="351">
        <v>0</v>
      </c>
      <c r="J82" s="351">
        <v>0</v>
      </c>
      <c r="K82" s="351">
        <v>0</v>
      </c>
      <c r="L82" s="351">
        <v>0</v>
      </c>
      <c r="M82" s="351">
        <v>0</v>
      </c>
      <c r="N82" s="351">
        <v>0</v>
      </c>
      <c r="O82" s="351">
        <v>0</v>
      </c>
      <c r="P82" s="351">
        <v>0</v>
      </c>
      <c r="Q82" s="351">
        <v>0</v>
      </c>
      <c r="R82" s="351">
        <v>0</v>
      </c>
      <c r="S82" s="351">
        <v>0</v>
      </c>
      <c r="T82" s="351">
        <v>0</v>
      </c>
      <c r="U82" s="351">
        <v>0</v>
      </c>
      <c r="V82" s="351">
        <v>0</v>
      </c>
      <c r="W82" s="351">
        <v>0</v>
      </c>
      <c r="X82" s="351">
        <v>0</v>
      </c>
      <c r="Y82" s="351">
        <v>0</v>
      </c>
      <c r="Z82" s="351">
        <v>0</v>
      </c>
      <c r="AA82" s="351">
        <v>0</v>
      </c>
      <c r="AB82" s="351">
        <v>0</v>
      </c>
      <c r="AC82" s="351">
        <v>0</v>
      </c>
      <c r="AD82" s="351">
        <v>0</v>
      </c>
      <c r="AE82" s="351">
        <v>0</v>
      </c>
      <c r="AF82" s="351">
        <v>0</v>
      </c>
      <c r="AG82" s="351">
        <v>0</v>
      </c>
      <c r="AH82" s="351">
        <v>0</v>
      </c>
      <c r="AI82" s="351">
        <v>0</v>
      </c>
      <c r="AJ82" s="351">
        <v>0</v>
      </c>
      <c r="AK82" s="351">
        <v>0</v>
      </c>
      <c r="AL82" s="351">
        <v>0</v>
      </c>
      <c r="AM82" s="351">
        <v>0</v>
      </c>
      <c r="AN82" s="351">
        <v>0</v>
      </c>
      <c r="AO82" s="351">
        <v>0</v>
      </c>
      <c r="AP82" s="351">
        <v>0</v>
      </c>
      <c r="AQ82" s="351">
        <v>0</v>
      </c>
      <c r="AR82" s="351">
        <v>0</v>
      </c>
      <c r="AS82" s="351">
        <v>0</v>
      </c>
      <c r="AT82" s="351">
        <v>0</v>
      </c>
      <c r="AU82" s="351">
        <v>0</v>
      </c>
      <c r="AV82" s="351">
        <v>0</v>
      </c>
      <c r="AW82" s="351">
        <v>0</v>
      </c>
      <c r="AX82" s="351">
        <v>0</v>
      </c>
      <c r="AY82" s="351">
        <v>0</v>
      </c>
      <c r="AZ82" s="351">
        <v>0</v>
      </c>
      <c r="BA82" s="351">
        <v>0</v>
      </c>
      <c r="BB82" s="351">
        <v>0</v>
      </c>
      <c r="BC82" s="351">
        <v>0</v>
      </c>
      <c r="BD82" s="351">
        <v>0</v>
      </c>
      <c r="BE82" s="351">
        <v>0</v>
      </c>
      <c r="BF82" s="351">
        <v>0</v>
      </c>
      <c r="BG82" s="351">
        <v>0</v>
      </c>
      <c r="BH82" s="351">
        <v>0</v>
      </c>
      <c r="BI82" s="351">
        <v>0</v>
      </c>
      <c r="BJ82" s="351">
        <v>0</v>
      </c>
      <c r="BK82" s="351">
        <v>0</v>
      </c>
      <c r="BL82" s="351">
        <v>0</v>
      </c>
      <c r="BM82" s="351">
        <v>0</v>
      </c>
      <c r="BN82" s="351">
        <v>0</v>
      </c>
      <c r="BO82" s="351">
        <v>0</v>
      </c>
      <c r="BP82" s="351">
        <v>0</v>
      </c>
      <c r="BQ82" s="351">
        <v>0</v>
      </c>
      <c r="BR82" s="351">
        <v>0</v>
      </c>
      <c r="BS82" s="351">
        <v>0</v>
      </c>
      <c r="BT82" s="351">
        <v>0</v>
      </c>
      <c r="BU82" s="351">
        <v>0</v>
      </c>
      <c r="BV82" s="351">
        <v>0</v>
      </c>
      <c r="BW82" s="351">
        <v>0</v>
      </c>
      <c r="BX82" s="351">
        <v>0</v>
      </c>
      <c r="BY82" s="351">
        <v>0</v>
      </c>
      <c r="BZ82" s="351">
        <v>0</v>
      </c>
      <c r="CA82" s="351">
        <v>0</v>
      </c>
      <c r="CB82" s="351">
        <v>0</v>
      </c>
      <c r="CC82" s="351">
        <v>0</v>
      </c>
      <c r="CD82" s="351">
        <v>0</v>
      </c>
      <c r="CE82" s="28">
        <f t="shared" si="11"/>
        <v>0</v>
      </c>
      <c r="CF82" s="318">
        <v>0</v>
      </c>
    </row>
    <row r="83" spans="1:84" x14ac:dyDescent="0.35">
      <c r="A83" s="29" t="s">
        <v>283</v>
      </c>
      <c r="B83" s="16"/>
      <c r="C83" s="337">
        <f>2850-1062</f>
        <v>1788</v>
      </c>
      <c r="D83" s="337">
        <v>0</v>
      </c>
      <c r="E83" s="338">
        <v>16695</v>
      </c>
      <c r="F83" s="338">
        <v>0</v>
      </c>
      <c r="G83" s="337">
        <v>0</v>
      </c>
      <c r="H83" s="337">
        <v>0</v>
      </c>
      <c r="I83" s="338">
        <v>0</v>
      </c>
      <c r="J83" s="338">
        <v>0</v>
      </c>
      <c r="K83" s="338">
        <v>0</v>
      </c>
      <c r="L83" s="338">
        <v>392</v>
      </c>
      <c r="M83" s="337">
        <v>0</v>
      </c>
      <c r="N83" s="337">
        <v>0</v>
      </c>
      <c r="O83" s="337">
        <v>0</v>
      </c>
      <c r="P83" s="338">
        <f>19341-10537</f>
        <v>8804</v>
      </c>
      <c r="Q83" s="338">
        <v>0</v>
      </c>
      <c r="R83" s="343">
        <v>0</v>
      </c>
      <c r="S83" s="338">
        <v>2073</v>
      </c>
      <c r="T83" s="337">
        <v>0</v>
      </c>
      <c r="U83" s="338">
        <f>29729-8085</f>
        <v>21644</v>
      </c>
      <c r="V83" s="338">
        <v>0</v>
      </c>
      <c r="W83" s="337">
        <v>441</v>
      </c>
      <c r="X83" s="338">
        <v>1335</v>
      </c>
      <c r="Y83" s="338">
        <f>9782-Y80</f>
        <v>3582</v>
      </c>
      <c r="Z83" s="338">
        <v>0</v>
      </c>
      <c r="AA83" s="338">
        <v>0</v>
      </c>
      <c r="AB83" s="338">
        <v>7433</v>
      </c>
      <c r="AC83" s="338">
        <v>0</v>
      </c>
      <c r="AD83" s="338">
        <v>0</v>
      </c>
      <c r="AE83" s="338">
        <v>2210</v>
      </c>
      <c r="AF83" s="338">
        <v>0</v>
      </c>
      <c r="AG83" s="338">
        <f>103967-AG80</f>
        <v>39266</v>
      </c>
      <c r="AH83" s="338">
        <v>0</v>
      </c>
      <c r="AI83" s="338">
        <v>0</v>
      </c>
      <c r="AJ83" s="338">
        <f>392471-AJ80</f>
        <v>224604</v>
      </c>
      <c r="AK83" s="338">
        <v>473</v>
      </c>
      <c r="AL83" s="338">
        <v>2184</v>
      </c>
      <c r="AM83" s="338">
        <v>0</v>
      </c>
      <c r="AN83" s="338">
        <v>0</v>
      </c>
      <c r="AO83" s="337">
        <v>8164</v>
      </c>
      <c r="AP83" s="338">
        <v>0</v>
      </c>
      <c r="AQ83" s="337">
        <v>0</v>
      </c>
      <c r="AR83" s="337">
        <f>89829-AR80</f>
        <v>88499</v>
      </c>
      <c r="AS83" s="337">
        <v>0</v>
      </c>
      <c r="AT83" s="337">
        <v>0</v>
      </c>
      <c r="AU83" s="338">
        <v>0</v>
      </c>
      <c r="AV83" s="338">
        <v>0</v>
      </c>
      <c r="AW83" s="338">
        <v>0</v>
      </c>
      <c r="AX83" s="338">
        <v>0</v>
      </c>
      <c r="AY83" s="338">
        <f>3966-AY80</f>
        <v>1861</v>
      </c>
      <c r="AZ83" s="338">
        <v>0</v>
      </c>
      <c r="BA83" s="338">
        <v>0</v>
      </c>
      <c r="BB83" s="338">
        <v>69</v>
      </c>
      <c r="BC83" s="338">
        <v>0</v>
      </c>
      <c r="BD83" s="338">
        <f>140051-BD80</f>
        <v>134760</v>
      </c>
      <c r="BE83" s="338">
        <f>19569-BE80</f>
        <v>12083</v>
      </c>
      <c r="BF83" s="338">
        <v>2183</v>
      </c>
      <c r="BG83" s="338">
        <v>0</v>
      </c>
      <c r="BH83" s="343">
        <f>16027-BH80</f>
        <v>859</v>
      </c>
      <c r="BI83" s="338">
        <v>0</v>
      </c>
      <c r="BJ83" s="338">
        <f>6911-BJ80</f>
        <v>1325</v>
      </c>
      <c r="BK83" s="338">
        <f>9524-BK80</f>
        <v>3547</v>
      </c>
      <c r="BL83" s="338">
        <v>0</v>
      </c>
      <c r="BM83" s="338">
        <v>0</v>
      </c>
      <c r="BN83" s="338">
        <f>231047-BN80</f>
        <v>170604</v>
      </c>
      <c r="BO83" s="338">
        <f>6477-BO80</f>
        <v>690</v>
      </c>
      <c r="BP83" s="338">
        <f>334126-BP80</f>
        <v>324193</v>
      </c>
      <c r="BQ83" s="338">
        <v>0</v>
      </c>
      <c r="BR83" s="338">
        <f>28316-BR80</f>
        <v>25374</v>
      </c>
      <c r="BS83" s="338">
        <v>0</v>
      </c>
      <c r="BT83" s="338">
        <v>0</v>
      </c>
      <c r="BU83" s="338">
        <v>0</v>
      </c>
      <c r="BV83" s="338">
        <f>15947-BV80</f>
        <v>2340</v>
      </c>
      <c r="BW83" s="338">
        <f>262297-BW80</f>
        <v>223324</v>
      </c>
      <c r="BX83" s="338">
        <f>25944-BX80</f>
        <v>6312</v>
      </c>
      <c r="BY83" s="338">
        <f>29276-BY80</f>
        <v>12491</v>
      </c>
      <c r="BZ83" s="338">
        <v>0</v>
      </c>
      <c r="CA83" s="338">
        <v>0</v>
      </c>
      <c r="CB83" s="338">
        <v>0</v>
      </c>
      <c r="CC83" s="338">
        <v>804621</v>
      </c>
      <c r="CD83" s="351">
        <f>4592637-CD73</f>
        <v>2498854</v>
      </c>
      <c r="CE83" s="28">
        <f t="shared" si="11"/>
        <v>4655077</v>
      </c>
      <c r="CF83" s="318">
        <v>0</v>
      </c>
    </row>
    <row r="84" spans="1:84" x14ac:dyDescent="0.35">
      <c r="A84" s="35" t="s">
        <v>284</v>
      </c>
      <c r="B84" s="16"/>
      <c r="C84" s="337">
        <v>0</v>
      </c>
      <c r="D84" s="337">
        <v>0</v>
      </c>
      <c r="E84" s="337">
        <v>0</v>
      </c>
      <c r="F84" s="337">
        <v>0</v>
      </c>
      <c r="G84" s="337">
        <v>0</v>
      </c>
      <c r="H84" s="337">
        <v>0</v>
      </c>
      <c r="I84" s="337">
        <v>0</v>
      </c>
      <c r="J84" s="337">
        <v>0</v>
      </c>
      <c r="K84" s="337">
        <v>0</v>
      </c>
      <c r="L84" s="337">
        <v>0</v>
      </c>
      <c r="M84" s="337">
        <v>0</v>
      </c>
      <c r="N84" s="337">
        <v>0</v>
      </c>
      <c r="O84" s="337">
        <v>2869</v>
      </c>
      <c r="P84" s="337">
        <v>0</v>
      </c>
      <c r="Q84" s="337">
        <v>0</v>
      </c>
      <c r="R84" s="337">
        <v>0</v>
      </c>
      <c r="S84" s="337">
        <v>47284</v>
      </c>
      <c r="T84" s="337">
        <v>0</v>
      </c>
      <c r="U84" s="337">
        <v>0</v>
      </c>
      <c r="V84" s="337">
        <v>0</v>
      </c>
      <c r="W84" s="337">
        <v>0</v>
      </c>
      <c r="X84" s="337">
        <v>0</v>
      </c>
      <c r="Y84" s="337">
        <v>2990</v>
      </c>
      <c r="Z84" s="337">
        <v>0</v>
      </c>
      <c r="AA84" s="337">
        <v>0</v>
      </c>
      <c r="AB84" s="337">
        <v>4769</v>
      </c>
      <c r="AC84" s="337">
        <v>0</v>
      </c>
      <c r="AD84" s="337">
        <v>0</v>
      </c>
      <c r="AE84" s="337">
        <v>0</v>
      </c>
      <c r="AF84" s="337">
        <v>0</v>
      </c>
      <c r="AG84" s="337">
        <v>0</v>
      </c>
      <c r="AH84" s="337">
        <v>0</v>
      </c>
      <c r="AI84" s="337">
        <v>0</v>
      </c>
      <c r="AJ84" s="337">
        <v>230216</v>
      </c>
      <c r="AK84" s="337">
        <v>0</v>
      </c>
      <c r="AL84" s="337">
        <v>0</v>
      </c>
      <c r="AM84" s="337">
        <v>0</v>
      </c>
      <c r="AN84" s="337">
        <v>0</v>
      </c>
      <c r="AO84" s="337">
        <v>0</v>
      </c>
      <c r="AP84" s="337">
        <v>0</v>
      </c>
      <c r="AQ84" s="337">
        <v>0</v>
      </c>
      <c r="AR84" s="337">
        <v>0</v>
      </c>
      <c r="AS84" s="337">
        <v>0</v>
      </c>
      <c r="AT84" s="337">
        <v>0</v>
      </c>
      <c r="AU84" s="337">
        <v>0</v>
      </c>
      <c r="AV84" s="337">
        <v>0</v>
      </c>
      <c r="AW84" s="337">
        <v>0</v>
      </c>
      <c r="AX84" s="337">
        <v>0</v>
      </c>
      <c r="AY84" s="337">
        <v>390678</v>
      </c>
      <c r="AZ84" s="337">
        <v>0</v>
      </c>
      <c r="BA84" s="337">
        <v>0</v>
      </c>
      <c r="BB84" s="337">
        <v>0</v>
      </c>
      <c r="BC84" s="337">
        <v>0</v>
      </c>
      <c r="BD84" s="337">
        <v>0</v>
      </c>
      <c r="BE84" s="337">
        <v>0</v>
      </c>
      <c r="BF84" s="337">
        <v>0</v>
      </c>
      <c r="BG84" s="337">
        <v>0</v>
      </c>
      <c r="BH84" s="337">
        <v>30119</v>
      </c>
      <c r="BI84" s="337">
        <v>0</v>
      </c>
      <c r="BJ84" s="337">
        <v>0</v>
      </c>
      <c r="BK84" s="337">
        <v>5552</v>
      </c>
      <c r="BL84" s="337">
        <v>0</v>
      </c>
      <c r="BM84" s="337">
        <v>0</v>
      </c>
      <c r="BN84" s="337">
        <v>47927</v>
      </c>
      <c r="BO84" s="337">
        <v>0</v>
      </c>
      <c r="BP84" s="337">
        <v>0</v>
      </c>
      <c r="BQ84" s="337">
        <v>0</v>
      </c>
      <c r="BR84" s="337">
        <v>40</v>
      </c>
      <c r="BS84" s="337">
        <v>0</v>
      </c>
      <c r="BT84" s="337">
        <v>0</v>
      </c>
      <c r="BU84" s="337">
        <v>0</v>
      </c>
      <c r="BV84" s="337">
        <v>1120</v>
      </c>
      <c r="BW84" s="337">
        <v>0</v>
      </c>
      <c r="BX84" s="337">
        <v>0</v>
      </c>
      <c r="BY84" s="337">
        <v>0</v>
      </c>
      <c r="BZ84" s="337">
        <v>0</v>
      </c>
      <c r="CA84" s="337">
        <v>0</v>
      </c>
      <c r="CB84" s="337">
        <v>0</v>
      </c>
      <c r="CC84" s="337">
        <v>310297</v>
      </c>
      <c r="CD84" s="351">
        <v>0</v>
      </c>
      <c r="CE84" s="28">
        <f t="shared" si="11"/>
        <v>1073861</v>
      </c>
      <c r="CF84" s="318">
        <v>0</v>
      </c>
    </row>
    <row r="85" spans="1:84" x14ac:dyDescent="0.35">
      <c r="A85" s="35" t="s">
        <v>285</v>
      </c>
      <c r="B85" s="28"/>
      <c r="C85" s="28">
        <f>SUM(C61:C69)-C84</f>
        <v>2547968</v>
      </c>
      <c r="D85" s="28">
        <f t="shared" ref="D85:BO85" si="12">SUM(D61:D69)-D84</f>
        <v>0</v>
      </c>
      <c r="E85" s="28">
        <f t="shared" si="12"/>
        <v>3293945</v>
      </c>
      <c r="F85" s="28">
        <f t="shared" si="12"/>
        <v>0</v>
      </c>
      <c r="G85" s="28">
        <f t="shared" si="12"/>
        <v>0</v>
      </c>
      <c r="H85" s="28">
        <f t="shared" si="12"/>
        <v>0</v>
      </c>
      <c r="I85" s="28">
        <f t="shared" si="12"/>
        <v>0</v>
      </c>
      <c r="J85" s="28">
        <f t="shared" si="12"/>
        <v>453167</v>
      </c>
      <c r="K85" s="28">
        <f t="shared" si="12"/>
        <v>0</v>
      </c>
      <c r="L85" s="28">
        <f t="shared" si="12"/>
        <v>76890</v>
      </c>
      <c r="M85" s="28">
        <f t="shared" si="12"/>
        <v>0</v>
      </c>
      <c r="N85" s="28">
        <f t="shared" si="12"/>
        <v>0</v>
      </c>
      <c r="O85" s="28">
        <f t="shared" si="12"/>
        <v>2504180</v>
      </c>
      <c r="P85" s="28">
        <f t="shared" si="12"/>
        <v>8172924</v>
      </c>
      <c r="Q85" s="28">
        <f t="shared" si="12"/>
        <v>4639481</v>
      </c>
      <c r="R85" s="28">
        <f t="shared" si="12"/>
        <v>0</v>
      </c>
      <c r="S85" s="28">
        <f t="shared" si="12"/>
        <v>632571</v>
      </c>
      <c r="T85" s="28">
        <f t="shared" si="12"/>
        <v>0</v>
      </c>
      <c r="U85" s="28">
        <f t="shared" si="12"/>
        <v>6315723</v>
      </c>
      <c r="V85" s="28">
        <f t="shared" si="12"/>
        <v>0</v>
      </c>
      <c r="W85" s="28">
        <f t="shared" si="12"/>
        <v>310446</v>
      </c>
      <c r="X85" s="28">
        <f t="shared" si="12"/>
        <v>1389079</v>
      </c>
      <c r="Y85" s="28">
        <f t="shared" si="12"/>
        <v>2881136</v>
      </c>
      <c r="Z85" s="28">
        <f t="shared" si="12"/>
        <v>0</v>
      </c>
      <c r="AA85" s="28">
        <f t="shared" si="12"/>
        <v>0</v>
      </c>
      <c r="AB85" s="28">
        <f t="shared" si="12"/>
        <v>6332652</v>
      </c>
      <c r="AC85" s="28">
        <f t="shared" si="12"/>
        <v>1304225</v>
      </c>
      <c r="AD85" s="28">
        <f t="shared" si="12"/>
        <v>0</v>
      </c>
      <c r="AE85" s="28">
        <f t="shared" si="12"/>
        <v>1418104</v>
      </c>
      <c r="AF85" s="28">
        <f t="shared" si="12"/>
        <v>0</v>
      </c>
      <c r="AG85" s="28">
        <f t="shared" si="12"/>
        <v>8923315</v>
      </c>
      <c r="AH85" s="28">
        <f t="shared" si="12"/>
        <v>0</v>
      </c>
      <c r="AI85" s="28">
        <f t="shared" si="12"/>
        <v>0</v>
      </c>
      <c r="AJ85" s="28">
        <f t="shared" si="12"/>
        <v>34075480</v>
      </c>
      <c r="AK85" s="28">
        <f t="shared" si="12"/>
        <v>230143</v>
      </c>
      <c r="AL85" s="28">
        <f t="shared" si="12"/>
        <v>281706</v>
      </c>
      <c r="AM85" s="28">
        <f t="shared" si="12"/>
        <v>0</v>
      </c>
      <c r="AN85" s="28">
        <f t="shared" si="12"/>
        <v>0</v>
      </c>
      <c r="AO85" s="28">
        <f t="shared" si="12"/>
        <v>1599371</v>
      </c>
      <c r="AP85" s="28">
        <f t="shared" si="12"/>
        <v>0</v>
      </c>
      <c r="AQ85" s="28">
        <f t="shared" si="12"/>
        <v>0</v>
      </c>
      <c r="AR85" s="28">
        <f t="shared" si="12"/>
        <v>3331633</v>
      </c>
      <c r="AS85" s="28">
        <f t="shared" si="12"/>
        <v>0</v>
      </c>
      <c r="AT85" s="28">
        <f t="shared" si="12"/>
        <v>0</v>
      </c>
      <c r="AU85" s="28">
        <f t="shared" si="12"/>
        <v>0</v>
      </c>
      <c r="AV85" s="28">
        <f t="shared" si="12"/>
        <v>0</v>
      </c>
      <c r="AW85" s="28">
        <f t="shared" si="12"/>
        <v>0</v>
      </c>
      <c r="AX85" s="28">
        <f t="shared" si="12"/>
        <v>0</v>
      </c>
      <c r="AY85" s="28">
        <f t="shared" si="12"/>
        <v>1140687</v>
      </c>
      <c r="AZ85" s="28">
        <f t="shared" si="12"/>
        <v>84604</v>
      </c>
      <c r="BA85" s="28">
        <f t="shared" si="12"/>
        <v>258704</v>
      </c>
      <c r="BB85" s="28">
        <f t="shared" si="12"/>
        <v>208038</v>
      </c>
      <c r="BC85" s="28">
        <f t="shared" si="12"/>
        <v>0</v>
      </c>
      <c r="BD85" s="28">
        <f t="shared" si="12"/>
        <v>851575</v>
      </c>
      <c r="BE85" s="28">
        <f t="shared" si="12"/>
        <v>3143634</v>
      </c>
      <c r="BF85" s="28">
        <f t="shared" si="12"/>
        <v>1827615</v>
      </c>
      <c r="BG85" s="28">
        <f t="shared" si="12"/>
        <v>0</v>
      </c>
      <c r="BH85" s="28">
        <f t="shared" si="12"/>
        <v>6007550</v>
      </c>
      <c r="BI85" s="28">
        <f t="shared" si="12"/>
        <v>24907</v>
      </c>
      <c r="BJ85" s="28">
        <f t="shared" si="12"/>
        <v>1370050</v>
      </c>
      <c r="BK85" s="28">
        <f t="shared" si="12"/>
        <v>4341629</v>
      </c>
      <c r="BL85" s="28">
        <f t="shared" si="12"/>
        <v>0</v>
      </c>
      <c r="BM85" s="28">
        <f t="shared" si="12"/>
        <v>0</v>
      </c>
      <c r="BN85" s="28">
        <f t="shared" si="12"/>
        <v>2848446</v>
      </c>
      <c r="BO85" s="28">
        <f t="shared" si="12"/>
        <v>334438</v>
      </c>
      <c r="BP85" s="28">
        <f t="shared" ref="BP85:CD85" si="13">SUM(BP61:BP69)-BP84</f>
        <v>920902</v>
      </c>
      <c r="BQ85" s="28">
        <f t="shared" si="13"/>
        <v>0</v>
      </c>
      <c r="BR85" s="28">
        <f t="shared" si="13"/>
        <v>1315242</v>
      </c>
      <c r="BS85" s="28">
        <f t="shared" si="13"/>
        <v>0</v>
      </c>
      <c r="BT85" s="28">
        <f t="shared" si="13"/>
        <v>0</v>
      </c>
      <c r="BU85" s="28">
        <f t="shared" si="13"/>
        <v>0</v>
      </c>
      <c r="BV85" s="28">
        <f t="shared" si="13"/>
        <v>2565736</v>
      </c>
      <c r="BW85" s="28">
        <f t="shared" si="13"/>
        <v>1369206</v>
      </c>
      <c r="BX85" s="28">
        <f t="shared" si="13"/>
        <v>1274365</v>
      </c>
      <c r="BY85" s="28">
        <f t="shared" si="13"/>
        <v>1741707</v>
      </c>
      <c r="BZ85" s="28">
        <f t="shared" si="13"/>
        <v>0</v>
      </c>
      <c r="CA85" s="28">
        <f t="shared" si="13"/>
        <v>0</v>
      </c>
      <c r="CB85" s="28">
        <f t="shared" si="13"/>
        <v>0</v>
      </c>
      <c r="CC85" s="28">
        <f t="shared" si="13"/>
        <v>805630</v>
      </c>
      <c r="CD85" s="28">
        <f t="shared" si="13"/>
        <v>4592637</v>
      </c>
      <c r="CE85" s="28">
        <f t="shared" si="11"/>
        <v>127741441</v>
      </c>
      <c r="CF85" s="318">
        <v>0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3">
        <v>0</v>
      </c>
      <c r="CF86" s="318">
        <v>0</v>
      </c>
    </row>
    <row r="87" spans="1:84" x14ac:dyDescent="0.35">
      <c r="A87" s="22" t="s">
        <v>287</v>
      </c>
      <c r="B87" s="16"/>
      <c r="C87" s="337">
        <v>1713113</v>
      </c>
      <c r="D87" s="337">
        <v>0</v>
      </c>
      <c r="E87" s="337">
        <v>5742184</v>
      </c>
      <c r="F87" s="337">
        <v>0</v>
      </c>
      <c r="G87" s="337">
        <v>0</v>
      </c>
      <c r="H87" s="337">
        <v>0</v>
      </c>
      <c r="I87" s="337">
        <v>0</v>
      </c>
      <c r="J87" s="337">
        <v>635670</v>
      </c>
      <c r="K87" s="337">
        <v>0</v>
      </c>
      <c r="L87" s="337">
        <v>136397</v>
      </c>
      <c r="M87" s="337">
        <v>0</v>
      </c>
      <c r="N87" s="337">
        <v>0</v>
      </c>
      <c r="O87" s="337">
        <v>1243433</v>
      </c>
      <c r="P87" s="337">
        <v>3480044</v>
      </c>
      <c r="Q87" s="337">
        <v>262557</v>
      </c>
      <c r="R87" s="337">
        <v>0</v>
      </c>
      <c r="S87" s="337">
        <v>1413603</v>
      </c>
      <c r="T87" s="337">
        <v>0</v>
      </c>
      <c r="U87" s="337">
        <v>1864902</v>
      </c>
      <c r="V87" s="337">
        <v>0</v>
      </c>
      <c r="W87" s="337">
        <v>208240</v>
      </c>
      <c r="X87" s="337">
        <v>1523482</v>
      </c>
      <c r="Y87" s="337">
        <v>385602</v>
      </c>
      <c r="Z87" s="337">
        <v>0</v>
      </c>
      <c r="AA87" s="337">
        <v>0</v>
      </c>
      <c r="AB87" s="337">
        <v>4169297</v>
      </c>
      <c r="AC87" s="337">
        <v>897048</v>
      </c>
      <c r="AD87" s="337">
        <v>0</v>
      </c>
      <c r="AE87" s="337">
        <v>174755</v>
      </c>
      <c r="AF87" s="337">
        <v>0</v>
      </c>
      <c r="AG87" s="337">
        <v>525347</v>
      </c>
      <c r="AH87" s="337">
        <v>0</v>
      </c>
      <c r="AI87" s="337">
        <v>0</v>
      </c>
      <c r="AJ87" s="337">
        <v>1385392</v>
      </c>
      <c r="AK87" s="337">
        <v>58923</v>
      </c>
      <c r="AL87" s="337">
        <v>32790</v>
      </c>
      <c r="AM87" s="337">
        <v>0</v>
      </c>
      <c r="AN87" s="337">
        <v>0</v>
      </c>
      <c r="AO87" s="337">
        <v>63905</v>
      </c>
      <c r="AP87" s="337">
        <v>0</v>
      </c>
      <c r="AQ87" s="337">
        <v>0</v>
      </c>
      <c r="AR87" s="337">
        <v>0</v>
      </c>
      <c r="AS87" s="337">
        <v>0</v>
      </c>
      <c r="AT87" s="337">
        <v>0</v>
      </c>
      <c r="AU87" s="337">
        <v>0</v>
      </c>
      <c r="AV87" s="337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14">SUM(C87:CD87)</f>
        <v>25916684</v>
      </c>
      <c r="CF87" s="318">
        <v>0</v>
      </c>
    </row>
    <row r="88" spans="1:84" x14ac:dyDescent="0.35">
      <c r="A88" s="22" t="s">
        <v>288</v>
      </c>
      <c r="B88" s="16"/>
      <c r="C88" s="337">
        <v>-10007</v>
      </c>
      <c r="D88" s="337">
        <v>0</v>
      </c>
      <c r="E88" s="337">
        <v>136397</v>
      </c>
      <c r="F88" s="337">
        <v>0</v>
      </c>
      <c r="G88" s="337">
        <v>0</v>
      </c>
      <c r="H88" s="337">
        <v>0</v>
      </c>
      <c r="I88" s="337">
        <v>0</v>
      </c>
      <c r="J88" s="337">
        <v>0</v>
      </c>
      <c r="K88" s="337">
        <v>0</v>
      </c>
      <c r="L88" s="337">
        <v>3206</v>
      </c>
      <c r="M88" s="337">
        <v>0</v>
      </c>
      <c r="N88" s="337">
        <v>0</v>
      </c>
      <c r="O88" s="337">
        <v>490151</v>
      </c>
      <c r="P88" s="337">
        <v>25225404</v>
      </c>
      <c r="Q88" s="337">
        <v>5622878</v>
      </c>
      <c r="R88" s="337">
        <v>0</v>
      </c>
      <c r="S88" s="337">
        <v>8283655</v>
      </c>
      <c r="T88" s="337">
        <v>0</v>
      </c>
      <c r="U88" s="337">
        <v>23869215</v>
      </c>
      <c r="V88" s="337">
        <v>0</v>
      </c>
      <c r="W88" s="337">
        <v>8611030</v>
      </c>
      <c r="X88" s="337">
        <v>28736053</v>
      </c>
      <c r="Y88" s="337">
        <v>14115648</v>
      </c>
      <c r="Z88" s="337">
        <v>0</v>
      </c>
      <c r="AA88" s="337">
        <v>0</v>
      </c>
      <c r="AB88" s="337">
        <v>20209423</v>
      </c>
      <c r="AC88" s="337">
        <v>4764509</v>
      </c>
      <c r="AD88" s="337">
        <v>0</v>
      </c>
      <c r="AE88" s="337">
        <v>4020011</v>
      </c>
      <c r="AF88" s="337">
        <v>0</v>
      </c>
      <c r="AG88" s="337">
        <v>27176928</v>
      </c>
      <c r="AH88" s="337">
        <v>0</v>
      </c>
      <c r="AI88" s="337">
        <v>0</v>
      </c>
      <c r="AJ88" s="337">
        <v>33036349</v>
      </c>
      <c r="AK88" s="337">
        <v>690368</v>
      </c>
      <c r="AL88" s="337">
        <v>626949</v>
      </c>
      <c r="AM88" s="337">
        <v>0</v>
      </c>
      <c r="AN88" s="337">
        <v>0</v>
      </c>
      <c r="AO88" s="337">
        <v>5836012</v>
      </c>
      <c r="AP88" s="337">
        <v>0</v>
      </c>
      <c r="AQ88" s="337">
        <v>0</v>
      </c>
      <c r="AR88" s="337">
        <v>3080197</v>
      </c>
      <c r="AS88" s="337">
        <v>0</v>
      </c>
      <c r="AT88" s="337">
        <v>0</v>
      </c>
      <c r="AU88" s="337">
        <v>0</v>
      </c>
      <c r="AV88" s="337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14"/>
        <v>214524376</v>
      </c>
      <c r="CF88" s="318">
        <v>0</v>
      </c>
    </row>
    <row r="89" spans="1:84" x14ac:dyDescent="0.35">
      <c r="A89" s="22" t="s">
        <v>289</v>
      </c>
      <c r="B89" s="16"/>
      <c r="C89" s="28">
        <f>C87+C88</f>
        <v>1703106</v>
      </c>
      <c r="D89" s="28">
        <f t="shared" ref="D89:AV89" si="15">D87+D88</f>
        <v>0</v>
      </c>
      <c r="E89" s="28">
        <f t="shared" si="15"/>
        <v>5878581</v>
      </c>
      <c r="F89" s="28">
        <f t="shared" si="15"/>
        <v>0</v>
      </c>
      <c r="G89" s="28">
        <f t="shared" si="15"/>
        <v>0</v>
      </c>
      <c r="H89" s="28">
        <f t="shared" si="15"/>
        <v>0</v>
      </c>
      <c r="I89" s="28">
        <f t="shared" si="15"/>
        <v>0</v>
      </c>
      <c r="J89" s="28">
        <f t="shared" si="15"/>
        <v>635670</v>
      </c>
      <c r="K89" s="28">
        <f t="shared" si="15"/>
        <v>0</v>
      </c>
      <c r="L89" s="28">
        <f t="shared" si="15"/>
        <v>139603</v>
      </c>
      <c r="M89" s="28">
        <f t="shared" si="15"/>
        <v>0</v>
      </c>
      <c r="N89" s="28">
        <f t="shared" si="15"/>
        <v>0</v>
      </c>
      <c r="O89" s="28">
        <f t="shared" si="15"/>
        <v>1733584</v>
      </c>
      <c r="P89" s="28">
        <f t="shared" si="15"/>
        <v>28705448</v>
      </c>
      <c r="Q89" s="28">
        <f t="shared" si="15"/>
        <v>5885435</v>
      </c>
      <c r="R89" s="28">
        <f t="shared" si="15"/>
        <v>0</v>
      </c>
      <c r="S89" s="28">
        <f t="shared" si="15"/>
        <v>9697258</v>
      </c>
      <c r="T89" s="28">
        <f t="shared" si="15"/>
        <v>0</v>
      </c>
      <c r="U89" s="28">
        <f t="shared" si="15"/>
        <v>25734117</v>
      </c>
      <c r="V89" s="28">
        <f t="shared" si="15"/>
        <v>0</v>
      </c>
      <c r="W89" s="28">
        <f t="shared" si="15"/>
        <v>8819270</v>
      </c>
      <c r="X89" s="28">
        <f t="shared" si="15"/>
        <v>30259535</v>
      </c>
      <c r="Y89" s="28">
        <f t="shared" si="15"/>
        <v>14501250</v>
      </c>
      <c r="Z89" s="28">
        <f t="shared" si="15"/>
        <v>0</v>
      </c>
      <c r="AA89" s="28">
        <f t="shared" si="15"/>
        <v>0</v>
      </c>
      <c r="AB89" s="28">
        <f t="shared" si="15"/>
        <v>24378720</v>
      </c>
      <c r="AC89" s="28">
        <f t="shared" si="15"/>
        <v>5661557</v>
      </c>
      <c r="AD89" s="28">
        <f t="shared" si="15"/>
        <v>0</v>
      </c>
      <c r="AE89" s="28">
        <f t="shared" si="15"/>
        <v>4194766</v>
      </c>
      <c r="AF89" s="28">
        <f t="shared" si="15"/>
        <v>0</v>
      </c>
      <c r="AG89" s="28">
        <f t="shared" si="15"/>
        <v>27702275</v>
      </c>
      <c r="AH89" s="28">
        <f t="shared" si="15"/>
        <v>0</v>
      </c>
      <c r="AI89" s="28">
        <f t="shared" si="15"/>
        <v>0</v>
      </c>
      <c r="AJ89" s="28">
        <f t="shared" si="15"/>
        <v>34421741</v>
      </c>
      <c r="AK89" s="28">
        <f t="shared" si="15"/>
        <v>749291</v>
      </c>
      <c r="AL89" s="28">
        <f t="shared" si="15"/>
        <v>659739</v>
      </c>
      <c r="AM89" s="28">
        <f t="shared" si="15"/>
        <v>0</v>
      </c>
      <c r="AN89" s="28">
        <f t="shared" si="15"/>
        <v>0</v>
      </c>
      <c r="AO89" s="28">
        <f t="shared" si="15"/>
        <v>5899917</v>
      </c>
      <c r="AP89" s="28">
        <f t="shared" si="15"/>
        <v>0</v>
      </c>
      <c r="AQ89" s="28">
        <f t="shared" si="15"/>
        <v>0</v>
      </c>
      <c r="AR89" s="28">
        <f t="shared" si="15"/>
        <v>3080197</v>
      </c>
      <c r="AS89" s="28">
        <f t="shared" si="15"/>
        <v>0</v>
      </c>
      <c r="AT89" s="28">
        <f t="shared" si="15"/>
        <v>0</v>
      </c>
      <c r="AU89" s="28">
        <f t="shared" si="15"/>
        <v>0</v>
      </c>
      <c r="AV89" s="28">
        <f t="shared" si="15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14"/>
        <v>240441060</v>
      </c>
      <c r="CF89" s="318">
        <v>0</v>
      </c>
    </row>
    <row r="90" spans="1:84" x14ac:dyDescent="0.35">
      <c r="A90" s="35" t="s">
        <v>290</v>
      </c>
      <c r="B90" s="28"/>
      <c r="C90" s="337">
        <v>2897</v>
      </c>
      <c r="D90" s="337">
        <v>0</v>
      </c>
      <c r="E90" s="337">
        <v>8281</v>
      </c>
      <c r="F90" s="337">
        <v>0</v>
      </c>
      <c r="G90" s="337">
        <v>0</v>
      </c>
      <c r="H90" s="337">
        <v>0</v>
      </c>
      <c r="I90" s="337">
        <v>0</v>
      </c>
      <c r="J90" s="337">
        <v>252</v>
      </c>
      <c r="K90" s="337">
        <v>0</v>
      </c>
      <c r="L90" s="337">
        <v>195</v>
      </c>
      <c r="M90" s="337">
        <v>0</v>
      </c>
      <c r="N90" s="337">
        <v>0</v>
      </c>
      <c r="O90" s="337">
        <v>2862</v>
      </c>
      <c r="P90" s="337">
        <v>11127</v>
      </c>
      <c r="Q90" s="337">
        <v>1012</v>
      </c>
      <c r="R90" s="337">
        <v>0</v>
      </c>
      <c r="S90" s="337">
        <v>0</v>
      </c>
      <c r="T90" s="337">
        <v>0</v>
      </c>
      <c r="U90" s="337">
        <v>4040</v>
      </c>
      <c r="V90" s="337">
        <v>0</v>
      </c>
      <c r="W90" s="337">
        <v>295</v>
      </c>
      <c r="X90" s="337">
        <v>945</v>
      </c>
      <c r="Y90" s="337">
        <v>3718</v>
      </c>
      <c r="Z90" s="337">
        <v>0</v>
      </c>
      <c r="AA90" s="337">
        <v>0</v>
      </c>
      <c r="AB90" s="337">
        <v>1163</v>
      </c>
      <c r="AC90" s="337">
        <v>1032</v>
      </c>
      <c r="AD90" s="337">
        <v>0</v>
      </c>
      <c r="AE90" s="337">
        <v>0</v>
      </c>
      <c r="AF90" s="337">
        <v>0</v>
      </c>
      <c r="AG90" s="337">
        <v>5160</v>
      </c>
      <c r="AH90" s="337">
        <v>0</v>
      </c>
      <c r="AI90" s="337">
        <v>0</v>
      </c>
      <c r="AJ90" s="337">
        <v>48575</v>
      </c>
      <c r="AK90" s="337">
        <v>0</v>
      </c>
      <c r="AL90" s="337">
        <v>0</v>
      </c>
      <c r="AM90" s="337">
        <v>0</v>
      </c>
      <c r="AN90" s="337">
        <v>0</v>
      </c>
      <c r="AO90" s="337">
        <v>4049</v>
      </c>
      <c r="AP90" s="337">
        <v>0</v>
      </c>
      <c r="AQ90" s="337">
        <v>0</v>
      </c>
      <c r="AR90" s="337">
        <v>1394</v>
      </c>
      <c r="AS90" s="337">
        <v>0</v>
      </c>
      <c r="AT90" s="337">
        <v>0</v>
      </c>
      <c r="AU90" s="337">
        <v>0</v>
      </c>
      <c r="AV90" s="337">
        <v>0</v>
      </c>
      <c r="AW90" s="337">
        <v>0</v>
      </c>
      <c r="AX90" s="337">
        <v>0</v>
      </c>
      <c r="AY90" s="337">
        <v>2653</v>
      </c>
      <c r="AZ90" s="337">
        <v>1712</v>
      </c>
      <c r="BA90" s="337">
        <v>855</v>
      </c>
      <c r="BB90" s="337">
        <v>216</v>
      </c>
      <c r="BC90" s="337">
        <v>0</v>
      </c>
      <c r="BD90" s="337">
        <v>3136</v>
      </c>
      <c r="BE90" s="337">
        <v>3561</v>
      </c>
      <c r="BF90" s="337">
        <v>343</v>
      </c>
      <c r="BG90" s="337">
        <v>0</v>
      </c>
      <c r="BH90" s="337">
        <v>3456</v>
      </c>
      <c r="BI90" s="337">
        <v>504</v>
      </c>
      <c r="BJ90" s="337">
        <v>0</v>
      </c>
      <c r="BK90" s="337">
        <v>6765</v>
      </c>
      <c r="BL90" s="337">
        <v>0</v>
      </c>
      <c r="BM90" s="337">
        <v>0</v>
      </c>
      <c r="BN90" s="337">
        <v>16045</v>
      </c>
      <c r="BO90" s="337">
        <v>0</v>
      </c>
      <c r="BP90" s="337">
        <v>0</v>
      </c>
      <c r="BQ90" s="337">
        <v>0</v>
      </c>
      <c r="BR90" s="337">
        <v>1917</v>
      </c>
      <c r="BS90" s="337">
        <v>0</v>
      </c>
      <c r="BT90" s="337">
        <v>0</v>
      </c>
      <c r="BU90" s="337">
        <v>0</v>
      </c>
      <c r="BV90" s="337">
        <v>1783</v>
      </c>
      <c r="BW90" s="337">
        <v>0</v>
      </c>
      <c r="BX90" s="337">
        <v>0</v>
      </c>
      <c r="BY90" s="337">
        <v>6047</v>
      </c>
      <c r="BZ90" s="337">
        <v>0</v>
      </c>
      <c r="CA90" s="337">
        <v>0</v>
      </c>
      <c r="CB90" s="337">
        <v>0</v>
      </c>
      <c r="CC90" s="337">
        <v>0</v>
      </c>
      <c r="CD90" s="233" t="s">
        <v>248</v>
      </c>
      <c r="CE90" s="28">
        <f t="shared" si="14"/>
        <v>145990</v>
      </c>
      <c r="CF90" s="28">
        <f>BE59-CE90</f>
        <v>-1</v>
      </c>
    </row>
    <row r="91" spans="1:84" x14ac:dyDescent="0.35">
      <c r="A91" s="22" t="s">
        <v>291</v>
      </c>
      <c r="B91" s="16"/>
      <c r="C91" s="337">
        <v>2382</v>
      </c>
      <c r="D91" s="337">
        <v>0</v>
      </c>
      <c r="E91" s="337">
        <v>6274</v>
      </c>
      <c r="F91" s="337">
        <v>0</v>
      </c>
      <c r="G91" s="337">
        <v>0</v>
      </c>
      <c r="H91" s="337">
        <v>0</v>
      </c>
      <c r="I91" s="337">
        <v>0</v>
      </c>
      <c r="J91" s="337">
        <v>0</v>
      </c>
      <c r="K91" s="337">
        <v>0</v>
      </c>
      <c r="L91" s="337">
        <v>147</v>
      </c>
      <c r="M91" s="337">
        <v>0</v>
      </c>
      <c r="N91" s="337">
        <v>0</v>
      </c>
      <c r="O91" s="337">
        <v>1884</v>
      </c>
      <c r="P91" s="337">
        <v>0</v>
      </c>
      <c r="Q91" s="337">
        <v>44</v>
      </c>
      <c r="R91" s="337">
        <v>0</v>
      </c>
      <c r="S91" s="337">
        <v>0</v>
      </c>
      <c r="T91" s="337">
        <v>0</v>
      </c>
      <c r="U91" s="337">
        <v>0</v>
      </c>
      <c r="V91" s="337">
        <v>0</v>
      </c>
      <c r="W91" s="337">
        <v>0</v>
      </c>
      <c r="X91" s="337">
        <v>0</v>
      </c>
      <c r="Y91" s="337">
        <v>0</v>
      </c>
      <c r="Z91" s="337">
        <v>0</v>
      </c>
      <c r="AA91" s="337">
        <v>0</v>
      </c>
      <c r="AB91" s="337">
        <v>0</v>
      </c>
      <c r="AC91" s="337">
        <v>0</v>
      </c>
      <c r="AD91" s="337">
        <v>0</v>
      </c>
      <c r="AE91" s="337">
        <v>0</v>
      </c>
      <c r="AF91" s="337">
        <v>0</v>
      </c>
      <c r="AG91" s="337">
        <v>687</v>
      </c>
      <c r="AH91" s="337">
        <v>0</v>
      </c>
      <c r="AI91" s="337">
        <v>0</v>
      </c>
      <c r="AJ91" s="337">
        <v>0</v>
      </c>
      <c r="AK91" s="337">
        <v>0</v>
      </c>
      <c r="AL91" s="337">
        <v>0</v>
      </c>
      <c r="AM91" s="337">
        <v>0</v>
      </c>
      <c r="AN91" s="337">
        <v>0</v>
      </c>
      <c r="AO91" s="337">
        <v>3069</v>
      </c>
      <c r="AP91" s="337">
        <v>0</v>
      </c>
      <c r="AQ91" s="337">
        <v>0</v>
      </c>
      <c r="AR91" s="337">
        <v>0</v>
      </c>
      <c r="AS91" s="337">
        <v>0</v>
      </c>
      <c r="AT91" s="337">
        <v>0</v>
      </c>
      <c r="AU91" s="337">
        <v>0</v>
      </c>
      <c r="AV91" s="337">
        <v>0</v>
      </c>
      <c r="AW91" s="317">
        <v>0</v>
      </c>
      <c r="AX91" s="250" t="s">
        <v>248</v>
      </c>
      <c r="AY91" s="250" t="s">
        <v>248</v>
      </c>
      <c r="AZ91" s="317">
        <v>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37">
        <v>0</v>
      </c>
      <c r="BI91" s="33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14"/>
        <v>14487</v>
      </c>
      <c r="CF91" s="28">
        <f>AY59-CE91</f>
        <v>-2</v>
      </c>
    </row>
    <row r="92" spans="1:84" x14ac:dyDescent="0.35">
      <c r="A92" s="22" t="s">
        <v>292</v>
      </c>
      <c r="B92" s="16"/>
      <c r="C92" s="337">
        <v>2073.0500000000002</v>
      </c>
      <c r="D92" s="337">
        <v>0</v>
      </c>
      <c r="E92" s="337">
        <v>5930</v>
      </c>
      <c r="F92" s="337">
        <v>0</v>
      </c>
      <c r="G92" s="337">
        <v>0</v>
      </c>
      <c r="H92" s="337">
        <v>0</v>
      </c>
      <c r="I92" s="337">
        <v>0</v>
      </c>
      <c r="J92" s="337">
        <v>180</v>
      </c>
      <c r="K92" s="337">
        <v>0</v>
      </c>
      <c r="L92" s="337">
        <v>139</v>
      </c>
      <c r="M92" s="337">
        <v>0</v>
      </c>
      <c r="N92" s="337">
        <v>0</v>
      </c>
      <c r="O92" s="337">
        <v>2049</v>
      </c>
      <c r="P92" s="337">
        <v>7965.62</v>
      </c>
      <c r="Q92" s="337">
        <v>724.15</v>
      </c>
      <c r="R92" s="337">
        <v>0</v>
      </c>
      <c r="S92" s="337">
        <v>0</v>
      </c>
      <c r="T92" s="337">
        <v>0</v>
      </c>
      <c r="U92" s="337">
        <v>2891.86</v>
      </c>
      <c r="V92" s="337">
        <v>0</v>
      </c>
      <c r="W92" s="337">
        <v>211</v>
      </c>
      <c r="X92" s="337">
        <v>675</v>
      </c>
      <c r="Y92" s="337">
        <v>2663</v>
      </c>
      <c r="Z92" s="337">
        <v>0</v>
      </c>
      <c r="AA92" s="337">
        <v>0</v>
      </c>
      <c r="AB92" s="337">
        <v>984.46</v>
      </c>
      <c r="AC92" s="337">
        <v>738.35</v>
      </c>
      <c r="AD92" s="337">
        <v>0</v>
      </c>
      <c r="AE92" s="337">
        <v>5755.32</v>
      </c>
      <c r="AF92" s="337">
        <v>0</v>
      </c>
      <c r="AG92" s="337">
        <v>3696.47</v>
      </c>
      <c r="AH92" s="337">
        <v>0</v>
      </c>
      <c r="AI92" s="337">
        <v>0</v>
      </c>
      <c r="AJ92" s="337">
        <v>40855.18</v>
      </c>
      <c r="AK92" s="337">
        <v>1486.16</v>
      </c>
      <c r="AL92" s="337">
        <v>989.2</v>
      </c>
      <c r="AM92" s="337">
        <v>0</v>
      </c>
      <c r="AN92" s="337">
        <v>0</v>
      </c>
      <c r="AO92" s="337">
        <v>2900</v>
      </c>
      <c r="AP92" s="337">
        <v>0</v>
      </c>
      <c r="AQ92" s="337">
        <v>0</v>
      </c>
      <c r="AR92" s="337">
        <v>993.93</v>
      </c>
      <c r="AS92" s="337">
        <v>0</v>
      </c>
      <c r="AT92" s="337">
        <v>0</v>
      </c>
      <c r="AU92" s="337">
        <v>0</v>
      </c>
      <c r="AV92" s="337">
        <v>0</v>
      </c>
      <c r="AW92" s="317">
        <v>0</v>
      </c>
      <c r="AX92" s="250" t="s">
        <v>248</v>
      </c>
      <c r="AY92" s="250" t="s">
        <v>248</v>
      </c>
      <c r="AZ92" s="25" t="s">
        <v>248</v>
      </c>
      <c r="BA92" s="317">
        <v>0</v>
      </c>
      <c r="BB92" s="317">
        <v>156.19</v>
      </c>
      <c r="BC92" s="317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37">
        <v>0</v>
      </c>
      <c r="BI92" s="337">
        <v>0</v>
      </c>
      <c r="BJ92" s="25" t="s">
        <v>248</v>
      </c>
      <c r="BK92" s="317">
        <v>0</v>
      </c>
      <c r="BL92" s="317">
        <v>0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7">
        <v>0</v>
      </c>
      <c r="BT92" s="317">
        <v>0</v>
      </c>
      <c r="BU92" s="317">
        <v>0</v>
      </c>
      <c r="BV92" s="317">
        <v>1277.9100000000001</v>
      </c>
      <c r="BW92" s="317">
        <v>0</v>
      </c>
      <c r="BX92" s="317">
        <v>0</v>
      </c>
      <c r="BY92" s="317">
        <v>4330.6899999999996</v>
      </c>
      <c r="BZ92" s="317">
        <v>0</v>
      </c>
      <c r="CA92" s="317">
        <v>0</v>
      </c>
      <c r="CB92" s="317">
        <v>0</v>
      </c>
      <c r="CC92" s="25" t="s">
        <v>248</v>
      </c>
      <c r="CD92" s="25" t="s">
        <v>248</v>
      </c>
      <c r="CE92" s="28">
        <f t="shared" si="14"/>
        <v>89665.54</v>
      </c>
      <c r="CF92" s="16"/>
    </row>
    <row r="93" spans="1:84" x14ac:dyDescent="0.35">
      <c r="A93" s="22" t="s">
        <v>293</v>
      </c>
      <c r="B93" s="16"/>
      <c r="C93" s="337">
        <v>20959</v>
      </c>
      <c r="D93" s="337">
        <v>0</v>
      </c>
      <c r="E93" s="337">
        <v>53834</v>
      </c>
      <c r="F93" s="337">
        <v>0</v>
      </c>
      <c r="G93" s="337">
        <v>0</v>
      </c>
      <c r="H93" s="337">
        <v>0</v>
      </c>
      <c r="I93" s="337">
        <v>0</v>
      </c>
      <c r="J93" s="337">
        <v>3976</v>
      </c>
      <c r="K93" s="337">
        <v>0</v>
      </c>
      <c r="L93" s="337">
        <v>1265</v>
      </c>
      <c r="M93" s="337">
        <v>0</v>
      </c>
      <c r="N93" s="337">
        <v>0</v>
      </c>
      <c r="O93" s="337">
        <v>23857</v>
      </c>
      <c r="P93" s="337">
        <v>60100</v>
      </c>
      <c r="Q93" s="337">
        <v>0</v>
      </c>
      <c r="R93" s="337">
        <v>0</v>
      </c>
      <c r="S93" s="337">
        <v>0</v>
      </c>
      <c r="T93" s="337">
        <v>0</v>
      </c>
      <c r="U93" s="337">
        <v>2722</v>
      </c>
      <c r="V93" s="337">
        <v>0</v>
      </c>
      <c r="W93" s="337">
        <v>4034</v>
      </c>
      <c r="X93" s="337">
        <v>12926</v>
      </c>
      <c r="Y93" s="337">
        <v>50870</v>
      </c>
      <c r="Z93" s="337">
        <v>0</v>
      </c>
      <c r="AA93" s="337">
        <v>0</v>
      </c>
      <c r="AB93" s="337">
        <v>0</v>
      </c>
      <c r="AC93" s="337">
        <v>16331</v>
      </c>
      <c r="AD93" s="337">
        <v>0</v>
      </c>
      <c r="AE93" s="337">
        <v>6805</v>
      </c>
      <c r="AF93" s="337">
        <v>0</v>
      </c>
      <c r="AG93" s="337">
        <v>68837</v>
      </c>
      <c r="AH93" s="337">
        <v>0</v>
      </c>
      <c r="AI93" s="337">
        <v>0</v>
      </c>
      <c r="AJ93" s="337">
        <f>8710+14971</f>
        <v>23681</v>
      </c>
      <c r="AK93" s="337">
        <v>4083</v>
      </c>
      <c r="AL93" s="337">
        <v>0</v>
      </c>
      <c r="AM93" s="337">
        <v>0</v>
      </c>
      <c r="AN93" s="337">
        <v>0</v>
      </c>
      <c r="AO93" s="337">
        <v>26325</v>
      </c>
      <c r="AP93" s="337">
        <v>0</v>
      </c>
      <c r="AQ93" s="337">
        <v>0</v>
      </c>
      <c r="AR93" s="337">
        <v>3266</v>
      </c>
      <c r="AS93" s="337">
        <v>0</v>
      </c>
      <c r="AT93" s="337">
        <v>0</v>
      </c>
      <c r="AU93" s="337">
        <v>0</v>
      </c>
      <c r="AV93" s="337">
        <v>0</v>
      </c>
      <c r="AW93" s="317">
        <v>0</v>
      </c>
      <c r="AX93" s="250" t="s">
        <v>248</v>
      </c>
      <c r="AY93" s="250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37">
        <v>0</v>
      </c>
      <c r="BI93" s="33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14"/>
        <v>383871</v>
      </c>
      <c r="CF93" s="28">
        <f>BA59</f>
        <v>0</v>
      </c>
    </row>
    <row r="94" spans="1:84" x14ac:dyDescent="0.35">
      <c r="A94" s="22" t="s">
        <v>294</v>
      </c>
      <c r="B94" s="16"/>
      <c r="C94" s="339">
        <v>16.45</v>
      </c>
      <c r="D94" s="339">
        <v>0</v>
      </c>
      <c r="E94" s="339">
        <v>14.87</v>
      </c>
      <c r="F94" s="339">
        <v>0</v>
      </c>
      <c r="G94" s="339">
        <v>0</v>
      </c>
      <c r="H94" s="339">
        <v>0</v>
      </c>
      <c r="I94" s="339">
        <v>0</v>
      </c>
      <c r="J94" s="339">
        <v>2.6</v>
      </c>
      <c r="K94" s="339">
        <v>0</v>
      </c>
      <c r="L94" s="339">
        <v>0.35</v>
      </c>
      <c r="M94" s="339">
        <v>0</v>
      </c>
      <c r="N94" s="339">
        <v>0</v>
      </c>
      <c r="O94" s="339">
        <v>13.91</v>
      </c>
      <c r="P94" s="340">
        <v>4.88</v>
      </c>
      <c r="Q94" s="340">
        <v>0</v>
      </c>
      <c r="R94" s="340">
        <v>0</v>
      </c>
      <c r="S94" s="345">
        <v>0</v>
      </c>
      <c r="T94" s="345">
        <v>0</v>
      </c>
      <c r="U94" s="344">
        <v>0.04</v>
      </c>
      <c r="V94" s="340">
        <v>0</v>
      </c>
      <c r="W94" s="340">
        <v>0</v>
      </c>
      <c r="X94" s="340">
        <v>0</v>
      </c>
      <c r="Y94" s="340">
        <v>0.01</v>
      </c>
      <c r="Z94" s="340">
        <v>0</v>
      </c>
      <c r="AA94" s="340">
        <v>0</v>
      </c>
      <c r="AB94" s="345">
        <v>0</v>
      </c>
      <c r="AC94" s="340">
        <v>0.84</v>
      </c>
      <c r="AD94" s="340">
        <v>0</v>
      </c>
      <c r="AE94" s="340">
        <v>0</v>
      </c>
      <c r="AF94" s="340">
        <v>0</v>
      </c>
      <c r="AG94" s="340">
        <v>22.93</v>
      </c>
      <c r="AH94" s="340">
        <v>0</v>
      </c>
      <c r="AI94" s="340">
        <v>0</v>
      </c>
      <c r="AJ94" s="340">
        <v>28.23</v>
      </c>
      <c r="AK94" s="340">
        <v>0</v>
      </c>
      <c r="AL94" s="340">
        <v>0</v>
      </c>
      <c r="AM94" s="340">
        <v>0</v>
      </c>
      <c r="AN94" s="340">
        <v>0</v>
      </c>
      <c r="AO94" s="340">
        <v>7.27</v>
      </c>
      <c r="AP94" s="340">
        <v>0</v>
      </c>
      <c r="AQ94" s="340">
        <v>0</v>
      </c>
      <c r="AR94" s="340">
        <v>10.84</v>
      </c>
      <c r="AS94" s="340">
        <v>0</v>
      </c>
      <c r="AT94" s="340">
        <v>0</v>
      </c>
      <c r="AU94" s="340">
        <v>0</v>
      </c>
      <c r="AV94" s="345">
        <v>0</v>
      </c>
      <c r="AW94" s="250" t="s">
        <v>248</v>
      </c>
      <c r="AX94" s="250" t="s">
        <v>248</v>
      </c>
      <c r="AY94" s="250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1"/>
      <c r="BV94" s="251"/>
      <c r="BW94" s="251"/>
      <c r="BX94" s="251"/>
      <c r="BY94" s="251"/>
      <c r="BZ94" s="251"/>
      <c r="CA94" s="251"/>
      <c r="CB94" s="251"/>
      <c r="CC94" s="25" t="s">
        <v>248</v>
      </c>
      <c r="CD94" s="25" t="s">
        <v>248</v>
      </c>
      <c r="CE94" s="235">
        <f t="shared" si="14"/>
        <v>123.22000000000001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24" t="s">
        <v>1361</v>
      </c>
      <c r="D96" s="325" t="s">
        <v>5</v>
      </c>
      <c r="E96" s="326" t="s">
        <v>5</v>
      </c>
      <c r="F96" s="12"/>
    </row>
    <row r="97" spans="1:6" x14ac:dyDescent="0.35">
      <c r="A97" s="28" t="s">
        <v>298</v>
      </c>
      <c r="B97" s="36" t="s">
        <v>299</v>
      </c>
      <c r="C97" s="327" t="s">
        <v>300</v>
      </c>
      <c r="D97" s="325" t="s">
        <v>5</v>
      </c>
      <c r="E97" s="326" t="s">
        <v>5</v>
      </c>
      <c r="F97" s="12"/>
    </row>
    <row r="98" spans="1:6" x14ac:dyDescent="0.35">
      <c r="A98" s="28" t="s">
        <v>301</v>
      </c>
      <c r="B98" s="36" t="s">
        <v>299</v>
      </c>
      <c r="C98" s="328" t="s">
        <v>302</v>
      </c>
      <c r="D98" s="325" t="s">
        <v>5</v>
      </c>
      <c r="E98" s="326" t="s">
        <v>5</v>
      </c>
      <c r="F98" s="12"/>
    </row>
    <row r="99" spans="1:6" x14ac:dyDescent="0.35">
      <c r="A99" s="28" t="s">
        <v>303</v>
      </c>
      <c r="B99" s="36" t="s">
        <v>299</v>
      </c>
      <c r="C99" s="329" t="s">
        <v>304</v>
      </c>
      <c r="D99" s="325" t="s">
        <v>5</v>
      </c>
      <c r="E99" s="326" t="s">
        <v>5</v>
      </c>
      <c r="F99" s="12"/>
    </row>
    <row r="100" spans="1:6" x14ac:dyDescent="0.35">
      <c r="A100" s="28" t="s">
        <v>305</v>
      </c>
      <c r="B100" s="36" t="s">
        <v>299</v>
      </c>
      <c r="C100" s="328" t="s">
        <v>306</v>
      </c>
      <c r="D100" s="325" t="s">
        <v>5</v>
      </c>
      <c r="E100" s="326" t="s">
        <v>5</v>
      </c>
      <c r="F100" s="12"/>
    </row>
    <row r="101" spans="1:6" x14ac:dyDescent="0.35">
      <c r="A101" s="28" t="s">
        <v>307</v>
      </c>
      <c r="B101" s="36" t="s">
        <v>299</v>
      </c>
      <c r="C101" s="328" t="s">
        <v>308</v>
      </c>
      <c r="D101" s="325" t="s">
        <v>5</v>
      </c>
      <c r="E101" s="326" t="s">
        <v>5</v>
      </c>
      <c r="F101" s="12"/>
    </row>
    <row r="102" spans="1:6" x14ac:dyDescent="0.35">
      <c r="A102" s="28" t="s">
        <v>309</v>
      </c>
      <c r="B102" s="36" t="s">
        <v>299</v>
      </c>
      <c r="C102" s="330">
        <v>98926</v>
      </c>
      <c r="D102" s="325" t="s">
        <v>5</v>
      </c>
      <c r="E102" s="326" t="s">
        <v>5</v>
      </c>
      <c r="F102" s="12"/>
    </row>
    <row r="103" spans="1:6" x14ac:dyDescent="0.35">
      <c r="A103" s="28" t="s">
        <v>310</v>
      </c>
      <c r="B103" s="36" t="s">
        <v>299</v>
      </c>
      <c r="C103" s="328" t="s">
        <v>311</v>
      </c>
      <c r="D103" s="325" t="s">
        <v>5</v>
      </c>
      <c r="E103" s="326" t="s">
        <v>5</v>
      </c>
      <c r="F103" s="12"/>
    </row>
    <row r="104" spans="1:6" x14ac:dyDescent="0.35">
      <c r="A104" s="28" t="s">
        <v>312</v>
      </c>
      <c r="B104" s="36" t="s">
        <v>299</v>
      </c>
      <c r="C104" s="353" t="s">
        <v>1362</v>
      </c>
      <c r="D104" s="325" t="s">
        <v>5</v>
      </c>
      <c r="E104" s="326" t="s">
        <v>5</v>
      </c>
      <c r="F104" s="12"/>
    </row>
    <row r="105" spans="1:6" x14ac:dyDescent="0.35">
      <c r="A105" s="28" t="s">
        <v>314</v>
      </c>
      <c r="B105" s="36" t="s">
        <v>299</v>
      </c>
      <c r="C105" s="353" t="s">
        <v>1363</v>
      </c>
      <c r="D105" s="325" t="s">
        <v>5</v>
      </c>
      <c r="E105" s="326" t="s">
        <v>5</v>
      </c>
      <c r="F105" s="12"/>
    </row>
    <row r="106" spans="1:6" x14ac:dyDescent="0.35">
      <c r="A106" s="28" t="s">
        <v>316</v>
      </c>
      <c r="B106" s="36" t="s">
        <v>299</v>
      </c>
      <c r="C106" s="352" t="s">
        <v>317</v>
      </c>
      <c r="D106" s="325" t="s">
        <v>5</v>
      </c>
      <c r="E106" s="326" t="s">
        <v>5</v>
      </c>
      <c r="F106" s="12"/>
    </row>
    <row r="107" spans="1:6" x14ac:dyDescent="0.35">
      <c r="A107" s="28" t="s">
        <v>318</v>
      </c>
      <c r="B107" s="36" t="s">
        <v>299</v>
      </c>
      <c r="C107" s="331" t="s">
        <v>319</v>
      </c>
      <c r="D107" s="325" t="s">
        <v>5</v>
      </c>
      <c r="E107" s="326" t="s">
        <v>5</v>
      </c>
      <c r="F107" s="12"/>
    </row>
    <row r="108" spans="1:6" x14ac:dyDescent="0.35">
      <c r="A108" s="28" t="s">
        <v>320</v>
      </c>
      <c r="B108" s="36" t="s">
        <v>299</v>
      </c>
      <c r="C108" s="331" t="s">
        <v>321</v>
      </c>
      <c r="D108" s="325" t="s">
        <v>5</v>
      </c>
      <c r="E108" s="326" t="s">
        <v>5</v>
      </c>
      <c r="F108" s="12"/>
    </row>
    <row r="109" spans="1:6" x14ac:dyDescent="0.35">
      <c r="A109" s="40" t="s">
        <v>322</v>
      </c>
      <c r="B109" s="36" t="s">
        <v>299</v>
      </c>
      <c r="C109" s="355" t="s">
        <v>1364</v>
      </c>
      <c r="D109" s="325" t="s">
        <v>5</v>
      </c>
      <c r="E109" s="326" t="s">
        <v>5</v>
      </c>
      <c r="F109" s="12"/>
    </row>
    <row r="110" spans="1:6" x14ac:dyDescent="0.35">
      <c r="A110" s="40" t="s">
        <v>323</v>
      </c>
      <c r="B110" s="36" t="s">
        <v>299</v>
      </c>
      <c r="C110" s="354" t="s">
        <v>1365</v>
      </c>
      <c r="D110" s="325" t="s">
        <v>5</v>
      </c>
      <c r="E110" s="326" t="s">
        <v>5</v>
      </c>
      <c r="F110" s="12"/>
    </row>
    <row r="111" spans="1:6" x14ac:dyDescent="0.35">
      <c r="A111" s="34" t="s">
        <v>325</v>
      </c>
      <c r="B111" s="34"/>
      <c r="C111" s="34"/>
      <c r="D111" s="34"/>
      <c r="E111" s="34"/>
    </row>
    <row r="112" spans="1:6" x14ac:dyDescent="0.35">
      <c r="A112" s="41" t="s">
        <v>326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32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32">
        <v>0</v>
      </c>
      <c r="D114" s="16"/>
      <c r="E114" s="16"/>
    </row>
    <row r="115" spans="1:5" x14ac:dyDescent="0.35">
      <c r="A115" s="16" t="s">
        <v>327</v>
      </c>
      <c r="B115" s="42" t="s">
        <v>299</v>
      </c>
      <c r="C115" s="332">
        <v>1</v>
      </c>
      <c r="D115" s="16"/>
      <c r="E115" s="16"/>
    </row>
    <row r="116" spans="1:5" x14ac:dyDescent="0.35">
      <c r="A116" s="41" t="s">
        <v>328</v>
      </c>
      <c r="B116" s="41"/>
      <c r="C116" s="41"/>
      <c r="D116" s="41"/>
      <c r="E116" s="41"/>
    </row>
    <row r="117" spans="1:5" x14ac:dyDescent="0.35">
      <c r="A117" s="16" t="s">
        <v>329</v>
      </c>
      <c r="B117" s="42" t="s">
        <v>299</v>
      </c>
      <c r="C117" s="332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33">
        <v>0</v>
      </c>
      <c r="D118" s="16"/>
      <c r="E118" s="16"/>
    </row>
    <row r="119" spans="1:5" x14ac:dyDescent="0.35">
      <c r="A119" s="41" t="s">
        <v>330</v>
      </c>
      <c r="B119" s="41"/>
      <c r="C119" s="41"/>
      <c r="D119" s="41"/>
      <c r="E119" s="41"/>
    </row>
    <row r="120" spans="1:5" x14ac:dyDescent="0.35">
      <c r="A120" s="16" t="s">
        <v>331</v>
      </c>
      <c r="B120" s="42" t="s">
        <v>299</v>
      </c>
      <c r="C120" s="332">
        <v>0</v>
      </c>
      <c r="D120" s="16"/>
      <c r="E120" s="16"/>
    </row>
    <row r="121" spans="1:5" x14ac:dyDescent="0.35">
      <c r="A121" s="16" t="s">
        <v>332</v>
      </c>
      <c r="B121" s="42" t="s">
        <v>299</v>
      </c>
      <c r="C121" s="332">
        <v>0</v>
      </c>
      <c r="D121" s="16"/>
      <c r="E121" s="16"/>
    </row>
    <row r="122" spans="1:5" x14ac:dyDescent="0.35">
      <c r="A122" s="16" t="s">
        <v>333</v>
      </c>
      <c r="B122" s="42" t="s">
        <v>299</v>
      </c>
      <c r="C122" s="332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334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35">
      <c r="A127" s="16" t="s">
        <v>337</v>
      </c>
      <c r="B127" s="42" t="s">
        <v>299</v>
      </c>
      <c r="C127" s="358">
        <v>856</v>
      </c>
      <c r="D127" s="357">
        <v>3143</v>
      </c>
      <c r="E127" s="16"/>
    </row>
    <row r="128" spans="1:5" x14ac:dyDescent="0.35">
      <c r="A128" s="16" t="s">
        <v>338</v>
      </c>
      <c r="B128" s="42" t="s">
        <v>299</v>
      </c>
      <c r="C128" s="358">
        <v>9</v>
      </c>
      <c r="D128" s="357">
        <v>62</v>
      </c>
      <c r="E128" s="16"/>
    </row>
    <row r="129" spans="1:5" x14ac:dyDescent="0.35">
      <c r="A129" s="16" t="s">
        <v>339</v>
      </c>
      <c r="B129" s="42" t="s">
        <v>299</v>
      </c>
      <c r="C129" s="356">
        <v>0</v>
      </c>
      <c r="D129" s="357">
        <v>0</v>
      </c>
      <c r="E129" s="16"/>
    </row>
    <row r="130" spans="1:5" x14ac:dyDescent="0.35">
      <c r="A130" s="16" t="s">
        <v>340</v>
      </c>
      <c r="B130" s="42" t="s">
        <v>299</v>
      </c>
      <c r="C130" s="358">
        <v>226</v>
      </c>
      <c r="D130" s="357">
        <v>369</v>
      </c>
      <c r="E130" s="16"/>
    </row>
    <row r="131" spans="1:5" x14ac:dyDescent="0.35">
      <c r="A131" s="22" t="s">
        <v>341</v>
      </c>
      <c r="B131" s="16"/>
      <c r="C131" s="17" t="s">
        <v>194</v>
      </c>
      <c r="D131" s="16"/>
      <c r="E131" s="16"/>
    </row>
    <row r="132" spans="1:5" x14ac:dyDescent="0.35">
      <c r="A132" s="16" t="s">
        <v>342</v>
      </c>
      <c r="B132" s="42" t="s">
        <v>299</v>
      </c>
      <c r="C132" s="356">
        <v>6</v>
      </c>
      <c r="D132" s="16"/>
      <c r="E132" s="16"/>
    </row>
    <row r="133" spans="1:5" x14ac:dyDescent="0.35">
      <c r="A133" s="16" t="s">
        <v>343</v>
      </c>
      <c r="B133" s="42" t="s">
        <v>299</v>
      </c>
      <c r="C133" s="356">
        <v>0</v>
      </c>
      <c r="D133" s="16"/>
      <c r="E133" s="16"/>
    </row>
    <row r="134" spans="1:5" x14ac:dyDescent="0.35">
      <c r="A134" s="16" t="s">
        <v>344</v>
      </c>
      <c r="B134" s="42" t="s">
        <v>299</v>
      </c>
      <c r="C134" s="356">
        <v>19</v>
      </c>
      <c r="D134" s="16"/>
      <c r="E134" s="16"/>
    </row>
    <row r="135" spans="1:5" x14ac:dyDescent="0.35">
      <c r="A135" s="16" t="s">
        <v>345</v>
      </c>
      <c r="B135" s="42" t="s">
        <v>299</v>
      </c>
      <c r="C135" s="356">
        <v>0</v>
      </c>
      <c r="D135" s="16"/>
      <c r="E135" s="16"/>
    </row>
    <row r="136" spans="1:5" x14ac:dyDescent="0.35">
      <c r="A136" s="16" t="s">
        <v>346</v>
      </c>
      <c r="B136" s="42" t="s">
        <v>299</v>
      </c>
      <c r="C136" s="356">
        <v>0</v>
      </c>
      <c r="D136" s="16"/>
      <c r="E136" s="16"/>
    </row>
    <row r="137" spans="1:5" x14ac:dyDescent="0.35">
      <c r="A137" s="16" t="s">
        <v>347</v>
      </c>
      <c r="B137" s="42" t="s">
        <v>299</v>
      </c>
      <c r="C137" s="356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56">
        <v>0</v>
      </c>
      <c r="D138" s="16"/>
      <c r="E138" s="16"/>
    </row>
    <row r="139" spans="1:5" x14ac:dyDescent="0.35">
      <c r="A139" s="16" t="s">
        <v>348</v>
      </c>
      <c r="B139" s="42" t="s">
        <v>299</v>
      </c>
      <c r="C139" s="356">
        <v>0</v>
      </c>
      <c r="D139" s="16"/>
      <c r="E139" s="16"/>
    </row>
    <row r="140" spans="1:5" x14ac:dyDescent="0.35">
      <c r="A140" s="16" t="s">
        <v>349</v>
      </c>
      <c r="B140" s="42"/>
      <c r="C140" s="356">
        <v>0</v>
      </c>
      <c r="D140" s="16"/>
      <c r="E140" s="16"/>
    </row>
    <row r="141" spans="1:5" x14ac:dyDescent="0.35">
      <c r="A141" s="16" t="s">
        <v>339</v>
      </c>
      <c r="B141" s="42" t="s">
        <v>299</v>
      </c>
      <c r="C141" s="356">
        <v>0</v>
      </c>
      <c r="D141" s="16"/>
      <c r="E141" s="16"/>
    </row>
    <row r="142" spans="1:5" x14ac:dyDescent="0.35">
      <c r="A142" s="16" t="s">
        <v>350</v>
      </c>
      <c r="B142" s="42" t="s">
        <v>299</v>
      </c>
      <c r="C142" s="356">
        <v>0</v>
      </c>
      <c r="D142" s="16"/>
      <c r="E142" s="16"/>
    </row>
    <row r="143" spans="1:5" x14ac:dyDescent="0.35">
      <c r="A143" s="16" t="s">
        <v>351</v>
      </c>
      <c r="B143" s="16"/>
      <c r="C143" s="23"/>
      <c r="D143" s="16"/>
      <c r="E143" s="28">
        <f>SUM(C132:C142)</f>
        <v>25</v>
      </c>
    </row>
    <row r="144" spans="1:5" x14ac:dyDescent="0.35">
      <c r="A144" s="16" t="s">
        <v>352</v>
      </c>
      <c r="B144" s="42" t="s">
        <v>299</v>
      </c>
      <c r="C144" s="356">
        <v>25</v>
      </c>
      <c r="D144" s="16"/>
      <c r="E144" s="16"/>
    </row>
    <row r="145" spans="1:6" x14ac:dyDescent="0.35">
      <c r="A145" s="16" t="s">
        <v>353</v>
      </c>
      <c r="B145" s="42" t="s">
        <v>299</v>
      </c>
      <c r="C145" s="358">
        <v>6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354</v>
      </c>
      <c r="B147" s="42" t="s">
        <v>299</v>
      </c>
      <c r="C147" s="332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355</v>
      </c>
      <c r="B152" s="45"/>
      <c r="C152" s="45"/>
      <c r="D152" s="45"/>
      <c r="E152" s="45"/>
    </row>
    <row r="153" spans="1:6" x14ac:dyDescent="0.3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35">
      <c r="A154" s="16" t="s">
        <v>336</v>
      </c>
      <c r="B154" s="359">
        <v>438</v>
      </c>
      <c r="C154" s="359">
        <v>147</v>
      </c>
      <c r="D154" s="359">
        <v>271</v>
      </c>
      <c r="E154" s="28">
        <f>SUM(B154:D154)</f>
        <v>856</v>
      </c>
    </row>
    <row r="155" spans="1:6" x14ac:dyDescent="0.35">
      <c r="A155" s="16" t="s">
        <v>242</v>
      </c>
      <c r="B155" s="359">
        <v>1361</v>
      </c>
      <c r="C155" s="359">
        <v>25</v>
      </c>
      <c r="D155" s="359">
        <v>1757</v>
      </c>
      <c r="E155" s="28">
        <f>SUM(B155:D155)</f>
        <v>3143</v>
      </c>
    </row>
    <row r="156" spans="1:6" x14ac:dyDescent="0.35">
      <c r="A156" s="16" t="s">
        <v>359</v>
      </c>
      <c r="B156" s="357">
        <v>0</v>
      </c>
      <c r="C156" s="357">
        <v>0</v>
      </c>
      <c r="D156" s="357">
        <v>0</v>
      </c>
      <c r="E156" s="28">
        <f>SUM(B156:D156)</f>
        <v>0</v>
      </c>
    </row>
    <row r="157" spans="1:6" x14ac:dyDescent="0.35">
      <c r="A157" s="16" t="s">
        <v>287</v>
      </c>
      <c r="B157" s="359">
        <v>12916206</v>
      </c>
      <c r="C157" s="359">
        <v>4638813</v>
      </c>
      <c r="D157" s="359">
        <v>8330002</v>
      </c>
      <c r="E157" s="28">
        <f>SUM(B157:D157)</f>
        <v>25885021</v>
      </c>
      <c r="F157" s="14"/>
    </row>
    <row r="158" spans="1:6" x14ac:dyDescent="0.35">
      <c r="A158" s="16" t="s">
        <v>288</v>
      </c>
      <c r="B158" s="359">
        <v>93771280</v>
      </c>
      <c r="C158" s="359">
        <v>38158588</v>
      </c>
      <c r="D158" s="359">
        <v>82594507</v>
      </c>
      <c r="E158" s="28">
        <f>SUM(B158:D158)</f>
        <v>214524375</v>
      </c>
      <c r="F158" s="14"/>
    </row>
    <row r="159" spans="1:6" x14ac:dyDescent="0.3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35">
      <c r="A160" s="16" t="s">
        <v>336</v>
      </c>
      <c r="B160" s="359">
        <v>7</v>
      </c>
      <c r="C160" s="359">
        <v>0</v>
      </c>
      <c r="D160" s="359">
        <v>2</v>
      </c>
      <c r="E160" s="28">
        <f>SUM(B160:D160)</f>
        <v>9</v>
      </c>
    </row>
    <row r="161" spans="1:5" x14ac:dyDescent="0.35">
      <c r="A161" s="16" t="s">
        <v>242</v>
      </c>
      <c r="B161" s="359">
        <v>46</v>
      </c>
      <c r="C161" s="359">
        <v>0</v>
      </c>
      <c r="D161" s="359">
        <v>16</v>
      </c>
      <c r="E161" s="28">
        <f>SUM(B161:D161)</f>
        <v>62</v>
      </c>
    </row>
    <row r="162" spans="1:5" x14ac:dyDescent="0.35">
      <c r="A162" s="16" t="s">
        <v>359</v>
      </c>
      <c r="B162" s="357">
        <v>0</v>
      </c>
      <c r="C162" s="357">
        <v>0</v>
      </c>
      <c r="D162" s="357">
        <v>0</v>
      </c>
      <c r="E162" s="28">
        <f>SUM(B162:D162)</f>
        <v>0</v>
      </c>
    </row>
    <row r="163" spans="1:5" x14ac:dyDescent="0.35">
      <c r="A163" s="16" t="s">
        <v>287</v>
      </c>
      <c r="B163" s="359">
        <v>4388</v>
      </c>
      <c r="C163" s="359">
        <v>0</v>
      </c>
      <c r="D163" s="359">
        <v>25837</v>
      </c>
      <c r="E163" s="28">
        <f>SUM(B163:D163)</f>
        <v>30225</v>
      </c>
    </row>
    <row r="164" spans="1:5" x14ac:dyDescent="0.35">
      <c r="A164" s="16" t="s">
        <v>288</v>
      </c>
      <c r="B164" s="357">
        <v>0</v>
      </c>
      <c r="C164" s="357">
        <v>0</v>
      </c>
      <c r="D164" s="357">
        <v>0</v>
      </c>
      <c r="E164" s="28">
        <f>SUM(B164:D164)</f>
        <v>0</v>
      </c>
    </row>
    <row r="165" spans="1:5" x14ac:dyDescent="0.3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35">
      <c r="A166" s="16" t="s">
        <v>336</v>
      </c>
      <c r="B166" s="334">
        <v>0</v>
      </c>
      <c r="C166" s="334">
        <v>0</v>
      </c>
      <c r="D166" s="334">
        <v>0</v>
      </c>
      <c r="E166" s="28">
        <f>SUM(B166:D166)</f>
        <v>0</v>
      </c>
    </row>
    <row r="167" spans="1:5" x14ac:dyDescent="0.35">
      <c r="A167" s="16" t="s">
        <v>242</v>
      </c>
      <c r="B167" s="334">
        <v>0</v>
      </c>
      <c r="C167" s="334">
        <v>0</v>
      </c>
      <c r="D167" s="334">
        <v>0</v>
      </c>
      <c r="E167" s="28">
        <f>SUM(B167:D167)</f>
        <v>0</v>
      </c>
    </row>
    <row r="168" spans="1:5" x14ac:dyDescent="0.35">
      <c r="A168" s="16" t="s">
        <v>359</v>
      </c>
      <c r="B168" s="334">
        <v>0</v>
      </c>
      <c r="C168" s="334">
        <v>0</v>
      </c>
      <c r="D168" s="334">
        <v>0</v>
      </c>
      <c r="E168" s="28">
        <f>SUM(B168:D168)</f>
        <v>0</v>
      </c>
    </row>
    <row r="169" spans="1:5" x14ac:dyDescent="0.35">
      <c r="A169" s="16" t="s">
        <v>287</v>
      </c>
      <c r="B169" s="334">
        <v>0</v>
      </c>
      <c r="C169" s="334">
        <v>0</v>
      </c>
      <c r="D169" s="334">
        <v>0</v>
      </c>
      <c r="E169" s="28">
        <f>SUM(B169:D169)</f>
        <v>0</v>
      </c>
    </row>
    <row r="170" spans="1:5" x14ac:dyDescent="0.35">
      <c r="A170" s="16" t="s">
        <v>288</v>
      </c>
      <c r="B170" s="334">
        <v>0</v>
      </c>
      <c r="C170" s="334">
        <v>0</v>
      </c>
      <c r="D170" s="334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35">
      <c r="A173" s="21" t="s">
        <v>365</v>
      </c>
      <c r="B173" s="357">
        <v>11268917</v>
      </c>
      <c r="C173" s="357">
        <v>8242807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366</v>
      </c>
      <c r="B179" s="34"/>
      <c r="C179" s="34"/>
      <c r="D179" s="34"/>
      <c r="E179" s="34"/>
    </row>
    <row r="180" spans="1:5" x14ac:dyDescent="0.35">
      <c r="A180" s="41" t="s">
        <v>367</v>
      </c>
      <c r="B180" s="41"/>
      <c r="C180" s="41"/>
      <c r="D180" s="41"/>
      <c r="E180" s="41"/>
    </row>
    <row r="181" spans="1:5" x14ac:dyDescent="0.35">
      <c r="A181" s="16" t="s">
        <v>368</v>
      </c>
      <c r="B181" s="42" t="s">
        <v>299</v>
      </c>
      <c r="C181" s="356">
        <v>4104312</v>
      </c>
      <c r="D181" s="16"/>
      <c r="E181" s="16"/>
    </row>
    <row r="182" spans="1:5" x14ac:dyDescent="0.35">
      <c r="A182" s="16" t="s">
        <v>369</v>
      </c>
      <c r="B182" s="42" t="s">
        <v>299</v>
      </c>
      <c r="C182" s="356">
        <v>39459</v>
      </c>
      <c r="D182" s="16"/>
      <c r="E182" s="16"/>
    </row>
    <row r="183" spans="1:5" x14ac:dyDescent="0.35">
      <c r="A183" s="21" t="s">
        <v>370</v>
      </c>
      <c r="B183" s="42" t="s">
        <v>299</v>
      </c>
      <c r="C183" s="356">
        <v>502104</v>
      </c>
      <c r="D183" s="16"/>
      <c r="E183" s="16"/>
    </row>
    <row r="184" spans="1:5" x14ac:dyDescent="0.35">
      <c r="A184" s="16" t="s">
        <v>371</v>
      </c>
      <c r="B184" s="42" t="s">
        <v>299</v>
      </c>
      <c r="C184" s="356">
        <v>5998844</v>
      </c>
      <c r="D184" s="16"/>
      <c r="E184" s="16"/>
    </row>
    <row r="185" spans="1:5" x14ac:dyDescent="0.35">
      <c r="A185" s="16" t="s">
        <v>372</v>
      </c>
      <c r="B185" s="42" t="s">
        <v>299</v>
      </c>
      <c r="C185" s="356">
        <v>54819</v>
      </c>
      <c r="D185" s="16"/>
      <c r="E185" s="16"/>
    </row>
    <row r="186" spans="1:5" x14ac:dyDescent="0.35">
      <c r="A186" s="16" t="s">
        <v>373</v>
      </c>
      <c r="B186" s="42" t="s">
        <v>299</v>
      </c>
      <c r="C186" s="356">
        <v>3406511</v>
      </c>
      <c r="D186" s="16"/>
      <c r="E186" s="16"/>
    </row>
    <row r="187" spans="1:5" x14ac:dyDescent="0.35">
      <c r="A187" s="16" t="s">
        <v>374</v>
      </c>
      <c r="B187" s="42" t="s">
        <v>299</v>
      </c>
      <c r="C187" s="356">
        <v>855943</v>
      </c>
      <c r="D187" s="16"/>
      <c r="E187" s="16"/>
    </row>
    <row r="188" spans="1:5" x14ac:dyDescent="0.35">
      <c r="A188" s="16" t="s">
        <v>374</v>
      </c>
      <c r="B188" s="42" t="s">
        <v>299</v>
      </c>
      <c r="C188" s="356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14961992</v>
      </c>
      <c r="E189" s="16"/>
    </row>
    <row r="190" spans="1:5" x14ac:dyDescent="0.35">
      <c r="A190" s="41" t="s">
        <v>375</v>
      </c>
      <c r="B190" s="41"/>
      <c r="C190" s="41"/>
      <c r="D190" s="41"/>
      <c r="E190" s="41"/>
    </row>
    <row r="191" spans="1:5" x14ac:dyDescent="0.35">
      <c r="A191" s="16" t="s">
        <v>376</v>
      </c>
      <c r="B191" s="42" t="s">
        <v>299</v>
      </c>
      <c r="C191" s="356">
        <v>15463</v>
      </c>
      <c r="D191" s="16"/>
      <c r="E191" s="16"/>
    </row>
    <row r="192" spans="1:5" x14ac:dyDescent="0.35">
      <c r="A192" s="16" t="s">
        <v>377</v>
      </c>
      <c r="B192" s="42" t="s">
        <v>299</v>
      </c>
      <c r="C192" s="356">
        <v>212230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227693</v>
      </c>
      <c r="E193" s="16"/>
    </row>
    <row r="194" spans="1:5" x14ac:dyDescent="0.35">
      <c r="A194" s="41" t="s">
        <v>378</v>
      </c>
      <c r="B194" s="41"/>
      <c r="C194" s="41"/>
      <c r="D194" s="41"/>
      <c r="E194" s="41"/>
    </row>
    <row r="195" spans="1:5" x14ac:dyDescent="0.35">
      <c r="A195" s="16" t="s">
        <v>379</v>
      </c>
      <c r="B195" s="42" t="s">
        <v>299</v>
      </c>
      <c r="C195" s="356">
        <v>1545048</v>
      </c>
      <c r="D195" s="16"/>
      <c r="E195" s="16"/>
    </row>
    <row r="196" spans="1:5" x14ac:dyDescent="0.35">
      <c r="A196" s="16" t="s">
        <v>380</v>
      </c>
      <c r="B196" s="42" t="s">
        <v>299</v>
      </c>
      <c r="C196" s="356">
        <v>548735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2093783</v>
      </c>
      <c r="E197" s="16"/>
    </row>
    <row r="198" spans="1:5" x14ac:dyDescent="0.35">
      <c r="A198" s="41" t="s">
        <v>381</v>
      </c>
      <c r="B198" s="41"/>
      <c r="C198" s="41"/>
      <c r="D198" s="41"/>
      <c r="E198" s="41"/>
    </row>
    <row r="199" spans="1:5" x14ac:dyDescent="0.35">
      <c r="A199" s="16" t="s">
        <v>382</v>
      </c>
      <c r="B199" s="42" t="s">
        <v>299</v>
      </c>
      <c r="C199" s="356">
        <v>1070406</v>
      </c>
      <c r="D199" s="16"/>
      <c r="E199" s="16"/>
    </row>
    <row r="200" spans="1:5" x14ac:dyDescent="0.35">
      <c r="A200" s="16" t="s">
        <v>383</v>
      </c>
      <c r="B200" s="42" t="s">
        <v>299</v>
      </c>
      <c r="C200" s="356">
        <v>0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56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1070406</v>
      </c>
      <c r="E202" s="16"/>
    </row>
    <row r="203" spans="1:5" x14ac:dyDescent="0.35">
      <c r="A203" s="41" t="s">
        <v>384</v>
      </c>
      <c r="B203" s="41"/>
      <c r="C203" s="41"/>
      <c r="D203" s="41"/>
      <c r="E203" s="41"/>
    </row>
    <row r="204" spans="1:5" x14ac:dyDescent="0.35">
      <c r="A204" s="16" t="s">
        <v>385</v>
      </c>
      <c r="B204" s="42" t="s">
        <v>299</v>
      </c>
      <c r="C204" s="356">
        <v>0</v>
      </c>
      <c r="D204" s="16"/>
      <c r="E204" s="16"/>
    </row>
    <row r="205" spans="1:5" x14ac:dyDescent="0.35">
      <c r="A205" s="16" t="s">
        <v>386</v>
      </c>
      <c r="B205" s="42" t="s">
        <v>299</v>
      </c>
      <c r="C205" s="356">
        <v>1428448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1428448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387</v>
      </c>
      <c r="B208" s="34"/>
      <c r="C208" s="34"/>
      <c r="D208" s="34"/>
      <c r="E208" s="34"/>
    </row>
    <row r="209" spans="1:5" x14ac:dyDescent="0.35">
      <c r="A209" s="45" t="s">
        <v>388</v>
      </c>
      <c r="B209" s="34"/>
      <c r="C209" s="34"/>
      <c r="D209" s="34"/>
      <c r="E209" s="34"/>
    </row>
    <row r="210" spans="1:5" x14ac:dyDescent="0.3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35">
      <c r="A211" s="16" t="s">
        <v>393</v>
      </c>
      <c r="B211" s="357">
        <v>3212912</v>
      </c>
      <c r="C211" s="356">
        <v>121426</v>
      </c>
      <c r="D211" s="357">
        <v>0</v>
      </c>
      <c r="E211" s="28">
        <f t="shared" ref="E211:E219" si="16">SUM(B211:C211)-D211</f>
        <v>3334338</v>
      </c>
    </row>
    <row r="212" spans="1:5" x14ac:dyDescent="0.35">
      <c r="A212" s="16" t="s">
        <v>394</v>
      </c>
      <c r="B212" s="357">
        <v>211345</v>
      </c>
      <c r="C212" s="356">
        <v>841418</v>
      </c>
      <c r="D212" s="357">
        <v>0</v>
      </c>
      <c r="E212" s="28">
        <f t="shared" si="16"/>
        <v>1052763</v>
      </c>
    </row>
    <row r="213" spans="1:5" x14ac:dyDescent="0.35">
      <c r="A213" s="16" t="s">
        <v>395</v>
      </c>
      <c r="B213" s="357">
        <v>48482067</v>
      </c>
      <c r="C213" s="356">
        <v>3218374</v>
      </c>
      <c r="D213" s="357">
        <v>0</v>
      </c>
      <c r="E213" s="28">
        <f t="shared" si="16"/>
        <v>51700441</v>
      </c>
    </row>
    <row r="214" spans="1:5" x14ac:dyDescent="0.35">
      <c r="A214" s="16" t="s">
        <v>396</v>
      </c>
      <c r="B214" s="357">
        <v>0</v>
      </c>
      <c r="C214" s="356">
        <v>0</v>
      </c>
      <c r="D214" s="357">
        <v>0</v>
      </c>
      <c r="E214" s="28">
        <f t="shared" si="16"/>
        <v>0</v>
      </c>
    </row>
    <row r="215" spans="1:5" x14ac:dyDescent="0.35">
      <c r="A215" s="16" t="s">
        <v>397</v>
      </c>
      <c r="B215" s="357">
        <v>6980569</v>
      </c>
      <c r="C215" s="356">
        <v>2591573</v>
      </c>
      <c r="D215" s="357">
        <v>0</v>
      </c>
      <c r="E215" s="28">
        <f t="shared" si="16"/>
        <v>9572142</v>
      </c>
    </row>
    <row r="216" spans="1:5" x14ac:dyDescent="0.35">
      <c r="A216" s="16" t="s">
        <v>398</v>
      </c>
      <c r="B216" s="357">
        <v>33367301</v>
      </c>
      <c r="C216" s="356">
        <v>3048992</v>
      </c>
      <c r="D216" s="357">
        <v>749060</v>
      </c>
      <c r="E216" s="28">
        <f t="shared" si="16"/>
        <v>35667233</v>
      </c>
    </row>
    <row r="217" spans="1:5" x14ac:dyDescent="0.35">
      <c r="A217" s="16" t="s">
        <v>399</v>
      </c>
      <c r="B217" s="357">
        <v>0</v>
      </c>
      <c r="C217" s="356">
        <v>0</v>
      </c>
      <c r="D217" s="357">
        <v>0</v>
      </c>
      <c r="E217" s="28">
        <f t="shared" si="16"/>
        <v>0</v>
      </c>
    </row>
    <row r="218" spans="1:5" x14ac:dyDescent="0.35">
      <c r="A218" s="16" t="s">
        <v>400</v>
      </c>
      <c r="B218" s="357">
        <v>5716029</v>
      </c>
      <c r="C218" s="356">
        <v>5170103</v>
      </c>
      <c r="D218" s="357">
        <v>1205267</v>
      </c>
      <c r="E218" s="28">
        <f t="shared" si="16"/>
        <v>9680865</v>
      </c>
    </row>
    <row r="219" spans="1:5" x14ac:dyDescent="0.35">
      <c r="A219" s="16" t="s">
        <v>401</v>
      </c>
      <c r="B219" s="357">
        <v>8119115</v>
      </c>
      <c r="C219" s="356">
        <v>15538109</v>
      </c>
      <c r="D219" s="357">
        <v>6987944</v>
      </c>
      <c r="E219" s="28">
        <f t="shared" si="16"/>
        <v>16669280</v>
      </c>
    </row>
    <row r="220" spans="1:5" x14ac:dyDescent="0.35">
      <c r="A220" s="16" t="s">
        <v>230</v>
      </c>
      <c r="B220" s="28">
        <f>SUM(B211:B219)</f>
        <v>106089338</v>
      </c>
      <c r="C220" s="234">
        <f>SUM(C211:C219)</f>
        <v>30529995</v>
      </c>
      <c r="D220" s="28">
        <f>SUM(D211:D219)</f>
        <v>8942271</v>
      </c>
      <c r="E220" s="28">
        <f>SUM(E211:E219)</f>
        <v>127677062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402</v>
      </c>
      <c r="B222" s="45"/>
      <c r="C222" s="45"/>
      <c r="D222" s="45"/>
      <c r="E222" s="45"/>
    </row>
    <row r="223" spans="1:5" x14ac:dyDescent="0.3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35">
      <c r="A224" s="16" t="s">
        <v>393</v>
      </c>
      <c r="B224" s="51"/>
      <c r="C224" s="50"/>
      <c r="D224" s="51"/>
      <c r="E224" s="16"/>
    </row>
    <row r="225" spans="1:5" x14ac:dyDescent="0.35">
      <c r="A225" s="16" t="s">
        <v>394</v>
      </c>
      <c r="B225" s="357">
        <v>220006</v>
      </c>
      <c r="C225" s="356">
        <v>48288</v>
      </c>
      <c r="D225" s="357">
        <v>0</v>
      </c>
      <c r="E225" s="28">
        <f t="shared" ref="E225:E232" si="17">SUM(B225:C225)-D225</f>
        <v>268294</v>
      </c>
    </row>
    <row r="226" spans="1:5" x14ac:dyDescent="0.35">
      <c r="A226" s="16" t="s">
        <v>395</v>
      </c>
      <c r="B226" s="357">
        <v>22210502</v>
      </c>
      <c r="C226" s="356">
        <v>2593651</v>
      </c>
      <c r="D226" s="357">
        <v>0</v>
      </c>
      <c r="E226" s="28">
        <f t="shared" si="17"/>
        <v>24804153</v>
      </c>
    </row>
    <row r="227" spans="1:5" x14ac:dyDescent="0.35">
      <c r="A227" s="16" t="s">
        <v>396</v>
      </c>
      <c r="B227" s="357">
        <v>0</v>
      </c>
      <c r="C227" s="356">
        <v>0</v>
      </c>
      <c r="D227" s="357">
        <v>0</v>
      </c>
      <c r="E227" s="28">
        <f t="shared" si="17"/>
        <v>0</v>
      </c>
    </row>
    <row r="228" spans="1:5" x14ac:dyDescent="0.35">
      <c r="A228" s="16" t="s">
        <v>397</v>
      </c>
      <c r="B228" s="357">
        <v>4691980</v>
      </c>
      <c r="C228" s="356">
        <v>412734</v>
      </c>
      <c r="D228" s="357">
        <v>0</v>
      </c>
      <c r="E228" s="28">
        <f t="shared" si="17"/>
        <v>5104714</v>
      </c>
    </row>
    <row r="229" spans="1:5" x14ac:dyDescent="0.35">
      <c r="A229" s="16" t="s">
        <v>398</v>
      </c>
      <c r="B229" s="357">
        <v>25516990</v>
      </c>
      <c r="C229" s="356">
        <v>2523748</v>
      </c>
      <c r="D229" s="357">
        <v>748949</v>
      </c>
      <c r="E229" s="28">
        <f t="shared" si="17"/>
        <v>27291789</v>
      </c>
    </row>
    <row r="230" spans="1:5" x14ac:dyDescent="0.35">
      <c r="A230" s="16" t="s">
        <v>399</v>
      </c>
      <c r="B230" s="357">
        <v>0</v>
      </c>
      <c r="C230" s="356">
        <v>0</v>
      </c>
      <c r="D230" s="357">
        <v>0</v>
      </c>
      <c r="E230" s="28">
        <f t="shared" si="17"/>
        <v>0</v>
      </c>
    </row>
    <row r="231" spans="1:5" x14ac:dyDescent="0.35">
      <c r="A231" s="16" t="s">
        <v>400</v>
      </c>
      <c r="B231" s="357">
        <v>1225541</v>
      </c>
      <c r="C231" s="356">
        <v>1636095</v>
      </c>
      <c r="D231" s="357">
        <v>1032620</v>
      </c>
      <c r="E231" s="28">
        <f t="shared" si="17"/>
        <v>1829016</v>
      </c>
    </row>
    <row r="232" spans="1:5" x14ac:dyDescent="0.35">
      <c r="A232" s="16" t="s">
        <v>401</v>
      </c>
      <c r="B232" s="357">
        <v>0</v>
      </c>
      <c r="C232" s="356">
        <v>0</v>
      </c>
      <c r="D232" s="357">
        <v>0</v>
      </c>
      <c r="E232" s="28">
        <f t="shared" si="17"/>
        <v>0</v>
      </c>
    </row>
    <row r="233" spans="1:5" x14ac:dyDescent="0.35">
      <c r="A233" s="16" t="s">
        <v>230</v>
      </c>
      <c r="B233" s="28">
        <f>SUM(B224:B232)</f>
        <v>53865019</v>
      </c>
      <c r="C233" s="234">
        <f>SUM(C224:C232)</f>
        <v>7214516</v>
      </c>
      <c r="D233" s="28">
        <f>SUM(D224:D232)</f>
        <v>1781569</v>
      </c>
      <c r="E233" s="28">
        <f>SUM(E224:E232)</f>
        <v>59297966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403</v>
      </c>
      <c r="B235" s="34"/>
      <c r="C235" s="34"/>
      <c r="D235" s="34"/>
      <c r="E235" s="34"/>
    </row>
    <row r="236" spans="1:5" x14ac:dyDescent="0.35">
      <c r="A236" s="34"/>
      <c r="B236" s="378" t="s">
        <v>404</v>
      </c>
      <c r="C236" s="378"/>
      <c r="D236" s="34"/>
      <c r="E236" s="34"/>
    </row>
    <row r="237" spans="1:5" x14ac:dyDescent="0.35">
      <c r="A237" s="52" t="s">
        <v>404</v>
      </c>
      <c r="B237" s="34"/>
      <c r="C237" s="356">
        <v>5541525</v>
      </c>
      <c r="D237" s="36">
        <f>C237</f>
        <v>5541525</v>
      </c>
      <c r="E237" s="34"/>
    </row>
    <row r="238" spans="1:5" x14ac:dyDescent="0.35">
      <c r="A238" s="41" t="s">
        <v>405</v>
      </c>
      <c r="B238" s="41"/>
      <c r="C238" s="41"/>
      <c r="D238" s="41"/>
      <c r="E238" s="41"/>
    </row>
    <row r="239" spans="1:5" x14ac:dyDescent="0.35">
      <c r="A239" s="16" t="s">
        <v>406</v>
      </c>
      <c r="B239" s="42" t="s">
        <v>299</v>
      </c>
      <c r="C239" s="356">
        <v>46007652</v>
      </c>
      <c r="D239" s="16"/>
      <c r="E239" s="16"/>
    </row>
    <row r="240" spans="1:5" x14ac:dyDescent="0.35">
      <c r="A240" s="16" t="s">
        <v>407</v>
      </c>
      <c r="B240" s="42" t="s">
        <v>299</v>
      </c>
      <c r="C240" s="356">
        <v>18466230</v>
      </c>
      <c r="D240" s="16"/>
      <c r="E240" s="16"/>
    </row>
    <row r="241" spans="1:5" x14ac:dyDescent="0.35">
      <c r="A241" s="16" t="s">
        <v>408</v>
      </c>
      <c r="B241" s="42" t="s">
        <v>299</v>
      </c>
      <c r="C241" s="356">
        <v>0</v>
      </c>
      <c r="D241" s="16"/>
      <c r="E241" s="16"/>
    </row>
    <row r="242" spans="1:5" x14ac:dyDescent="0.35">
      <c r="A242" s="16" t="s">
        <v>409</v>
      </c>
      <c r="B242" s="42" t="s">
        <v>299</v>
      </c>
      <c r="C242" s="356">
        <v>0</v>
      </c>
      <c r="D242" s="16"/>
      <c r="E242" s="16"/>
    </row>
    <row r="243" spans="1:5" x14ac:dyDescent="0.35">
      <c r="A243" s="16" t="s">
        <v>410</v>
      </c>
      <c r="B243" s="42" t="s">
        <v>299</v>
      </c>
      <c r="C243" s="356">
        <v>0</v>
      </c>
      <c r="D243" s="16"/>
      <c r="E243" s="16"/>
    </row>
    <row r="244" spans="1:5" x14ac:dyDescent="0.35">
      <c r="A244" s="16" t="s">
        <v>411</v>
      </c>
      <c r="B244" s="42" t="s">
        <v>299</v>
      </c>
      <c r="C244" s="356">
        <v>39208452</v>
      </c>
      <c r="D244" s="16"/>
      <c r="E244" s="16"/>
    </row>
    <row r="245" spans="1:5" x14ac:dyDescent="0.35">
      <c r="A245" s="16" t="s">
        <v>412</v>
      </c>
      <c r="B245" s="16"/>
      <c r="C245" s="23"/>
      <c r="D245" s="28">
        <f>SUM(C239:C244)</f>
        <v>103682334</v>
      </c>
      <c r="E245" s="16"/>
    </row>
    <row r="246" spans="1:5" x14ac:dyDescent="0.35">
      <c r="A246" s="41" t="s">
        <v>413</v>
      </c>
      <c r="B246" s="41"/>
      <c r="C246" s="41"/>
      <c r="D246" s="41"/>
      <c r="E246" s="41"/>
    </row>
    <row r="247" spans="1:5" x14ac:dyDescent="0.35">
      <c r="A247" s="22" t="s">
        <v>414</v>
      </c>
      <c r="B247" s="42" t="s">
        <v>299</v>
      </c>
      <c r="C247" s="332">
        <v>490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415</v>
      </c>
      <c r="B249" s="42" t="s">
        <v>299</v>
      </c>
      <c r="C249" s="356">
        <v>225805</v>
      </c>
      <c r="D249" s="16"/>
      <c r="E249" s="16"/>
    </row>
    <row r="250" spans="1:5" x14ac:dyDescent="0.35">
      <c r="A250" s="22" t="s">
        <v>416</v>
      </c>
      <c r="B250" s="42" t="s">
        <v>299</v>
      </c>
      <c r="C250" s="356">
        <v>1869094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417</v>
      </c>
      <c r="B252" s="16"/>
      <c r="C252" s="23"/>
      <c r="D252" s="28">
        <f>SUM(C249:C251)</f>
        <v>2094899</v>
      </c>
      <c r="E252" s="16"/>
    </row>
    <row r="253" spans="1:5" x14ac:dyDescent="0.35">
      <c r="A253" s="41" t="s">
        <v>418</v>
      </c>
      <c r="B253" s="41"/>
      <c r="C253" s="41"/>
      <c r="D253" s="41"/>
      <c r="E253" s="41"/>
    </row>
    <row r="254" spans="1:5" x14ac:dyDescent="0.35">
      <c r="A254" s="16" t="s">
        <v>419</v>
      </c>
      <c r="B254" s="42" t="s">
        <v>299</v>
      </c>
      <c r="C254" s="332">
        <v>0</v>
      </c>
      <c r="D254" s="16"/>
      <c r="E254" s="16"/>
    </row>
    <row r="255" spans="1:5" x14ac:dyDescent="0.35">
      <c r="A255" s="16" t="s">
        <v>418</v>
      </c>
      <c r="B255" s="42" t="s">
        <v>299</v>
      </c>
      <c r="C255" s="332">
        <v>0</v>
      </c>
      <c r="D255" s="16"/>
      <c r="E255" s="16"/>
    </row>
    <row r="256" spans="1:5" x14ac:dyDescent="0.35">
      <c r="A256" s="16" t="s">
        <v>420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421</v>
      </c>
      <c r="B258" s="16"/>
      <c r="C258" s="23"/>
      <c r="D258" s="28">
        <f>D237+D245+D252+D256</f>
        <v>111318758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422</v>
      </c>
      <c r="B264" s="34"/>
      <c r="C264" s="34"/>
      <c r="D264" s="34"/>
      <c r="E264" s="34"/>
    </row>
    <row r="265" spans="1:5" x14ac:dyDescent="0.35">
      <c r="A265" s="41" t="s">
        <v>423</v>
      </c>
      <c r="B265" s="41"/>
      <c r="C265" s="41"/>
      <c r="D265" s="41"/>
      <c r="E265" s="41"/>
    </row>
    <row r="266" spans="1:5" x14ac:dyDescent="0.35">
      <c r="A266" s="16" t="s">
        <v>424</v>
      </c>
      <c r="B266" s="42" t="s">
        <v>299</v>
      </c>
      <c r="C266" s="360">
        <v>15389148</v>
      </c>
      <c r="D266" s="16"/>
      <c r="E266" s="16"/>
    </row>
    <row r="267" spans="1:5" x14ac:dyDescent="0.35">
      <c r="A267" s="16" t="s">
        <v>425</v>
      </c>
      <c r="B267" s="42" t="s">
        <v>299</v>
      </c>
      <c r="C267" s="360">
        <v>0</v>
      </c>
      <c r="D267" s="16"/>
      <c r="E267" s="16"/>
    </row>
    <row r="268" spans="1:5" x14ac:dyDescent="0.35">
      <c r="A268" s="16" t="s">
        <v>426</v>
      </c>
      <c r="B268" s="42" t="s">
        <v>299</v>
      </c>
      <c r="C268" s="360">
        <v>16493939</v>
      </c>
      <c r="D268" s="16"/>
      <c r="E268" s="16"/>
    </row>
    <row r="269" spans="1:5" x14ac:dyDescent="0.35">
      <c r="A269" s="16" t="s">
        <v>427</v>
      </c>
      <c r="B269" s="42" t="s">
        <v>299</v>
      </c>
      <c r="C269" s="360">
        <v>0</v>
      </c>
      <c r="D269" s="16"/>
      <c r="E269" s="16"/>
    </row>
    <row r="270" spans="1:5" x14ac:dyDescent="0.35">
      <c r="A270" s="16" t="s">
        <v>428</v>
      </c>
      <c r="B270" s="42" t="s">
        <v>299</v>
      </c>
      <c r="C270" s="360">
        <v>1300000</v>
      </c>
      <c r="D270" s="16"/>
      <c r="E270" s="16"/>
    </row>
    <row r="271" spans="1:5" x14ac:dyDescent="0.35">
      <c r="A271" s="16" t="s">
        <v>429</v>
      </c>
      <c r="B271" s="42" t="s">
        <v>299</v>
      </c>
      <c r="C271" s="360">
        <v>1184640</v>
      </c>
      <c r="D271" s="16"/>
      <c r="E271" s="16"/>
    </row>
    <row r="272" spans="1:5" x14ac:dyDescent="0.35">
      <c r="A272" s="16" t="s">
        <v>430</v>
      </c>
      <c r="B272" s="42" t="s">
        <v>299</v>
      </c>
      <c r="C272" s="360">
        <v>1014666</v>
      </c>
      <c r="D272" s="16"/>
      <c r="E272" s="16"/>
    </row>
    <row r="273" spans="1:5" x14ac:dyDescent="0.35">
      <c r="A273" s="16" t="s">
        <v>431</v>
      </c>
      <c r="B273" s="42" t="s">
        <v>299</v>
      </c>
      <c r="C273" s="360">
        <v>2824106</v>
      </c>
      <c r="D273" s="16"/>
      <c r="E273" s="16"/>
    </row>
    <row r="274" spans="1:5" x14ac:dyDescent="0.35">
      <c r="A274" s="16" t="s">
        <v>432</v>
      </c>
      <c r="B274" s="42" t="s">
        <v>299</v>
      </c>
      <c r="C274" s="360">
        <v>2096089</v>
      </c>
      <c r="D274" s="16"/>
      <c r="E274" s="16"/>
    </row>
    <row r="275" spans="1:5" x14ac:dyDescent="0.35">
      <c r="A275" s="16" t="s">
        <v>433</v>
      </c>
      <c r="B275" s="42" t="s">
        <v>299</v>
      </c>
      <c r="C275" s="360">
        <v>0</v>
      </c>
      <c r="D275" s="16"/>
      <c r="E275" s="16"/>
    </row>
    <row r="276" spans="1:5" x14ac:dyDescent="0.35">
      <c r="A276" s="16" t="s">
        <v>434</v>
      </c>
      <c r="B276" s="16"/>
      <c r="C276" s="23"/>
      <c r="D276" s="28">
        <f>SUM(C266:C268)-C269+SUM(C270:C275)</f>
        <v>40302588</v>
      </c>
      <c r="E276" s="16"/>
    </row>
    <row r="277" spans="1:5" x14ac:dyDescent="0.35">
      <c r="A277" s="41" t="s">
        <v>435</v>
      </c>
      <c r="B277" s="41"/>
      <c r="C277" s="41"/>
      <c r="D277" s="41"/>
      <c r="E277" s="41"/>
    </row>
    <row r="278" spans="1:5" x14ac:dyDescent="0.35">
      <c r="A278" s="16" t="s">
        <v>424</v>
      </c>
      <c r="B278" s="42" t="s">
        <v>299</v>
      </c>
      <c r="C278" s="332">
        <v>0</v>
      </c>
      <c r="D278" s="16"/>
      <c r="E278" s="16"/>
    </row>
    <row r="279" spans="1:5" x14ac:dyDescent="0.35">
      <c r="A279" s="16" t="s">
        <v>425</v>
      </c>
      <c r="B279" s="42" t="s">
        <v>299</v>
      </c>
      <c r="C279" s="332">
        <v>0</v>
      </c>
      <c r="D279" s="16"/>
      <c r="E279" s="16"/>
    </row>
    <row r="280" spans="1:5" x14ac:dyDescent="0.35">
      <c r="A280" s="16" t="s">
        <v>436</v>
      </c>
      <c r="B280" s="42" t="s">
        <v>299</v>
      </c>
      <c r="C280" s="332">
        <v>0</v>
      </c>
      <c r="D280" s="16"/>
      <c r="E280" s="16"/>
    </row>
    <row r="281" spans="1:5" x14ac:dyDescent="0.35">
      <c r="A281" s="16" t="s">
        <v>437</v>
      </c>
      <c r="B281" s="16"/>
      <c r="C281" s="23"/>
      <c r="D281" s="28">
        <f>SUM(C278:C280)</f>
        <v>0</v>
      </c>
      <c r="E281" s="16"/>
    </row>
    <row r="282" spans="1:5" x14ac:dyDescent="0.35">
      <c r="A282" s="41" t="s">
        <v>438</v>
      </c>
      <c r="B282" s="41"/>
      <c r="C282" s="41"/>
      <c r="D282" s="41"/>
      <c r="E282" s="41"/>
    </row>
    <row r="283" spans="1:5" x14ac:dyDescent="0.35">
      <c r="A283" s="16" t="s">
        <v>393</v>
      </c>
      <c r="B283" s="42" t="s">
        <v>299</v>
      </c>
      <c r="C283" s="356">
        <v>3334338</v>
      </c>
      <c r="D283" s="16"/>
      <c r="E283" s="16"/>
    </row>
    <row r="284" spans="1:5" x14ac:dyDescent="0.35">
      <c r="A284" s="16" t="s">
        <v>394</v>
      </c>
      <c r="B284" s="42" t="s">
        <v>299</v>
      </c>
      <c r="C284" s="356">
        <v>1052763</v>
      </c>
      <c r="D284" s="16"/>
      <c r="E284" s="16"/>
    </row>
    <row r="285" spans="1:5" x14ac:dyDescent="0.35">
      <c r="A285" s="16" t="s">
        <v>395</v>
      </c>
      <c r="B285" s="42" t="s">
        <v>299</v>
      </c>
      <c r="C285" s="356">
        <v>51700441</v>
      </c>
      <c r="D285" s="16"/>
      <c r="E285" s="16"/>
    </row>
    <row r="286" spans="1:5" x14ac:dyDescent="0.35">
      <c r="A286" s="16" t="s">
        <v>439</v>
      </c>
      <c r="B286" s="42" t="s">
        <v>299</v>
      </c>
      <c r="C286" s="356">
        <v>0</v>
      </c>
      <c r="D286" s="16"/>
      <c r="E286" s="16"/>
    </row>
    <row r="287" spans="1:5" x14ac:dyDescent="0.35">
      <c r="A287" s="16" t="s">
        <v>440</v>
      </c>
      <c r="B287" s="42" t="s">
        <v>299</v>
      </c>
      <c r="C287" s="356">
        <v>9572142</v>
      </c>
      <c r="D287" s="16"/>
      <c r="E287" s="16"/>
    </row>
    <row r="288" spans="1:5" x14ac:dyDescent="0.35">
      <c r="A288" s="16" t="s">
        <v>441</v>
      </c>
      <c r="B288" s="42" t="s">
        <v>299</v>
      </c>
      <c r="C288" s="356">
        <v>35667233</v>
      </c>
      <c r="D288" s="16"/>
      <c r="E288" s="16"/>
    </row>
    <row r="289" spans="1:5" x14ac:dyDescent="0.35">
      <c r="A289" s="16" t="s">
        <v>400</v>
      </c>
      <c r="B289" s="42" t="s">
        <v>299</v>
      </c>
      <c r="C289" s="356">
        <v>9680865</v>
      </c>
      <c r="D289" s="16"/>
      <c r="E289" s="16"/>
    </row>
    <row r="290" spans="1:5" x14ac:dyDescent="0.35">
      <c r="A290" s="16" t="s">
        <v>401</v>
      </c>
      <c r="B290" s="42" t="s">
        <v>299</v>
      </c>
      <c r="C290" s="356">
        <v>16669280</v>
      </c>
      <c r="D290" s="16"/>
      <c r="E290" s="16"/>
    </row>
    <row r="291" spans="1:5" x14ac:dyDescent="0.35">
      <c r="A291" s="16" t="s">
        <v>442</v>
      </c>
      <c r="B291" s="16"/>
      <c r="C291" s="23"/>
      <c r="D291" s="28">
        <f>SUM(C283:C290)</f>
        <v>127677062</v>
      </c>
      <c r="E291" s="16"/>
    </row>
    <row r="292" spans="1:5" x14ac:dyDescent="0.35">
      <c r="A292" s="16" t="s">
        <v>443</v>
      </c>
      <c r="B292" s="42" t="s">
        <v>299</v>
      </c>
      <c r="C292" s="360">
        <v>59297966</v>
      </c>
      <c r="D292" s="16"/>
      <c r="E292" s="16"/>
    </row>
    <row r="293" spans="1:5" x14ac:dyDescent="0.35">
      <c r="A293" s="16" t="s">
        <v>444</v>
      </c>
      <c r="B293" s="16"/>
      <c r="C293" s="23"/>
      <c r="D293" s="28">
        <f>D291-C292</f>
        <v>68379096</v>
      </c>
      <c r="E293" s="16"/>
    </row>
    <row r="294" spans="1:5" x14ac:dyDescent="0.35">
      <c r="A294" s="41" t="s">
        <v>445</v>
      </c>
      <c r="B294" s="41"/>
      <c r="C294" s="41"/>
      <c r="D294" s="41"/>
      <c r="E294" s="41"/>
    </row>
    <row r="295" spans="1:5" x14ac:dyDescent="0.35">
      <c r="A295" s="16" t="s">
        <v>446</v>
      </c>
      <c r="B295" s="42" t="s">
        <v>299</v>
      </c>
      <c r="C295" s="356">
        <f>9831358+37391414</f>
        <v>47222772</v>
      </c>
      <c r="D295" s="16"/>
      <c r="E295" s="16"/>
    </row>
    <row r="296" spans="1:5" x14ac:dyDescent="0.35">
      <c r="A296" s="16" t="s">
        <v>447</v>
      </c>
      <c r="B296" s="42" t="s">
        <v>299</v>
      </c>
      <c r="C296" s="356">
        <v>0</v>
      </c>
      <c r="D296" s="16"/>
      <c r="E296" s="16"/>
    </row>
    <row r="297" spans="1:5" x14ac:dyDescent="0.35">
      <c r="A297" s="16" t="s">
        <v>448</v>
      </c>
      <c r="B297" s="42" t="s">
        <v>299</v>
      </c>
      <c r="C297" s="356">
        <v>0</v>
      </c>
      <c r="D297" s="16"/>
      <c r="E297" s="16"/>
    </row>
    <row r="298" spans="1:5" x14ac:dyDescent="0.35">
      <c r="A298" s="16" t="s">
        <v>436</v>
      </c>
      <c r="B298" s="42" t="s">
        <v>299</v>
      </c>
      <c r="C298" s="356">
        <v>0</v>
      </c>
      <c r="D298" s="16"/>
      <c r="E298" s="16"/>
    </row>
    <row r="299" spans="1:5" x14ac:dyDescent="0.35">
      <c r="A299" s="16" t="s">
        <v>449</v>
      </c>
      <c r="B299" s="16"/>
      <c r="C299" s="23"/>
      <c r="D299" s="28">
        <f>C295-C296+C297+C298</f>
        <v>47222772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450</v>
      </c>
      <c r="B301" s="41"/>
      <c r="C301" s="41"/>
      <c r="D301" s="41"/>
      <c r="E301" s="41"/>
    </row>
    <row r="302" spans="1:5" x14ac:dyDescent="0.35">
      <c r="A302" s="16" t="s">
        <v>451</v>
      </c>
      <c r="B302" s="42" t="s">
        <v>299</v>
      </c>
      <c r="C302" s="332">
        <v>0</v>
      </c>
      <c r="D302" s="16"/>
      <c r="E302" s="16"/>
    </row>
    <row r="303" spans="1:5" x14ac:dyDescent="0.35">
      <c r="A303" s="16" t="s">
        <v>452</v>
      </c>
      <c r="B303" s="42" t="s">
        <v>299</v>
      </c>
      <c r="C303" s="332">
        <v>0</v>
      </c>
      <c r="D303" s="16"/>
      <c r="E303" s="16"/>
    </row>
    <row r="304" spans="1:5" x14ac:dyDescent="0.35">
      <c r="A304" s="16" t="s">
        <v>453</v>
      </c>
      <c r="B304" s="42" t="s">
        <v>299</v>
      </c>
      <c r="C304" s="332">
        <v>0</v>
      </c>
      <c r="D304" s="16"/>
      <c r="E304" s="16"/>
    </row>
    <row r="305" spans="1:5" x14ac:dyDescent="0.35">
      <c r="A305" s="16" t="s">
        <v>454</v>
      </c>
      <c r="B305" s="42" t="s">
        <v>299</v>
      </c>
      <c r="C305" s="332">
        <v>0</v>
      </c>
      <c r="D305" s="16"/>
      <c r="E305" s="16"/>
    </row>
    <row r="306" spans="1:5" x14ac:dyDescent="0.35">
      <c r="A306" s="16" t="s">
        <v>455</v>
      </c>
      <c r="B306" s="16"/>
      <c r="C306" s="23"/>
      <c r="D306" s="28">
        <f>SUM(C302:C305)</f>
        <v>0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456</v>
      </c>
      <c r="B308" s="16"/>
      <c r="C308" s="23"/>
      <c r="D308" s="28">
        <f>D276+D281+D293+D299+D306</f>
        <v>155904456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457</v>
      </c>
      <c r="B312" s="34"/>
      <c r="C312" s="34"/>
      <c r="D312" s="34"/>
      <c r="E312" s="34"/>
    </row>
    <row r="313" spans="1:5" x14ac:dyDescent="0.35">
      <c r="A313" s="41" t="s">
        <v>458</v>
      </c>
      <c r="B313" s="41"/>
      <c r="C313" s="41"/>
      <c r="D313" s="41"/>
      <c r="E313" s="41"/>
    </row>
    <row r="314" spans="1:5" x14ac:dyDescent="0.35">
      <c r="A314" s="16" t="s">
        <v>459</v>
      </c>
      <c r="B314" s="42" t="s">
        <v>299</v>
      </c>
      <c r="C314" s="356">
        <v>0</v>
      </c>
      <c r="D314" s="16"/>
      <c r="E314" s="16"/>
    </row>
    <row r="315" spans="1:5" x14ac:dyDescent="0.35">
      <c r="A315" s="16" t="s">
        <v>460</v>
      </c>
      <c r="B315" s="42" t="s">
        <v>299</v>
      </c>
      <c r="C315" s="356">
        <v>6161448</v>
      </c>
      <c r="D315" s="16"/>
      <c r="E315" s="16"/>
    </row>
    <row r="316" spans="1:5" x14ac:dyDescent="0.35">
      <c r="A316" s="16" t="s">
        <v>461</v>
      </c>
      <c r="B316" s="42" t="s">
        <v>299</v>
      </c>
      <c r="C316" s="356">
        <v>5263441</v>
      </c>
      <c r="D316" s="16"/>
      <c r="E316" s="16"/>
    </row>
    <row r="317" spans="1:5" x14ac:dyDescent="0.35">
      <c r="A317" s="16" t="s">
        <v>462</v>
      </c>
      <c r="B317" s="42" t="s">
        <v>299</v>
      </c>
      <c r="C317" s="356">
        <v>286510</v>
      </c>
      <c r="D317" s="16"/>
      <c r="E317" s="16"/>
    </row>
    <row r="318" spans="1:5" x14ac:dyDescent="0.35">
      <c r="A318" s="16" t="s">
        <v>463</v>
      </c>
      <c r="B318" s="42" t="s">
        <v>299</v>
      </c>
      <c r="C318" s="356">
        <v>0</v>
      </c>
      <c r="D318" s="16"/>
      <c r="E318" s="16"/>
    </row>
    <row r="319" spans="1:5" x14ac:dyDescent="0.35">
      <c r="A319" s="16" t="s">
        <v>464</v>
      </c>
      <c r="B319" s="42" t="s">
        <v>299</v>
      </c>
      <c r="C319" s="356">
        <v>0</v>
      </c>
      <c r="D319" s="16"/>
      <c r="E319" s="16"/>
    </row>
    <row r="320" spans="1:5" x14ac:dyDescent="0.35">
      <c r="A320" s="16" t="s">
        <v>465</v>
      </c>
      <c r="B320" s="42" t="s">
        <v>299</v>
      </c>
      <c r="C320" s="356">
        <v>0</v>
      </c>
      <c r="D320" s="16"/>
      <c r="E320" s="16"/>
    </row>
    <row r="321" spans="1:5" x14ac:dyDescent="0.35">
      <c r="A321" s="16" t="s">
        <v>466</v>
      </c>
      <c r="B321" s="42" t="s">
        <v>299</v>
      </c>
      <c r="C321" s="356">
        <v>0</v>
      </c>
      <c r="D321" s="16"/>
      <c r="E321" s="16"/>
    </row>
    <row r="322" spans="1:5" x14ac:dyDescent="0.35">
      <c r="A322" s="16" t="s">
        <v>467</v>
      </c>
      <c r="B322" s="42" t="s">
        <v>299</v>
      </c>
      <c r="C322" s="356">
        <v>65000</v>
      </c>
      <c r="D322" s="16"/>
      <c r="E322" s="16"/>
    </row>
    <row r="323" spans="1:5" x14ac:dyDescent="0.35">
      <c r="A323" s="16" t="s">
        <v>468</v>
      </c>
      <c r="B323" s="42" t="s">
        <v>299</v>
      </c>
      <c r="C323" s="356">
        <v>3874347</v>
      </c>
      <c r="D323" s="16"/>
      <c r="E323" s="16"/>
    </row>
    <row r="324" spans="1:5" x14ac:dyDescent="0.35">
      <c r="A324" s="16" t="s">
        <v>469</v>
      </c>
      <c r="B324" s="16"/>
      <c r="C324" s="23"/>
      <c r="D324" s="28">
        <f>SUM(C314:C323)</f>
        <v>15650746</v>
      </c>
      <c r="E324" s="16"/>
    </row>
    <row r="325" spans="1:5" x14ac:dyDescent="0.35">
      <c r="A325" s="41" t="s">
        <v>470</v>
      </c>
      <c r="B325" s="41"/>
      <c r="C325" s="41"/>
      <c r="D325" s="41"/>
      <c r="E325" s="41"/>
    </row>
    <row r="326" spans="1:5" x14ac:dyDescent="0.35">
      <c r="A326" s="16" t="s">
        <v>471</v>
      </c>
      <c r="B326" s="42" t="s">
        <v>299</v>
      </c>
      <c r="C326" s="356">
        <v>0</v>
      </c>
      <c r="D326" s="16"/>
      <c r="E326" s="16"/>
    </row>
    <row r="327" spans="1:5" x14ac:dyDescent="0.35">
      <c r="A327" s="16" t="s">
        <v>472</v>
      </c>
      <c r="B327" s="42" t="s">
        <v>299</v>
      </c>
      <c r="C327" s="356">
        <v>0</v>
      </c>
      <c r="D327" s="16"/>
      <c r="E327" s="16"/>
    </row>
    <row r="328" spans="1:5" x14ac:dyDescent="0.35">
      <c r="A328" s="16" t="s">
        <v>473</v>
      </c>
      <c r="B328" s="42" t="s">
        <v>299</v>
      </c>
      <c r="C328" s="356">
        <v>0</v>
      </c>
      <c r="D328" s="16"/>
      <c r="E328" s="16"/>
    </row>
    <row r="329" spans="1:5" x14ac:dyDescent="0.35">
      <c r="A329" s="16" t="s">
        <v>474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475</v>
      </c>
      <c r="B330" s="41"/>
      <c r="C330" s="41"/>
      <c r="D330" s="41"/>
      <c r="E330" s="41"/>
    </row>
    <row r="331" spans="1:5" x14ac:dyDescent="0.35">
      <c r="A331" s="16" t="s">
        <v>476</v>
      </c>
      <c r="B331" s="42" t="s">
        <v>299</v>
      </c>
      <c r="C331" s="356">
        <v>0</v>
      </c>
      <c r="D331" s="16"/>
      <c r="E331" s="16"/>
    </row>
    <row r="332" spans="1:5" x14ac:dyDescent="0.35">
      <c r="A332" s="16" t="s">
        <v>477</v>
      </c>
      <c r="B332" s="42" t="s">
        <v>299</v>
      </c>
      <c r="C332" s="356">
        <v>0</v>
      </c>
      <c r="D332" s="16"/>
      <c r="E332" s="16"/>
    </row>
    <row r="333" spans="1:5" x14ac:dyDescent="0.35">
      <c r="A333" s="16" t="s">
        <v>478</v>
      </c>
      <c r="B333" s="42" t="s">
        <v>299</v>
      </c>
      <c r="C333" s="356">
        <v>3885811</v>
      </c>
      <c r="D333" s="16"/>
      <c r="E333" s="16"/>
    </row>
    <row r="334" spans="1:5" x14ac:dyDescent="0.35">
      <c r="A334" s="22" t="s">
        <v>479</v>
      </c>
      <c r="B334" s="42" t="s">
        <v>299</v>
      </c>
      <c r="C334" s="356">
        <v>3452729</v>
      </c>
      <c r="D334" s="16"/>
      <c r="E334" s="16"/>
    </row>
    <row r="335" spans="1:5" x14ac:dyDescent="0.35">
      <c r="A335" s="16" t="s">
        <v>480</v>
      </c>
      <c r="B335" s="42" t="s">
        <v>299</v>
      </c>
      <c r="C335" s="356">
        <v>31776052</v>
      </c>
      <c r="D335" s="16"/>
      <c r="E335" s="16"/>
    </row>
    <row r="336" spans="1:5" x14ac:dyDescent="0.35">
      <c r="A336" s="22" t="s">
        <v>481</v>
      </c>
      <c r="B336" s="42" t="s">
        <v>299</v>
      </c>
      <c r="C336" s="356">
        <v>0</v>
      </c>
      <c r="D336" s="16"/>
      <c r="E336" s="16"/>
    </row>
    <row r="337" spans="1:5" x14ac:dyDescent="0.35">
      <c r="A337" s="22" t="s">
        <v>482</v>
      </c>
      <c r="B337" s="42" t="s">
        <v>299</v>
      </c>
      <c r="C337" s="361">
        <v>0</v>
      </c>
      <c r="D337" s="16"/>
      <c r="E337" s="16"/>
    </row>
    <row r="338" spans="1:5" x14ac:dyDescent="0.35">
      <c r="A338" s="16" t="s">
        <v>483</v>
      </c>
      <c r="B338" s="42" t="s">
        <v>299</v>
      </c>
      <c r="C338" s="356">
        <v>5432167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44546759</v>
      </c>
      <c r="E339" s="16"/>
    </row>
    <row r="340" spans="1:5" x14ac:dyDescent="0.35">
      <c r="A340" s="16" t="s">
        <v>484</v>
      </c>
      <c r="B340" s="16"/>
      <c r="C340" s="23"/>
      <c r="D340" s="28">
        <f>C323</f>
        <v>3874347</v>
      </c>
      <c r="E340" s="16"/>
    </row>
    <row r="341" spans="1:5" x14ac:dyDescent="0.35">
      <c r="A341" s="16" t="s">
        <v>485</v>
      </c>
      <c r="B341" s="16"/>
      <c r="C341" s="23"/>
      <c r="D341" s="28">
        <f>D339-D340</f>
        <v>40672412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486</v>
      </c>
      <c r="B343" s="42" t="s">
        <v>299</v>
      </c>
      <c r="C343" s="362">
        <v>99581298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487</v>
      </c>
      <c r="B345" s="42" t="s">
        <v>299</v>
      </c>
      <c r="C345" s="333">
        <v>0</v>
      </c>
      <c r="D345" s="16"/>
      <c r="E345" s="16"/>
    </row>
    <row r="346" spans="1:5" x14ac:dyDescent="0.35">
      <c r="A346" s="16" t="s">
        <v>488</v>
      </c>
      <c r="B346" s="42" t="s">
        <v>299</v>
      </c>
      <c r="C346" s="333">
        <v>0</v>
      </c>
      <c r="D346" s="16"/>
      <c r="E346" s="16"/>
    </row>
    <row r="347" spans="1:5" x14ac:dyDescent="0.35">
      <c r="A347" s="16" t="s">
        <v>489</v>
      </c>
      <c r="B347" s="42" t="s">
        <v>299</v>
      </c>
      <c r="C347" s="333">
        <v>0</v>
      </c>
      <c r="D347" s="16"/>
      <c r="E347" s="16"/>
    </row>
    <row r="348" spans="1:5" x14ac:dyDescent="0.35">
      <c r="A348" s="16" t="s">
        <v>490</v>
      </c>
      <c r="B348" s="42" t="s">
        <v>299</v>
      </c>
      <c r="C348" s="333">
        <v>0</v>
      </c>
      <c r="D348" s="16"/>
      <c r="E348" s="16"/>
    </row>
    <row r="349" spans="1:5" x14ac:dyDescent="0.35">
      <c r="A349" s="16" t="s">
        <v>491</v>
      </c>
      <c r="B349" s="42" t="s">
        <v>299</v>
      </c>
      <c r="C349" s="333">
        <v>0</v>
      </c>
      <c r="D349" s="16"/>
      <c r="E349" s="16"/>
    </row>
    <row r="350" spans="1:5" x14ac:dyDescent="0.35">
      <c r="A350" s="16" t="s">
        <v>492</v>
      </c>
      <c r="B350" s="16"/>
      <c r="C350" s="23"/>
      <c r="D350" s="28">
        <f>D324+D329+D341+C343+C347+C348</f>
        <v>155904456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493</v>
      </c>
      <c r="B352" s="16"/>
      <c r="C352" s="23"/>
      <c r="D352" s="28">
        <f>D308</f>
        <v>155904456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ht="14.5" customHeight="1" x14ac:dyDescent="0.35">
      <c r="A356" s="34" t="s">
        <v>494</v>
      </c>
      <c r="B356" s="34"/>
      <c r="C356" s="34"/>
      <c r="D356" s="34"/>
      <c r="E356" s="34"/>
    </row>
    <row r="357" spans="1:5" ht="14.5" customHeight="1" x14ac:dyDescent="0.35">
      <c r="A357" s="41" t="s">
        <v>495</v>
      </c>
      <c r="B357" s="41"/>
      <c r="C357" s="41"/>
      <c r="D357" s="41"/>
      <c r="E357" s="41"/>
    </row>
    <row r="358" spans="1:5" ht="14.5" customHeight="1" x14ac:dyDescent="0.35">
      <c r="A358" s="16" t="s">
        <v>496</v>
      </c>
      <c r="B358" s="42" t="s">
        <v>299</v>
      </c>
      <c r="C358" s="363">
        <v>25915245</v>
      </c>
      <c r="D358" s="16"/>
      <c r="E358" s="16"/>
    </row>
    <row r="359" spans="1:5" ht="14.5" customHeight="1" x14ac:dyDescent="0.35">
      <c r="A359" s="16" t="s">
        <v>497</v>
      </c>
      <c r="B359" s="42" t="s">
        <v>299</v>
      </c>
      <c r="C359" s="363">
        <f>214524375+4</f>
        <v>214524379</v>
      </c>
      <c r="D359" s="16"/>
      <c r="E359" s="16"/>
    </row>
    <row r="360" spans="1:5" ht="14.5" customHeight="1" x14ac:dyDescent="0.35">
      <c r="A360" s="16" t="s">
        <v>498</v>
      </c>
      <c r="B360" s="16"/>
      <c r="C360" s="23"/>
      <c r="D360" s="28">
        <f>SUM(C358:C359)</f>
        <v>240439624</v>
      </c>
      <c r="E360" s="16"/>
    </row>
    <row r="361" spans="1:5" ht="14.5" customHeight="1" x14ac:dyDescent="0.35">
      <c r="A361" s="41" t="s">
        <v>499</v>
      </c>
      <c r="B361" s="41"/>
      <c r="C361" s="41"/>
      <c r="D361" s="41"/>
      <c r="E361" s="41"/>
    </row>
    <row r="362" spans="1:5" ht="14.5" customHeight="1" x14ac:dyDescent="0.35">
      <c r="A362" s="16" t="s">
        <v>404</v>
      </c>
      <c r="B362" s="41"/>
      <c r="C362" s="356">
        <v>5541525</v>
      </c>
      <c r="D362" s="16"/>
      <c r="E362" s="41"/>
    </row>
    <row r="363" spans="1:5" ht="14.5" customHeight="1" x14ac:dyDescent="0.35">
      <c r="A363" s="16" t="s">
        <v>500</v>
      </c>
      <c r="B363" s="42" t="s">
        <v>299</v>
      </c>
      <c r="C363" s="356">
        <v>103682333</v>
      </c>
      <c r="D363" s="16"/>
      <c r="E363" s="16"/>
    </row>
    <row r="364" spans="1:5" ht="14.5" customHeight="1" x14ac:dyDescent="0.35">
      <c r="A364" s="16" t="s">
        <v>501</v>
      </c>
      <c r="B364" s="42" t="s">
        <v>299</v>
      </c>
      <c r="C364" s="356">
        <v>2094899</v>
      </c>
      <c r="D364" s="16"/>
      <c r="E364" s="16"/>
    </row>
    <row r="365" spans="1:5" ht="14.5" customHeight="1" x14ac:dyDescent="0.35">
      <c r="A365" s="16" t="s">
        <v>502</v>
      </c>
      <c r="B365" s="42" t="s">
        <v>299</v>
      </c>
      <c r="C365" s="356">
        <v>0</v>
      </c>
      <c r="D365" s="16"/>
      <c r="E365" s="16"/>
    </row>
    <row r="366" spans="1:5" ht="14.5" customHeight="1" x14ac:dyDescent="0.35">
      <c r="A366" s="16" t="s">
        <v>421</v>
      </c>
      <c r="B366" s="16"/>
      <c r="C366" s="23"/>
      <c r="D366" s="28">
        <f>SUM(C362:C365)</f>
        <v>111318757</v>
      </c>
      <c r="E366" s="16"/>
    </row>
    <row r="367" spans="1:5" ht="14.5" customHeight="1" x14ac:dyDescent="0.35">
      <c r="A367" s="16" t="s">
        <v>503</v>
      </c>
      <c r="B367" s="16"/>
      <c r="C367" s="23"/>
      <c r="D367" s="28">
        <f>D360-D366</f>
        <v>129120867</v>
      </c>
      <c r="E367" s="16"/>
    </row>
    <row r="368" spans="1:5" ht="14.5" customHeight="1" x14ac:dyDescent="0.35">
      <c r="A368" s="54" t="s">
        <v>504</v>
      </c>
      <c r="B368" s="41"/>
      <c r="C368" s="41"/>
      <c r="D368" s="41"/>
      <c r="E368" s="41"/>
    </row>
    <row r="369" spans="1:6" ht="14.5" customHeight="1" x14ac:dyDescent="0.35">
      <c r="A369" s="28" t="s">
        <v>505</v>
      </c>
      <c r="B369" s="16"/>
      <c r="C369" s="16"/>
      <c r="D369" s="16"/>
      <c r="E369" s="16"/>
    </row>
    <row r="370" spans="1:6" ht="14.5" customHeight="1" x14ac:dyDescent="0.35">
      <c r="A370" s="55" t="s">
        <v>506</v>
      </c>
      <c r="B370" s="36" t="s">
        <v>299</v>
      </c>
      <c r="C370" s="356">
        <v>199833</v>
      </c>
      <c r="D370" s="28">
        <v>0</v>
      </c>
      <c r="E370" s="28"/>
    </row>
    <row r="371" spans="1:6" ht="14.5" customHeight="1" x14ac:dyDescent="0.35">
      <c r="A371" s="55" t="s">
        <v>507</v>
      </c>
      <c r="B371" s="36" t="s">
        <v>299</v>
      </c>
      <c r="C371" s="356">
        <v>278694</v>
      </c>
      <c r="D371" s="28">
        <v>0</v>
      </c>
      <c r="E371" s="28"/>
    </row>
    <row r="372" spans="1:6" ht="14.5" customHeight="1" x14ac:dyDescent="0.35">
      <c r="A372" s="55" t="s">
        <v>508</v>
      </c>
      <c r="B372" s="36" t="s">
        <v>299</v>
      </c>
      <c r="C372" s="356">
        <v>0</v>
      </c>
      <c r="D372" s="28">
        <v>0</v>
      </c>
      <c r="E372" s="28"/>
    </row>
    <row r="373" spans="1:6" ht="14.5" customHeight="1" x14ac:dyDescent="0.35">
      <c r="A373" s="55" t="s">
        <v>509</v>
      </c>
      <c r="B373" s="36" t="s">
        <v>299</v>
      </c>
      <c r="C373" s="356">
        <f>10250+19012</f>
        <v>29262</v>
      </c>
      <c r="D373" s="28">
        <v>0</v>
      </c>
      <c r="E373" s="28"/>
    </row>
    <row r="374" spans="1:6" ht="14.5" customHeight="1" x14ac:dyDescent="0.35">
      <c r="A374" s="55" t="s">
        <v>510</v>
      </c>
      <c r="B374" s="36" t="s">
        <v>299</v>
      </c>
      <c r="C374" s="356">
        <v>0</v>
      </c>
      <c r="D374" s="28">
        <v>0</v>
      </c>
      <c r="E374" s="28"/>
    </row>
    <row r="375" spans="1:6" ht="14.5" customHeight="1" x14ac:dyDescent="0.35">
      <c r="A375" s="55" t="s">
        <v>511</v>
      </c>
      <c r="B375" s="36" t="s">
        <v>299</v>
      </c>
      <c r="C375" s="356">
        <v>0</v>
      </c>
      <c r="D375" s="28">
        <v>0</v>
      </c>
      <c r="E375" s="28"/>
    </row>
    <row r="376" spans="1:6" ht="14.5" customHeight="1" x14ac:dyDescent="0.35">
      <c r="A376" s="55" t="s">
        <v>512</v>
      </c>
      <c r="B376" s="36" t="s">
        <v>299</v>
      </c>
      <c r="C376" s="356">
        <v>0</v>
      </c>
      <c r="D376" s="28">
        <v>0</v>
      </c>
      <c r="E376" s="28"/>
    </row>
    <row r="377" spans="1:6" ht="14.5" customHeight="1" x14ac:dyDescent="0.35">
      <c r="A377" s="55" t="s">
        <v>513</v>
      </c>
      <c r="B377" s="36" t="s">
        <v>299</v>
      </c>
      <c r="C377" s="356">
        <v>0</v>
      </c>
      <c r="D377" s="28">
        <v>0</v>
      </c>
      <c r="E377" s="28"/>
    </row>
    <row r="378" spans="1:6" ht="14.5" customHeight="1" x14ac:dyDescent="0.35">
      <c r="A378" s="55" t="s">
        <v>514</v>
      </c>
      <c r="B378" s="36" t="s">
        <v>299</v>
      </c>
      <c r="C378" s="356">
        <v>196445</v>
      </c>
      <c r="D378" s="28">
        <v>0</v>
      </c>
      <c r="E378" s="28"/>
    </row>
    <row r="379" spans="1:6" ht="14.5" customHeight="1" x14ac:dyDescent="0.35">
      <c r="A379" s="55" t="s">
        <v>515</v>
      </c>
      <c r="B379" s="36" t="s">
        <v>299</v>
      </c>
      <c r="C379" s="356">
        <v>390678</v>
      </c>
      <c r="D379" s="28">
        <v>0</v>
      </c>
      <c r="E379" s="28"/>
    </row>
    <row r="380" spans="1:6" ht="14.5" customHeight="1" x14ac:dyDescent="0.35">
      <c r="A380" s="55" t="s">
        <v>516</v>
      </c>
      <c r="B380" s="36" t="s">
        <v>299</v>
      </c>
      <c r="C380" s="364">
        <f>1073861-C379</f>
        <v>683183</v>
      </c>
      <c r="D380" s="28">
        <v>0</v>
      </c>
      <c r="E380" s="215" t="str">
        <f>IF(OR(C380&gt;999999,C380/(D360+D383)&gt;0.01),"Additional Classification Necessary - See Responses-2 Tab","")</f>
        <v/>
      </c>
      <c r="F380" s="56"/>
    </row>
    <row r="381" spans="1:6" ht="14.5" customHeight="1" x14ac:dyDescent="0.35">
      <c r="A381" s="57" t="s">
        <v>517</v>
      </c>
      <c r="B381" s="42"/>
      <c r="C381" s="42"/>
      <c r="D381" s="28">
        <f>SUM(C370:C380)</f>
        <v>1778095</v>
      </c>
      <c r="E381" s="28"/>
      <c r="F381" s="56"/>
    </row>
    <row r="382" spans="1:6" ht="14.5" customHeight="1" x14ac:dyDescent="0.35">
      <c r="A382" s="52" t="s">
        <v>518</v>
      </c>
      <c r="B382" s="42" t="s">
        <v>299</v>
      </c>
      <c r="C382" s="332">
        <v>0</v>
      </c>
      <c r="D382" s="28">
        <v>0</v>
      </c>
      <c r="E382" s="16"/>
    </row>
    <row r="383" spans="1:6" x14ac:dyDescent="0.35">
      <c r="A383" s="16" t="s">
        <v>519</v>
      </c>
      <c r="B383" s="16"/>
      <c r="C383" s="23"/>
      <c r="D383" s="28">
        <f>D381+C382</f>
        <v>1778095</v>
      </c>
      <c r="E383" s="16"/>
    </row>
    <row r="384" spans="1:6" x14ac:dyDescent="0.35">
      <c r="A384" s="16" t="s">
        <v>520</v>
      </c>
      <c r="B384" s="16"/>
      <c r="C384" s="23"/>
      <c r="D384" s="28">
        <f>D367+D383</f>
        <v>130898962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521</v>
      </c>
      <c r="B388" s="41"/>
      <c r="C388" s="41"/>
      <c r="D388" s="41"/>
      <c r="E388" s="41"/>
    </row>
    <row r="389" spans="1:5" x14ac:dyDescent="0.35">
      <c r="A389" s="16" t="s">
        <v>522</v>
      </c>
      <c r="B389" s="42" t="s">
        <v>299</v>
      </c>
      <c r="C389" s="356">
        <v>59535376</v>
      </c>
      <c r="D389" s="16"/>
      <c r="E389" s="16"/>
    </row>
    <row r="390" spans="1:5" x14ac:dyDescent="0.35">
      <c r="A390" s="16" t="s">
        <v>11</v>
      </c>
      <c r="B390" s="42" t="s">
        <v>299</v>
      </c>
      <c r="C390" s="356">
        <v>14961992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56">
        <v>5543969</v>
      </c>
      <c r="D391" s="16"/>
      <c r="E391" s="16"/>
    </row>
    <row r="392" spans="1:5" x14ac:dyDescent="0.35">
      <c r="A392" s="16" t="s">
        <v>523</v>
      </c>
      <c r="B392" s="42" t="s">
        <v>299</v>
      </c>
      <c r="C392" s="356">
        <v>15251946</v>
      </c>
      <c r="D392" s="16"/>
      <c r="E392" s="16"/>
    </row>
    <row r="393" spans="1:5" x14ac:dyDescent="0.35">
      <c r="A393" s="16" t="s">
        <v>524</v>
      </c>
      <c r="B393" s="42" t="s">
        <v>299</v>
      </c>
      <c r="C393" s="356">
        <v>1360017</v>
      </c>
      <c r="D393" s="16"/>
      <c r="E393" s="16"/>
    </row>
    <row r="394" spans="1:5" x14ac:dyDescent="0.35">
      <c r="A394" s="16" t="s">
        <v>525</v>
      </c>
      <c r="B394" s="42" t="s">
        <v>299</v>
      </c>
      <c r="C394" s="356">
        <v>14939902</v>
      </c>
      <c r="D394" s="16"/>
      <c r="E394" s="16"/>
    </row>
    <row r="395" spans="1:5" x14ac:dyDescent="0.35">
      <c r="A395" s="16" t="s">
        <v>16</v>
      </c>
      <c r="B395" s="42" t="s">
        <v>299</v>
      </c>
      <c r="C395" s="356">
        <v>7214516</v>
      </c>
      <c r="D395" s="16"/>
      <c r="E395" s="16"/>
    </row>
    <row r="396" spans="1:5" x14ac:dyDescent="0.35">
      <c r="A396" s="16" t="s">
        <v>526</v>
      </c>
      <c r="B396" s="42" t="s">
        <v>299</v>
      </c>
      <c r="C396" s="356">
        <v>227693</v>
      </c>
      <c r="D396" s="16"/>
      <c r="E396" s="16"/>
    </row>
    <row r="397" spans="1:5" x14ac:dyDescent="0.35">
      <c r="A397" s="16" t="s">
        <v>527</v>
      </c>
      <c r="B397" s="42" t="s">
        <v>299</v>
      </c>
      <c r="C397" s="356">
        <v>2093783</v>
      </c>
      <c r="D397" s="16"/>
      <c r="E397" s="16"/>
    </row>
    <row r="398" spans="1:5" x14ac:dyDescent="0.35">
      <c r="A398" s="16" t="s">
        <v>528</v>
      </c>
      <c r="B398" s="42" t="s">
        <v>299</v>
      </c>
      <c r="C398" s="356">
        <v>1070406</v>
      </c>
      <c r="D398" s="16"/>
      <c r="E398" s="16"/>
    </row>
    <row r="399" spans="1:5" x14ac:dyDescent="0.35">
      <c r="A399" s="16" t="s">
        <v>529</v>
      </c>
      <c r="B399" s="42" t="s">
        <v>299</v>
      </c>
      <c r="C399" s="356">
        <v>1428448</v>
      </c>
      <c r="D399" s="16"/>
      <c r="E399" s="16"/>
    </row>
    <row r="400" spans="1:5" x14ac:dyDescent="0.35">
      <c r="A400" s="28" t="s">
        <v>530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56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56">
        <v>0</v>
      </c>
      <c r="D402" s="28">
        <v>0</v>
      </c>
      <c r="E402" s="28"/>
    </row>
    <row r="403" spans="1:9" x14ac:dyDescent="0.35">
      <c r="A403" s="29" t="s">
        <v>531</v>
      </c>
      <c r="B403" s="36" t="s">
        <v>299</v>
      </c>
      <c r="C403" s="356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56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56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56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56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56">
        <v>2535683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56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56">
        <v>238852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56">
        <v>608516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56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56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64">
        <v>1804152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532</v>
      </c>
      <c r="B415" s="42"/>
      <c r="C415" s="42"/>
      <c r="D415" s="28">
        <f>SUM(C401:C414)</f>
        <v>5187203</v>
      </c>
      <c r="E415" s="28"/>
      <c r="F415" s="56"/>
      <c r="G415" s="56"/>
      <c r="H415" s="56"/>
      <c r="I415" s="56"/>
    </row>
    <row r="416" spans="1:9" x14ac:dyDescent="0.35">
      <c r="A416" s="28" t="s">
        <v>533</v>
      </c>
      <c r="B416" s="16"/>
      <c r="C416" s="23"/>
      <c r="D416" s="28">
        <f>SUM(C389:C399,D415)</f>
        <v>128815251</v>
      </c>
      <c r="E416" s="28"/>
    </row>
    <row r="417" spans="1:13" x14ac:dyDescent="0.35">
      <c r="A417" s="28" t="s">
        <v>534</v>
      </c>
      <c r="B417" s="16"/>
      <c r="C417" s="23"/>
      <c r="D417" s="28">
        <f>D384-D416</f>
        <v>2083711</v>
      </c>
      <c r="E417" s="28"/>
    </row>
    <row r="418" spans="1:13" x14ac:dyDescent="0.35">
      <c r="A418" s="28" t="s">
        <v>535</v>
      </c>
      <c r="B418" s="16"/>
      <c r="C418" s="335">
        <v>3162717</v>
      </c>
      <c r="D418" s="28">
        <v>0</v>
      </c>
      <c r="E418" s="28"/>
    </row>
    <row r="419" spans="1:13" x14ac:dyDescent="0.35">
      <c r="A419" s="55" t="s">
        <v>536</v>
      </c>
      <c r="B419" s="42" t="s">
        <v>299</v>
      </c>
      <c r="C419" s="332">
        <v>0</v>
      </c>
      <c r="D419" s="28">
        <v>0</v>
      </c>
      <c r="E419" s="28"/>
    </row>
    <row r="420" spans="1:13" x14ac:dyDescent="0.35">
      <c r="A420" s="57" t="s">
        <v>537</v>
      </c>
      <c r="B420" s="16"/>
      <c r="C420" s="16"/>
      <c r="D420" s="28">
        <f>SUM(C418:C419)</f>
        <v>3162717</v>
      </c>
      <c r="E420" s="28"/>
    </row>
    <row r="421" spans="1:13" x14ac:dyDescent="0.35">
      <c r="A421" s="28" t="s">
        <v>538</v>
      </c>
      <c r="B421" s="16"/>
      <c r="C421" s="23"/>
      <c r="D421" s="28">
        <f>D417+D420</f>
        <v>5246428</v>
      </c>
      <c r="E421" s="28"/>
      <c r="F421" s="59"/>
    </row>
    <row r="422" spans="1:13" x14ac:dyDescent="0.35">
      <c r="A422" s="28" t="s">
        <v>539</v>
      </c>
      <c r="B422" s="42" t="s">
        <v>299</v>
      </c>
      <c r="C422" s="332">
        <v>0</v>
      </c>
      <c r="D422" s="28">
        <v>0</v>
      </c>
      <c r="E422" s="16"/>
    </row>
    <row r="423" spans="1:13" x14ac:dyDescent="0.35">
      <c r="A423" s="16" t="s">
        <v>540</v>
      </c>
      <c r="B423" s="42" t="s">
        <v>299</v>
      </c>
      <c r="C423" s="332">
        <v>0</v>
      </c>
      <c r="D423" s="28">
        <v>0</v>
      </c>
      <c r="E423" s="16"/>
    </row>
    <row r="424" spans="1:13" x14ac:dyDescent="0.35">
      <c r="A424" s="16" t="s">
        <v>541</v>
      </c>
      <c r="B424" s="16"/>
      <c r="C424" s="23"/>
      <c r="D424" s="28">
        <f>D421+C422-C423</f>
        <v>5246428</v>
      </c>
      <c r="E424" s="16"/>
    </row>
    <row r="426" spans="1:13" ht="29.5" customHeight="1" x14ac:dyDescent="0.35">
      <c r="A426" s="390" t="s">
        <v>2114</v>
      </c>
      <c r="B426" s="390"/>
      <c r="C426" s="390"/>
      <c r="D426" s="390"/>
      <c r="E426" s="390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1"/>
      <c r="C612" s="219" t="s">
        <v>542</v>
      </c>
      <c r="D612" s="226">
        <f>CE90-(BE90+CD90)</f>
        <v>142429</v>
      </c>
      <c r="E612" s="228">
        <f>SUM(C624:D647)+SUM(C668:D713)</f>
        <v>120924901.80357933</v>
      </c>
      <c r="F612" s="228">
        <f>CE64-(AX64+BD64+BE64+BG64+BJ64+BN64+BP64+BQ64+CB64+CC64+CD64)</f>
        <v>15126191</v>
      </c>
      <c r="G612" s="226">
        <f>CE91-(AX91+AY91+BD91+BE91+BG91+BJ91+BN91+BP91+BQ91+CB91+CC91+CD91)</f>
        <v>14487</v>
      </c>
      <c r="H612" s="231">
        <f>CE60-(AX60+AY60+AZ60+BD60+BE60+BG60+BJ60+BN60+BO60+BP60+BQ60+BR60+CB60+CC60+CD60)</f>
        <v>553.0200000000001</v>
      </c>
      <c r="I612" s="226">
        <f>CE92-(AX92+AY92+AZ92+BD92+BE92+BF92+BG92+BJ92+BN92+BO92+BP92+BQ92+BR92+CB92+CC92+CD92)</f>
        <v>89665.54</v>
      </c>
      <c r="J612" s="226">
        <f>CE93-(AX93+AY93+AZ93+BA93+BD93+BE93+BF93+BG93+BJ93+BN93+BO93+BP93+BQ93+BR93+CB93+CC93+CD93)</f>
        <v>383871</v>
      </c>
      <c r="K612" s="226">
        <f>CE89-(AW89+AX89+AY89+AZ89+BA89+BB89+BC89+BD89+BE89+BF89+BG89+BH89+BI89+BJ89+BK89+BL89+BM89+BN89+BO89+BP89+BQ89+BR89+BS89+BT89+BU89+BV89+BW89+BX89+CB89+CC89+CD89)</f>
        <v>240441060</v>
      </c>
      <c r="L612" s="232">
        <f>CE94-(AW94+AX94+AY94+AZ94+BA94+BB94+BC94+BD94+BE94+BF94+BG94+BH94+BI94+BJ94+BK94+BL94+BM94+BN94+BO94+BP94+BQ94+BR94+BS94+BT94+BU94+BV94+BW94+BX94+BY94+BZ94+CA94+CB94+CC94+CD94)</f>
        <v>123.22000000000001</v>
      </c>
    </row>
    <row r="613" spans="1:14" s="211" customFormat="1" ht="12.65" customHeight="1" x14ac:dyDescent="0.3">
      <c r="A613" s="221"/>
      <c r="C613" s="219" t="s">
        <v>543</v>
      </c>
      <c r="D613" s="227" t="s">
        <v>544</v>
      </c>
      <c r="E613" s="229" t="s">
        <v>545</v>
      </c>
      <c r="F613" s="230" t="s">
        <v>546</v>
      </c>
      <c r="G613" s="227" t="s">
        <v>547</v>
      </c>
      <c r="H613" s="230" t="s">
        <v>548</v>
      </c>
      <c r="I613" s="227" t="s">
        <v>549</v>
      </c>
      <c r="J613" s="227" t="s">
        <v>550</v>
      </c>
      <c r="K613" s="219" t="s">
        <v>551</v>
      </c>
      <c r="L613" s="220" t="s">
        <v>552</v>
      </c>
    </row>
    <row r="614" spans="1:14" s="211" customFormat="1" ht="12.65" customHeight="1" x14ac:dyDescent="0.3">
      <c r="A614" s="221">
        <v>8430</v>
      </c>
      <c r="B614" s="220" t="s">
        <v>167</v>
      </c>
      <c r="C614" s="226">
        <f>BE85</f>
        <v>3143634</v>
      </c>
      <c r="D614" s="226"/>
      <c r="E614" s="228"/>
      <c r="F614" s="228"/>
      <c r="G614" s="226"/>
      <c r="H614" s="228"/>
      <c r="I614" s="226"/>
      <c r="J614" s="226"/>
      <c r="N614" s="222" t="s">
        <v>553</v>
      </c>
    </row>
    <row r="615" spans="1:14" s="211" customFormat="1" ht="12.65" customHeight="1" x14ac:dyDescent="0.3">
      <c r="A615" s="221"/>
      <c r="B615" s="220" t="s">
        <v>554</v>
      </c>
      <c r="C615" s="226">
        <f>CD69-CD84</f>
        <v>4592637</v>
      </c>
      <c r="D615" s="226">
        <f>SUM(C614:C615)</f>
        <v>7736271</v>
      </c>
      <c r="E615" s="228"/>
      <c r="F615" s="228"/>
      <c r="G615" s="226"/>
      <c r="H615" s="228"/>
      <c r="I615" s="226"/>
      <c r="J615" s="226"/>
      <c r="N615" s="222" t="s">
        <v>555</v>
      </c>
    </row>
    <row r="616" spans="1:14" s="211" customFormat="1" ht="12.65" customHeight="1" x14ac:dyDescent="0.3">
      <c r="A616" s="221">
        <v>8310</v>
      </c>
      <c r="B616" s="225" t="s">
        <v>556</v>
      </c>
      <c r="C616" s="226">
        <f>AX85</f>
        <v>0</v>
      </c>
      <c r="D616" s="226">
        <f>(D615/D612)*AX90</f>
        <v>0</v>
      </c>
      <c r="E616" s="228"/>
      <c r="F616" s="228"/>
      <c r="G616" s="226"/>
      <c r="H616" s="228"/>
      <c r="I616" s="226"/>
      <c r="J616" s="226"/>
      <c r="N616" s="222" t="s">
        <v>557</v>
      </c>
    </row>
    <row r="617" spans="1:14" s="211" customFormat="1" ht="12.65" customHeight="1" x14ac:dyDescent="0.3">
      <c r="A617" s="221">
        <v>8510</v>
      </c>
      <c r="B617" s="225" t="s">
        <v>172</v>
      </c>
      <c r="C617" s="226">
        <f>BJ85</f>
        <v>1370050</v>
      </c>
      <c r="D617" s="226">
        <f>(D615/D612)*BJ90</f>
        <v>0</v>
      </c>
      <c r="E617" s="228"/>
      <c r="F617" s="228"/>
      <c r="G617" s="226"/>
      <c r="H617" s="228"/>
      <c r="I617" s="226"/>
      <c r="J617" s="226"/>
      <c r="N617" s="222" t="s">
        <v>558</v>
      </c>
    </row>
    <row r="618" spans="1:14" s="211" customFormat="1" ht="12.65" customHeight="1" x14ac:dyDescent="0.3">
      <c r="A618" s="221">
        <v>8470</v>
      </c>
      <c r="B618" s="225" t="s">
        <v>559</v>
      </c>
      <c r="C618" s="226">
        <f>BG85</f>
        <v>0</v>
      </c>
      <c r="D618" s="226">
        <f>(D615/D612)*BG90</f>
        <v>0</v>
      </c>
      <c r="E618" s="228"/>
      <c r="F618" s="228"/>
      <c r="G618" s="226"/>
      <c r="H618" s="228"/>
      <c r="I618" s="226"/>
      <c r="J618" s="226"/>
      <c r="N618" s="222" t="s">
        <v>560</v>
      </c>
    </row>
    <row r="619" spans="1:14" s="211" customFormat="1" ht="12.65" customHeight="1" x14ac:dyDescent="0.3">
      <c r="A619" s="221">
        <v>8610</v>
      </c>
      <c r="B619" s="225" t="s">
        <v>561</v>
      </c>
      <c r="C619" s="226">
        <f>BN85</f>
        <v>2848446</v>
      </c>
      <c r="D619" s="226">
        <f>(D615/D612)*BN90</f>
        <v>871511.1964206727</v>
      </c>
      <c r="E619" s="228"/>
      <c r="F619" s="228"/>
      <c r="G619" s="226"/>
      <c r="H619" s="228"/>
      <c r="I619" s="226"/>
      <c r="J619" s="226"/>
      <c r="N619" s="222" t="s">
        <v>562</v>
      </c>
    </row>
    <row r="620" spans="1:14" s="211" customFormat="1" ht="12.65" customHeight="1" x14ac:dyDescent="0.3">
      <c r="A620" s="221">
        <v>8790</v>
      </c>
      <c r="B620" s="225" t="s">
        <v>563</v>
      </c>
      <c r="C620" s="226">
        <f>CC85</f>
        <v>805630</v>
      </c>
      <c r="D620" s="226">
        <f>(D615/D612)*CC90</f>
        <v>0</v>
      </c>
      <c r="E620" s="228"/>
      <c r="F620" s="228"/>
      <c r="G620" s="226"/>
      <c r="H620" s="228"/>
      <c r="I620" s="226"/>
      <c r="J620" s="226"/>
      <c r="N620" s="222" t="s">
        <v>564</v>
      </c>
    </row>
    <row r="621" spans="1:14" s="211" customFormat="1" ht="12.65" customHeight="1" x14ac:dyDescent="0.3">
      <c r="A621" s="221">
        <v>8630</v>
      </c>
      <c r="B621" s="225" t="s">
        <v>565</v>
      </c>
      <c r="C621" s="226">
        <f>BP85</f>
        <v>920902</v>
      </c>
      <c r="D621" s="226">
        <f>(D615/D612)*BP90</f>
        <v>0</v>
      </c>
      <c r="E621" s="228"/>
      <c r="F621" s="228"/>
      <c r="G621" s="226"/>
      <c r="H621" s="228"/>
      <c r="I621" s="226"/>
      <c r="J621" s="226"/>
      <c r="N621" s="222" t="s">
        <v>566</v>
      </c>
    </row>
    <row r="622" spans="1:14" s="211" customFormat="1" ht="12.65" customHeight="1" x14ac:dyDescent="0.3">
      <c r="A622" s="221">
        <v>8770</v>
      </c>
      <c r="B622" s="220" t="s">
        <v>567</v>
      </c>
      <c r="C622" s="226">
        <f>CB85</f>
        <v>0</v>
      </c>
      <c r="D622" s="226">
        <f>(D615/D612)*CB90</f>
        <v>0</v>
      </c>
      <c r="E622" s="228"/>
      <c r="F622" s="228"/>
      <c r="G622" s="226"/>
      <c r="H622" s="228"/>
      <c r="I622" s="226"/>
      <c r="J622" s="226"/>
      <c r="N622" s="222" t="s">
        <v>568</v>
      </c>
    </row>
    <row r="623" spans="1:14" s="211" customFormat="1" ht="12.65" customHeight="1" x14ac:dyDescent="0.3">
      <c r="A623" s="221">
        <v>8640</v>
      </c>
      <c r="B623" s="225" t="s">
        <v>569</v>
      </c>
      <c r="C623" s="226">
        <f>BQ85</f>
        <v>0</v>
      </c>
      <c r="D623" s="226">
        <f>(D615/D612)*BQ90</f>
        <v>0</v>
      </c>
      <c r="E623" s="228">
        <f>SUM(C616:D623)</f>
        <v>6816539.1964206723</v>
      </c>
      <c r="F623" s="228"/>
      <c r="G623" s="226"/>
      <c r="H623" s="228"/>
      <c r="I623" s="226"/>
      <c r="J623" s="226"/>
      <c r="N623" s="222" t="s">
        <v>570</v>
      </c>
    </row>
    <row r="624" spans="1:14" s="211" customFormat="1" ht="12.65" customHeight="1" x14ac:dyDescent="0.3">
      <c r="A624" s="221">
        <v>8420</v>
      </c>
      <c r="B624" s="225" t="s">
        <v>166</v>
      </c>
      <c r="C624" s="226">
        <f>BD85</f>
        <v>851575</v>
      </c>
      <c r="D624" s="226">
        <f>(D615/D612)*BD90</f>
        <v>170337.12134466998</v>
      </c>
      <c r="E624" s="228">
        <f>(E623/E612)*SUM(C624:D624)</f>
        <v>57605.207252995708</v>
      </c>
      <c r="F624" s="228">
        <f>SUM(C624:E624)</f>
        <v>1079517.3285976658</v>
      </c>
      <c r="G624" s="226"/>
      <c r="H624" s="228"/>
      <c r="I624" s="226"/>
      <c r="J624" s="226"/>
      <c r="N624" s="222" t="s">
        <v>571</v>
      </c>
    </row>
    <row r="625" spans="1:14" s="211" customFormat="1" ht="12.65" customHeight="1" x14ac:dyDescent="0.3">
      <c r="A625" s="221">
        <v>8320</v>
      </c>
      <c r="B625" s="225" t="s">
        <v>162</v>
      </c>
      <c r="C625" s="226">
        <f>AY85</f>
        <v>1140687</v>
      </c>
      <c r="D625" s="226">
        <f>(D615/D612)*AY90</f>
        <v>144102.16292328108</v>
      </c>
      <c r="E625" s="228">
        <f>(E623/E612)*SUM(C625:D625)</f>
        <v>72423.591481831769</v>
      </c>
      <c r="F625" s="228">
        <f>(F624/F612)*AY64</f>
        <v>29380.256785582878</v>
      </c>
      <c r="G625" s="226">
        <f>SUM(C625:F625)</f>
        <v>1386593.0111906959</v>
      </c>
      <c r="H625" s="228"/>
      <c r="I625" s="226"/>
      <c r="J625" s="226"/>
      <c r="N625" s="222" t="s">
        <v>572</v>
      </c>
    </row>
    <row r="626" spans="1:14" s="211" customFormat="1" ht="12.65" customHeight="1" x14ac:dyDescent="0.3">
      <c r="A626" s="221">
        <v>8650</v>
      </c>
      <c r="B626" s="225" t="s">
        <v>179</v>
      </c>
      <c r="C626" s="226">
        <f>BR85</f>
        <v>1315242</v>
      </c>
      <c r="D626" s="226">
        <f>(D615/D612)*BR90</f>
        <v>104125.0834240218</v>
      </c>
      <c r="E626" s="228">
        <f>(E623/E612)*SUM(C626:D626)</f>
        <v>80009.751622413591</v>
      </c>
      <c r="F626" s="228">
        <f>(F624/F612)*BR64</f>
        <v>991.15082307002353</v>
      </c>
      <c r="G626" s="226">
        <f>(G625/G612)*BR91</f>
        <v>0</v>
      </c>
      <c r="H626" s="228"/>
      <c r="I626" s="226"/>
      <c r="J626" s="226"/>
      <c r="N626" s="222" t="s">
        <v>573</v>
      </c>
    </row>
    <row r="627" spans="1:14" s="211" customFormat="1" ht="12.65" customHeight="1" x14ac:dyDescent="0.3">
      <c r="A627" s="221">
        <v>8620</v>
      </c>
      <c r="B627" s="220" t="s">
        <v>574</v>
      </c>
      <c r="C627" s="226">
        <f>BO85</f>
        <v>334438</v>
      </c>
      <c r="D627" s="226">
        <f>(D615/D612)*BO90</f>
        <v>0</v>
      </c>
      <c r="E627" s="228">
        <f>(E623/E612)*SUM(C627:D627)</f>
        <v>18852.276923701902</v>
      </c>
      <c r="F627" s="228">
        <f>(F624/F612)*BO64</f>
        <v>937.83935526808602</v>
      </c>
      <c r="G627" s="226">
        <f>(G625/G612)*BO91</f>
        <v>0</v>
      </c>
      <c r="H627" s="228"/>
      <c r="I627" s="226"/>
      <c r="J627" s="226"/>
      <c r="N627" s="222" t="s">
        <v>575</v>
      </c>
    </row>
    <row r="628" spans="1:14" s="211" customFormat="1" ht="12.65" customHeight="1" x14ac:dyDescent="0.3">
      <c r="A628" s="221">
        <v>8330</v>
      </c>
      <c r="B628" s="225" t="s">
        <v>163</v>
      </c>
      <c r="C628" s="226">
        <f>AZ85</f>
        <v>84604</v>
      </c>
      <c r="D628" s="226">
        <f>(D615/D612)*AZ90</f>
        <v>92990.163183059631</v>
      </c>
      <c r="E628" s="228">
        <f>(E623/E612)*SUM(C628:D628)</f>
        <v>10010.986623410452</v>
      </c>
      <c r="F628" s="228">
        <f>(F624/F612)*AZ64</f>
        <v>0</v>
      </c>
      <c r="G628" s="226">
        <f>(G625/G612)*AZ91</f>
        <v>0</v>
      </c>
      <c r="H628" s="228">
        <f>SUM(C626:G628)</f>
        <v>2042201.251954945</v>
      </c>
      <c r="I628" s="226"/>
      <c r="J628" s="226"/>
      <c r="N628" s="222" t="s">
        <v>576</v>
      </c>
    </row>
    <row r="629" spans="1:14" s="211" customFormat="1" ht="12.65" customHeight="1" x14ac:dyDescent="0.3">
      <c r="A629" s="221">
        <v>8460</v>
      </c>
      <c r="B629" s="225" t="s">
        <v>168</v>
      </c>
      <c r="C629" s="226">
        <f>BF85</f>
        <v>1827615</v>
      </c>
      <c r="D629" s="226">
        <f>(D615/D612)*BF90</f>
        <v>18630.62264707328</v>
      </c>
      <c r="E629" s="228">
        <f>(E623/E612)*SUM(C629:D629)</f>
        <v>104072.90363928462</v>
      </c>
      <c r="F629" s="228">
        <f>(F624/F612)*BF64</f>
        <v>22670.005850362839</v>
      </c>
      <c r="G629" s="226">
        <f>(G625/G612)*BF91</f>
        <v>0</v>
      </c>
      <c r="H629" s="228">
        <f>(H628/H612)*BF60</f>
        <v>89550.794473811824</v>
      </c>
      <c r="I629" s="226">
        <f>SUM(C629:H629)</f>
        <v>2062539.3266105326</v>
      </c>
      <c r="J629" s="226"/>
      <c r="N629" s="222" t="s">
        <v>577</v>
      </c>
    </row>
    <row r="630" spans="1:14" s="211" customFormat="1" ht="12.65" customHeight="1" x14ac:dyDescent="0.3">
      <c r="A630" s="221">
        <v>8350</v>
      </c>
      <c r="B630" s="225" t="s">
        <v>578</v>
      </c>
      <c r="C630" s="226">
        <f>BA85</f>
        <v>258704</v>
      </c>
      <c r="D630" s="226">
        <f>(D615/D612)*BA90</f>
        <v>46440.764907427561</v>
      </c>
      <c r="E630" s="228">
        <f>(E623/E612)*SUM(C630:D630)</f>
        <v>17201.016660345827</v>
      </c>
      <c r="F630" s="228">
        <f>(F624/F612)*BA64</f>
        <v>0.7136742677635538</v>
      </c>
      <c r="G630" s="226">
        <f>(G625/G612)*BA91</f>
        <v>0</v>
      </c>
      <c r="H630" s="228">
        <f>(H628/H612)*BA60</f>
        <v>11447.730427580067</v>
      </c>
      <c r="I630" s="226">
        <f>(I629/I612)*BA92</f>
        <v>0</v>
      </c>
      <c r="J630" s="226">
        <f>SUM(C630:I630)</f>
        <v>333794.2256696212</v>
      </c>
      <c r="N630" s="222" t="s">
        <v>579</v>
      </c>
    </row>
    <row r="631" spans="1:14" s="211" customFormat="1" ht="12.65" customHeight="1" x14ac:dyDescent="0.3">
      <c r="A631" s="221">
        <v>8200</v>
      </c>
      <c r="B631" s="225" t="s">
        <v>580</v>
      </c>
      <c r="C631" s="226">
        <f>AW85</f>
        <v>0</v>
      </c>
      <c r="D631" s="226">
        <f>(D615/D612)*AW90</f>
        <v>0</v>
      </c>
      <c r="E631" s="228">
        <f>(E623/E612)*SUM(C631:D631)</f>
        <v>0</v>
      </c>
      <c r="F631" s="228">
        <f>(F624/F612)*AW64</f>
        <v>0</v>
      </c>
      <c r="G631" s="226">
        <f>(G625/G612)*AW91</f>
        <v>0</v>
      </c>
      <c r="H631" s="228">
        <f>(H628/H612)*AW60</f>
        <v>0</v>
      </c>
      <c r="I631" s="226">
        <f>(I629/I612)*AW92</f>
        <v>0</v>
      </c>
      <c r="J631" s="226">
        <f>(J630/J612)*AW93</f>
        <v>0</v>
      </c>
      <c r="N631" s="222" t="s">
        <v>581</v>
      </c>
    </row>
    <row r="632" spans="1:14" s="211" customFormat="1" ht="12.65" customHeight="1" x14ac:dyDescent="0.3">
      <c r="A632" s="221">
        <v>8360</v>
      </c>
      <c r="B632" s="225" t="s">
        <v>582</v>
      </c>
      <c r="C632" s="226">
        <f>BB85</f>
        <v>208038</v>
      </c>
      <c r="D632" s="226">
        <f>(D615/D612)*BB90</f>
        <v>11732.403766086962</v>
      </c>
      <c r="E632" s="228">
        <f>(E623/E612)*SUM(C632:D632)</f>
        <v>12388.462170662575</v>
      </c>
      <c r="F632" s="228">
        <f>(F624/F612)*BB64</f>
        <v>21.552962886459326</v>
      </c>
      <c r="G632" s="226">
        <f>(G625/G612)*BB91</f>
        <v>0</v>
      </c>
      <c r="H632" s="228">
        <f>(H628/H612)*BB60</f>
        <v>6794.7819312088141</v>
      </c>
      <c r="I632" s="226">
        <f>(I629/I612)*BB92</f>
        <v>3592.7739622523786</v>
      </c>
      <c r="J632" s="226">
        <f>(J630/J612)*BB93</f>
        <v>0</v>
      </c>
      <c r="N632" s="222" t="s">
        <v>583</v>
      </c>
    </row>
    <row r="633" spans="1:14" s="211" customFormat="1" ht="12.65" customHeight="1" x14ac:dyDescent="0.3">
      <c r="A633" s="221">
        <v>8370</v>
      </c>
      <c r="B633" s="225" t="s">
        <v>584</v>
      </c>
      <c r="C633" s="226">
        <f>BC85</f>
        <v>0</v>
      </c>
      <c r="D633" s="226">
        <f>(D615/D612)*BC90</f>
        <v>0</v>
      </c>
      <c r="E633" s="228">
        <f>(E623/E612)*SUM(C633:D633)</f>
        <v>0</v>
      </c>
      <c r="F633" s="228">
        <f>(F624/F612)*BC64</f>
        <v>0</v>
      </c>
      <c r="G633" s="226">
        <f>(G625/G612)*BC91</f>
        <v>0</v>
      </c>
      <c r="H633" s="228">
        <f>(H628/H612)*BC60</f>
        <v>0</v>
      </c>
      <c r="I633" s="226">
        <f>(I629/I612)*BC92</f>
        <v>0</v>
      </c>
      <c r="J633" s="226">
        <f>(J630/J612)*BC93</f>
        <v>0</v>
      </c>
      <c r="N633" s="222" t="s">
        <v>585</v>
      </c>
    </row>
    <row r="634" spans="1:14" s="211" customFormat="1" ht="12.65" customHeight="1" x14ac:dyDescent="0.3">
      <c r="A634" s="221">
        <v>8490</v>
      </c>
      <c r="B634" s="225" t="s">
        <v>586</v>
      </c>
      <c r="C634" s="226">
        <f>BI85</f>
        <v>24907</v>
      </c>
      <c r="D634" s="226">
        <f>(D615/D612)*BI90</f>
        <v>27375.608787536246</v>
      </c>
      <c r="E634" s="228">
        <f>(E623/E612)*SUM(C634:D634)</f>
        <v>2947.1717303542173</v>
      </c>
      <c r="F634" s="228">
        <f>(F624/F612)*BI64</f>
        <v>0</v>
      </c>
      <c r="G634" s="226">
        <f>(G625/G612)*BI91</f>
        <v>0</v>
      </c>
      <c r="H634" s="228">
        <f>(H628/H612)*BI60</f>
        <v>0</v>
      </c>
      <c r="I634" s="226">
        <f>(I629/I612)*BI92</f>
        <v>0</v>
      </c>
      <c r="J634" s="226">
        <f>(J630/J612)*BI93</f>
        <v>0</v>
      </c>
      <c r="N634" s="222" t="s">
        <v>587</v>
      </c>
    </row>
    <row r="635" spans="1:14" s="211" customFormat="1" ht="12.65" customHeight="1" x14ac:dyDescent="0.3">
      <c r="A635" s="221">
        <v>8530</v>
      </c>
      <c r="B635" s="225" t="s">
        <v>588</v>
      </c>
      <c r="C635" s="226">
        <f>BK85</f>
        <v>4341629</v>
      </c>
      <c r="D635" s="226">
        <f>(D615/D612)*BK90</f>
        <v>367452.3679517514</v>
      </c>
      <c r="E635" s="228">
        <f>(E623/E612)*SUM(C635:D635)</f>
        <v>265451.01335635124</v>
      </c>
      <c r="F635" s="228">
        <f>(F624/F612)*BK64</f>
        <v>2169.4270391476507</v>
      </c>
      <c r="G635" s="226">
        <f>(G625/G612)*BK91</f>
        <v>0</v>
      </c>
      <c r="H635" s="228">
        <f>(H628/H612)*BK60</f>
        <v>151479.32327075303</v>
      </c>
      <c r="I635" s="226">
        <f>(I629/I612)*BK92</f>
        <v>0</v>
      </c>
      <c r="J635" s="226">
        <f>(J630/J612)*BK93</f>
        <v>0</v>
      </c>
      <c r="N635" s="222" t="s">
        <v>589</v>
      </c>
    </row>
    <row r="636" spans="1:14" s="211" customFormat="1" ht="12.65" customHeight="1" x14ac:dyDescent="0.3">
      <c r="A636" s="221">
        <v>8480</v>
      </c>
      <c r="B636" s="225" t="s">
        <v>590</v>
      </c>
      <c r="C636" s="226">
        <f>BH85</f>
        <v>6007550</v>
      </c>
      <c r="D636" s="226">
        <f>(D615/D612)*BH90</f>
        <v>187718.46025739139</v>
      </c>
      <c r="E636" s="228">
        <f>(E623/E612)*SUM(C636:D636)</f>
        <v>349227.41025077482</v>
      </c>
      <c r="F636" s="228">
        <f>(F624/F612)*BH64</f>
        <v>33787.980430717362</v>
      </c>
      <c r="G636" s="226">
        <f>(G625/G612)*BH91</f>
        <v>0</v>
      </c>
      <c r="H636" s="228">
        <f>(H628/H612)*BH60</f>
        <v>69424.945818872671</v>
      </c>
      <c r="I636" s="226">
        <f>(I629/I612)*BH92</f>
        <v>0</v>
      </c>
      <c r="J636" s="226">
        <f>(J630/J612)*BH93</f>
        <v>0</v>
      </c>
      <c r="N636" s="222" t="s">
        <v>591</v>
      </c>
    </row>
    <row r="637" spans="1:14" s="211" customFormat="1" ht="12.65" customHeight="1" x14ac:dyDescent="0.3">
      <c r="A637" s="221">
        <v>8560</v>
      </c>
      <c r="B637" s="225" t="s">
        <v>174</v>
      </c>
      <c r="C637" s="226">
        <f>BL85</f>
        <v>0</v>
      </c>
      <c r="D637" s="226">
        <f>(D615/D612)*BL90</f>
        <v>0</v>
      </c>
      <c r="E637" s="228">
        <f>(E623/E612)*SUM(C637:D637)</f>
        <v>0</v>
      </c>
      <c r="F637" s="228">
        <f>(F624/F612)*BL64</f>
        <v>0</v>
      </c>
      <c r="G637" s="226">
        <f>(G625/G612)*BL91</f>
        <v>0</v>
      </c>
      <c r="H637" s="228">
        <f>(H628/H612)*BL60</f>
        <v>0</v>
      </c>
      <c r="I637" s="226">
        <f>(I629/I612)*BL92</f>
        <v>0</v>
      </c>
      <c r="J637" s="226">
        <f>(J630/J612)*BL93</f>
        <v>0</v>
      </c>
      <c r="N637" s="222" t="s">
        <v>592</v>
      </c>
    </row>
    <row r="638" spans="1:14" s="211" customFormat="1" ht="12.65" customHeight="1" x14ac:dyDescent="0.3">
      <c r="A638" s="221">
        <v>8590</v>
      </c>
      <c r="B638" s="225" t="s">
        <v>593</v>
      </c>
      <c r="C638" s="226">
        <f>BM85</f>
        <v>0</v>
      </c>
      <c r="D638" s="226">
        <f>(D615/D612)*BM90</f>
        <v>0</v>
      </c>
      <c r="E638" s="228">
        <f>(E623/E612)*SUM(C638:D638)</f>
        <v>0</v>
      </c>
      <c r="F638" s="228">
        <f>(F624/F612)*BM64</f>
        <v>0</v>
      </c>
      <c r="G638" s="226">
        <f>(G625/G612)*BM91</f>
        <v>0</v>
      </c>
      <c r="H638" s="228">
        <f>(H628/H612)*BM60</f>
        <v>0</v>
      </c>
      <c r="I638" s="226">
        <f>(I629/I612)*BM92</f>
        <v>0</v>
      </c>
      <c r="J638" s="226">
        <f>(J630/J612)*BM93</f>
        <v>0</v>
      </c>
      <c r="N638" s="222" t="s">
        <v>594</v>
      </c>
    </row>
    <row r="639" spans="1:14" s="211" customFormat="1" ht="12.65" customHeight="1" x14ac:dyDescent="0.3">
      <c r="A639" s="221">
        <v>8660</v>
      </c>
      <c r="B639" s="225" t="s">
        <v>595</v>
      </c>
      <c r="C639" s="226">
        <f>BS85</f>
        <v>0</v>
      </c>
      <c r="D639" s="226">
        <f>(D615/D612)*BS90</f>
        <v>0</v>
      </c>
      <c r="E639" s="228">
        <f>(E623/E612)*SUM(C639:D639)</f>
        <v>0</v>
      </c>
      <c r="F639" s="228">
        <f>(F624/F612)*BS64</f>
        <v>0</v>
      </c>
      <c r="G639" s="226">
        <f>(G625/G612)*BS91</f>
        <v>0</v>
      </c>
      <c r="H639" s="228">
        <f>(H628/H612)*BS60</f>
        <v>0</v>
      </c>
      <c r="I639" s="226">
        <f>(I629/I612)*BS92</f>
        <v>0</v>
      </c>
      <c r="J639" s="226">
        <f>(J630/J612)*BS93</f>
        <v>0</v>
      </c>
      <c r="N639" s="222" t="s">
        <v>596</v>
      </c>
    </row>
    <row r="640" spans="1:14" s="211" customFormat="1" ht="12.65" customHeight="1" x14ac:dyDescent="0.3">
      <c r="A640" s="221">
        <v>8670</v>
      </c>
      <c r="B640" s="225" t="s">
        <v>597</v>
      </c>
      <c r="C640" s="226">
        <f>BT85</f>
        <v>0</v>
      </c>
      <c r="D640" s="226">
        <f>(D615/D612)*BT90</f>
        <v>0</v>
      </c>
      <c r="E640" s="228">
        <f>(E623/E612)*SUM(C640:D640)</f>
        <v>0</v>
      </c>
      <c r="F640" s="228">
        <f>(F624/F612)*BT64</f>
        <v>0</v>
      </c>
      <c r="G640" s="226">
        <f>(G625/G612)*BT91</f>
        <v>0</v>
      </c>
      <c r="H640" s="228">
        <f>(H628/H612)*BT60</f>
        <v>0</v>
      </c>
      <c r="I640" s="226">
        <f>(I629/I612)*BT92</f>
        <v>0</v>
      </c>
      <c r="J640" s="226">
        <f>(J630/J612)*BT93</f>
        <v>0</v>
      </c>
      <c r="N640" s="222" t="s">
        <v>598</v>
      </c>
    </row>
    <row r="641" spans="1:14" s="211" customFormat="1" ht="12.65" customHeight="1" x14ac:dyDescent="0.3">
      <c r="A641" s="221">
        <v>8680</v>
      </c>
      <c r="B641" s="225" t="s">
        <v>599</v>
      </c>
      <c r="C641" s="226">
        <f>BU85</f>
        <v>0</v>
      </c>
      <c r="D641" s="226">
        <f>(D615/D612)*BU90</f>
        <v>0</v>
      </c>
      <c r="E641" s="228">
        <f>(E623/E612)*SUM(C641:D641)</f>
        <v>0</v>
      </c>
      <c r="F641" s="228">
        <f>(F624/F612)*BU64</f>
        <v>0</v>
      </c>
      <c r="G641" s="226">
        <f>(G625/G612)*BU91</f>
        <v>0</v>
      </c>
      <c r="H641" s="228">
        <f>(H628/H612)*BU60</f>
        <v>0</v>
      </c>
      <c r="I641" s="226">
        <f>(I629/I612)*BU92</f>
        <v>0</v>
      </c>
      <c r="J641" s="226">
        <f>(J630/J612)*BU93</f>
        <v>0</v>
      </c>
      <c r="N641" s="222" t="s">
        <v>600</v>
      </c>
    </row>
    <row r="642" spans="1:14" s="211" customFormat="1" ht="12.65" customHeight="1" x14ac:dyDescent="0.3">
      <c r="A642" s="221">
        <v>8690</v>
      </c>
      <c r="B642" s="225" t="s">
        <v>601</v>
      </c>
      <c r="C642" s="226">
        <f>BV85</f>
        <v>2565736</v>
      </c>
      <c r="D642" s="226">
        <f>(D615/D612)*BV90</f>
        <v>96846.647754319696</v>
      </c>
      <c r="E642" s="228">
        <f>(E623/E612)*SUM(C642:D642)</f>
        <v>150089.83849834008</v>
      </c>
      <c r="F642" s="228">
        <f>(F624/F612)*BV64</f>
        <v>809.73482420452819</v>
      </c>
      <c r="G642" s="226">
        <f>(G625/G612)*BV91</f>
        <v>0</v>
      </c>
      <c r="H642" s="228">
        <f>(H628/H612)*BV60</f>
        <v>90289.357727204071</v>
      </c>
      <c r="I642" s="226">
        <f>(I629/I612)*BV92</f>
        <v>29395.235124540221</v>
      </c>
      <c r="J642" s="226">
        <f>(J630/J612)*BV93</f>
        <v>0</v>
      </c>
      <c r="N642" s="222" t="s">
        <v>602</v>
      </c>
    </row>
    <row r="643" spans="1:14" s="211" customFormat="1" ht="12.65" customHeight="1" x14ac:dyDescent="0.3">
      <c r="A643" s="221">
        <v>8700</v>
      </c>
      <c r="B643" s="225" t="s">
        <v>603</v>
      </c>
      <c r="C643" s="226">
        <f>BW85</f>
        <v>1369206</v>
      </c>
      <c r="D643" s="226">
        <f>(D615/D612)*BW90</f>
        <v>0</v>
      </c>
      <c r="E643" s="228">
        <f>(E623/E612)*SUM(C643:D643)</f>
        <v>77182.170320340942</v>
      </c>
      <c r="F643" s="228">
        <f>(F624/F612)*BW64</f>
        <v>174.85019560207067</v>
      </c>
      <c r="G643" s="226">
        <f>(G625/G612)*BW91</f>
        <v>0</v>
      </c>
      <c r="H643" s="228">
        <f>(H628/H612)*BW60</f>
        <v>14032.701814452985</v>
      </c>
      <c r="I643" s="226">
        <f>(I629/I612)*BW92</f>
        <v>0</v>
      </c>
      <c r="J643" s="226">
        <f>(J630/J612)*BW93</f>
        <v>0</v>
      </c>
      <c r="N643" s="222" t="s">
        <v>604</v>
      </c>
    </row>
    <row r="644" spans="1:14" s="211" customFormat="1" ht="12.65" customHeight="1" x14ac:dyDescent="0.3">
      <c r="A644" s="221">
        <v>8710</v>
      </c>
      <c r="B644" s="225" t="s">
        <v>605</v>
      </c>
      <c r="C644" s="226">
        <f>BX85</f>
        <v>1274365</v>
      </c>
      <c r="D644" s="226">
        <f>(D615/D612)*BX90</f>
        <v>0</v>
      </c>
      <c r="E644" s="228">
        <f>(E623/E612)*SUM(C644:D644)</f>
        <v>71835.981203910356</v>
      </c>
      <c r="F644" s="228">
        <f>(F624/F612)*BX64</f>
        <v>266.55733900968733</v>
      </c>
      <c r="G644" s="226">
        <f>(G625/G612)*BX91</f>
        <v>0</v>
      </c>
      <c r="H644" s="228">
        <f>(H628/H612)*BX60</f>
        <v>25037.294289997695</v>
      </c>
      <c r="I644" s="226">
        <f>(I629/I612)*BX92</f>
        <v>0</v>
      </c>
      <c r="J644" s="226">
        <f>(J630/J612)*BX93</f>
        <v>0</v>
      </c>
      <c r="K644" s="228">
        <f>SUM(C631:J644)</f>
        <v>17838955.052778669</v>
      </c>
      <c r="L644" s="228"/>
      <c r="N644" s="222" t="s">
        <v>606</v>
      </c>
    </row>
    <row r="645" spans="1:14" s="211" customFormat="1" ht="12.65" customHeight="1" x14ac:dyDescent="0.3">
      <c r="A645" s="221">
        <v>8720</v>
      </c>
      <c r="B645" s="225" t="s">
        <v>607</v>
      </c>
      <c r="C645" s="226">
        <f>BY85</f>
        <v>1741707</v>
      </c>
      <c r="D645" s="226">
        <f>(D615/D612)*BY90</f>
        <v>328452.98876633268</v>
      </c>
      <c r="E645" s="228">
        <f>(E623/E612)*SUM(C645:D645)</f>
        <v>116694.96105284244</v>
      </c>
      <c r="F645" s="228">
        <f>(F624/F612)*BY64</f>
        <v>426.99131440293422</v>
      </c>
      <c r="G645" s="226">
        <f>(G625/G612)*BY91</f>
        <v>0</v>
      </c>
      <c r="H645" s="228">
        <f>(H628/H612)*BY60</f>
        <v>32053.645197224188</v>
      </c>
      <c r="I645" s="226">
        <f>(I629/I612)*BY92</f>
        <v>99617.07068689898</v>
      </c>
      <c r="J645" s="226">
        <f>(J630/J612)*BY93</f>
        <v>0</v>
      </c>
      <c r="K645" s="228">
        <v>0</v>
      </c>
      <c r="L645" s="228"/>
      <c r="N645" s="222" t="s">
        <v>608</v>
      </c>
    </row>
    <row r="646" spans="1:14" s="211" customFormat="1" ht="12.65" customHeight="1" x14ac:dyDescent="0.3">
      <c r="A646" s="221">
        <v>8730</v>
      </c>
      <c r="B646" s="225" t="s">
        <v>609</v>
      </c>
      <c r="C646" s="226">
        <f>BZ85</f>
        <v>0</v>
      </c>
      <c r="D646" s="226">
        <f>(D615/D612)*BZ90</f>
        <v>0</v>
      </c>
      <c r="E646" s="228">
        <f>(E623/E612)*SUM(C646:D646)</f>
        <v>0</v>
      </c>
      <c r="F646" s="228">
        <f>(F624/F612)*BZ64</f>
        <v>0</v>
      </c>
      <c r="G646" s="226">
        <f>(G625/G612)*BZ91</f>
        <v>0</v>
      </c>
      <c r="H646" s="228">
        <f>(H628/H612)*BZ60</f>
        <v>0</v>
      </c>
      <c r="I646" s="226">
        <f>(I629/I612)*BZ92</f>
        <v>0</v>
      </c>
      <c r="J646" s="226">
        <f>(J630/J612)*BZ93</f>
        <v>0</v>
      </c>
      <c r="K646" s="228">
        <v>0</v>
      </c>
      <c r="L646" s="228"/>
      <c r="N646" s="222" t="s">
        <v>610</v>
      </c>
    </row>
    <row r="647" spans="1:14" s="211" customFormat="1" ht="12.65" customHeight="1" x14ac:dyDescent="0.3">
      <c r="A647" s="221">
        <v>8740</v>
      </c>
      <c r="B647" s="225" t="s">
        <v>611</v>
      </c>
      <c r="C647" s="226">
        <f>CA85</f>
        <v>0</v>
      </c>
      <c r="D647" s="226">
        <f>(D615/D612)*CA90</f>
        <v>0</v>
      </c>
      <c r="E647" s="228">
        <f>(E623/E612)*SUM(C647:D647)</f>
        <v>0</v>
      </c>
      <c r="F647" s="228">
        <f>(F624/F612)*CA64</f>
        <v>0</v>
      </c>
      <c r="G647" s="226">
        <f>(G625/G612)*CA91</f>
        <v>0</v>
      </c>
      <c r="H647" s="228">
        <f>(H628/H612)*CA60</f>
        <v>0</v>
      </c>
      <c r="I647" s="226">
        <f>(I629/I612)*CA92</f>
        <v>0</v>
      </c>
      <c r="J647" s="226">
        <f>(J630/J612)*CA93</f>
        <v>0</v>
      </c>
      <c r="K647" s="228">
        <v>0</v>
      </c>
      <c r="L647" s="228">
        <f>SUM(C645:K647)</f>
        <v>2318952.6570177013</v>
      </c>
      <c r="N647" s="222" t="s">
        <v>612</v>
      </c>
    </row>
    <row r="648" spans="1:14" s="211" customFormat="1" ht="12.65" customHeight="1" x14ac:dyDescent="0.3">
      <c r="A648" s="221"/>
      <c r="B648" s="221"/>
      <c r="C648" s="211">
        <f>SUM(C614:C647)</f>
        <v>37027302</v>
      </c>
      <c r="L648" s="224"/>
    </row>
    <row r="666" spans="1:14" s="211" customFormat="1" ht="12.65" customHeight="1" x14ac:dyDescent="0.3">
      <c r="C666" s="219" t="s">
        <v>613</v>
      </c>
      <c r="M666" s="219" t="s">
        <v>614</v>
      </c>
    </row>
    <row r="667" spans="1:14" s="211" customFormat="1" ht="12.65" customHeight="1" x14ac:dyDescent="0.3">
      <c r="C667" s="219" t="s">
        <v>543</v>
      </c>
      <c r="D667" s="219" t="s">
        <v>544</v>
      </c>
      <c r="E667" s="220" t="s">
        <v>545</v>
      </c>
      <c r="F667" s="219" t="s">
        <v>546</v>
      </c>
      <c r="G667" s="219" t="s">
        <v>547</v>
      </c>
      <c r="H667" s="219" t="s">
        <v>548</v>
      </c>
      <c r="I667" s="219" t="s">
        <v>549</v>
      </c>
      <c r="J667" s="219" t="s">
        <v>550</v>
      </c>
      <c r="K667" s="219" t="s">
        <v>551</v>
      </c>
      <c r="L667" s="220" t="s">
        <v>552</v>
      </c>
      <c r="M667" s="219" t="s">
        <v>615</v>
      </c>
    </row>
    <row r="668" spans="1:14" s="211" customFormat="1" ht="12.65" customHeight="1" x14ac:dyDescent="0.3">
      <c r="A668" s="221">
        <v>6010</v>
      </c>
      <c r="B668" s="220" t="s">
        <v>342</v>
      </c>
      <c r="C668" s="226">
        <f>C85</f>
        <v>2547968</v>
      </c>
      <c r="D668" s="226">
        <f>(D615/D612)*C90</f>
        <v>157355.43384423116</v>
      </c>
      <c r="E668" s="228">
        <f>(E623/E612)*SUM(C668:D668)</f>
        <v>152499.13748740149</v>
      </c>
      <c r="F668" s="228">
        <f>(F624/F612)*C64</f>
        <v>6067.4445222454051</v>
      </c>
      <c r="G668" s="226">
        <f>(G625/G612)*C91</f>
        <v>227988.16543495806</v>
      </c>
      <c r="H668" s="228">
        <f>(H628/H612)*C60</f>
        <v>61189.96554354894</v>
      </c>
      <c r="I668" s="226">
        <f>(I629/I612)*C92</f>
        <v>47685.511636130956</v>
      </c>
      <c r="J668" s="226">
        <f>(J630/J612)*C93</f>
        <v>18224.854640776695</v>
      </c>
      <c r="K668" s="226">
        <f>(K644/K612)*C89</f>
        <v>126357.91650609786</v>
      </c>
      <c r="L668" s="226">
        <f>(L647/L612)*C94</f>
        <v>309582.62626149313</v>
      </c>
      <c r="M668" s="211">
        <f t="shared" ref="M668:M713" si="18">ROUND(SUM(D668:L668),0)</f>
        <v>1106951</v>
      </c>
      <c r="N668" s="220" t="s">
        <v>616</v>
      </c>
    </row>
    <row r="669" spans="1:14" s="211" customFormat="1" ht="12.65" customHeight="1" x14ac:dyDescent="0.3">
      <c r="A669" s="221">
        <v>6030</v>
      </c>
      <c r="B669" s="220" t="s">
        <v>343</v>
      </c>
      <c r="C669" s="226">
        <f>D85</f>
        <v>0</v>
      </c>
      <c r="D669" s="226">
        <f>(D615/D612)*D90</f>
        <v>0</v>
      </c>
      <c r="E669" s="228">
        <f>(E623/E612)*SUM(C669:D669)</f>
        <v>0</v>
      </c>
      <c r="F669" s="228">
        <f>(F624/F612)*D64</f>
        <v>0</v>
      </c>
      <c r="G669" s="226">
        <f>(G625/G612)*D91</f>
        <v>0</v>
      </c>
      <c r="H669" s="228">
        <f>(H628/H612)*D60</f>
        <v>0</v>
      </c>
      <c r="I669" s="226">
        <f>(I629/I612)*D92</f>
        <v>0</v>
      </c>
      <c r="J669" s="226">
        <f>(J630/J612)*D93</f>
        <v>0</v>
      </c>
      <c r="K669" s="226">
        <f>(K644/K612)*D89</f>
        <v>0</v>
      </c>
      <c r="L669" s="226">
        <f>(L647/L612)*D94</f>
        <v>0</v>
      </c>
      <c r="M669" s="211">
        <f t="shared" si="18"/>
        <v>0</v>
      </c>
      <c r="N669" s="220" t="s">
        <v>617</v>
      </c>
    </row>
    <row r="670" spans="1:14" s="211" customFormat="1" ht="12.65" customHeight="1" x14ac:dyDescent="0.3">
      <c r="A670" s="221">
        <v>6070</v>
      </c>
      <c r="B670" s="220" t="s">
        <v>618</v>
      </c>
      <c r="C670" s="226">
        <f>E85</f>
        <v>3293945</v>
      </c>
      <c r="D670" s="226">
        <f>(D615/D612)*E90</f>
        <v>449796.46105076914</v>
      </c>
      <c r="E670" s="228">
        <f>(E623/E612)*SUM(C670:D670)</f>
        <v>211034.78299258294</v>
      </c>
      <c r="F670" s="228">
        <f>(F624/F612)*E64</f>
        <v>6802.1008134812073</v>
      </c>
      <c r="G670" s="226">
        <f>(G625/G612)*E91</f>
        <v>600502.83372750925</v>
      </c>
      <c r="H670" s="228">
        <f>(H628/H612)*E60</f>
        <v>55059.890540393164</v>
      </c>
      <c r="I670" s="226">
        <f>(I629/I612)*E92</f>
        <v>136405.33706483516</v>
      </c>
      <c r="J670" s="226">
        <f>(J630/J612)*E93</f>
        <v>46811.242174319988</v>
      </c>
      <c r="K670" s="226">
        <f>(K644/K612)*E89</f>
        <v>436147.39609415579</v>
      </c>
      <c r="L670" s="226">
        <f>(L647/L612)*E94</f>
        <v>279847.63845035882</v>
      </c>
      <c r="M670" s="211">
        <f t="shared" si="18"/>
        <v>2222408</v>
      </c>
      <c r="N670" s="220" t="s">
        <v>619</v>
      </c>
    </row>
    <row r="671" spans="1:14" s="211" customFormat="1" ht="12.65" customHeight="1" x14ac:dyDescent="0.3">
      <c r="A671" s="221">
        <v>6100</v>
      </c>
      <c r="B671" s="220" t="s">
        <v>620</v>
      </c>
      <c r="C671" s="226">
        <f>F85</f>
        <v>0</v>
      </c>
      <c r="D671" s="226">
        <f>(D615/D612)*F90</f>
        <v>0</v>
      </c>
      <c r="E671" s="228">
        <f>(E623/E612)*SUM(C671:D671)</f>
        <v>0</v>
      </c>
      <c r="F671" s="228">
        <f>(F624/F612)*F64</f>
        <v>0</v>
      </c>
      <c r="G671" s="226">
        <f>(G625/G612)*F91</f>
        <v>0</v>
      </c>
      <c r="H671" s="228">
        <f>(H628/H612)*F60</f>
        <v>0</v>
      </c>
      <c r="I671" s="226">
        <f>(I629/I612)*F92</f>
        <v>0</v>
      </c>
      <c r="J671" s="226">
        <f>(J630/J612)*F93</f>
        <v>0</v>
      </c>
      <c r="K671" s="226">
        <f>(K644/K612)*F89</f>
        <v>0</v>
      </c>
      <c r="L671" s="226">
        <f>(L647/L612)*F94</f>
        <v>0</v>
      </c>
      <c r="M671" s="211">
        <f t="shared" si="18"/>
        <v>0</v>
      </c>
      <c r="N671" s="220" t="s">
        <v>621</v>
      </c>
    </row>
    <row r="672" spans="1:14" s="211" customFormat="1" ht="12.65" customHeight="1" x14ac:dyDescent="0.3">
      <c r="A672" s="221">
        <v>6120</v>
      </c>
      <c r="B672" s="220" t="s">
        <v>622</v>
      </c>
      <c r="C672" s="226">
        <f>G85</f>
        <v>0</v>
      </c>
      <c r="D672" s="226">
        <f>(D615/D612)*G90</f>
        <v>0</v>
      </c>
      <c r="E672" s="228">
        <f>(E623/E612)*SUM(C672:D672)</f>
        <v>0</v>
      </c>
      <c r="F672" s="228">
        <f>(F624/F612)*G64</f>
        <v>0</v>
      </c>
      <c r="G672" s="226">
        <f>(G625/G612)*G91</f>
        <v>0</v>
      </c>
      <c r="H672" s="228">
        <f>(H628/H612)*G60</f>
        <v>0</v>
      </c>
      <c r="I672" s="226">
        <f>(I629/I612)*G92</f>
        <v>0</v>
      </c>
      <c r="J672" s="226">
        <f>(J630/J612)*G93</f>
        <v>0</v>
      </c>
      <c r="K672" s="226">
        <f>(K644/K612)*G89</f>
        <v>0</v>
      </c>
      <c r="L672" s="226">
        <f>(L647/L612)*G94</f>
        <v>0</v>
      </c>
      <c r="M672" s="211">
        <f t="shared" si="18"/>
        <v>0</v>
      </c>
      <c r="N672" s="220" t="s">
        <v>623</v>
      </c>
    </row>
    <row r="673" spans="1:14" s="211" customFormat="1" ht="12.65" customHeight="1" x14ac:dyDescent="0.3">
      <c r="A673" s="221">
        <v>6140</v>
      </c>
      <c r="B673" s="220" t="s">
        <v>624</v>
      </c>
      <c r="C673" s="226">
        <f>H85</f>
        <v>0</v>
      </c>
      <c r="D673" s="226">
        <f>(D615/D612)*H90</f>
        <v>0</v>
      </c>
      <c r="E673" s="228">
        <f>(E623/E612)*SUM(C673:D673)</f>
        <v>0</v>
      </c>
      <c r="F673" s="228">
        <f>(F624/F612)*H64</f>
        <v>0</v>
      </c>
      <c r="G673" s="226">
        <f>(G625/G612)*H91</f>
        <v>0</v>
      </c>
      <c r="H673" s="228">
        <f>(H628/H612)*H60</f>
        <v>0</v>
      </c>
      <c r="I673" s="226">
        <f>(I629/I612)*H92</f>
        <v>0</v>
      </c>
      <c r="J673" s="226">
        <f>(J630/J612)*H93</f>
        <v>0</v>
      </c>
      <c r="K673" s="226">
        <f>(K644/K612)*H89</f>
        <v>0</v>
      </c>
      <c r="L673" s="226">
        <f>(L647/L612)*H94</f>
        <v>0</v>
      </c>
      <c r="M673" s="211">
        <f t="shared" si="18"/>
        <v>0</v>
      </c>
      <c r="N673" s="220" t="s">
        <v>625</v>
      </c>
    </row>
    <row r="674" spans="1:14" s="211" customFormat="1" ht="12.65" customHeight="1" x14ac:dyDescent="0.3">
      <c r="A674" s="221">
        <v>6150</v>
      </c>
      <c r="B674" s="220" t="s">
        <v>626</v>
      </c>
      <c r="C674" s="226">
        <f>I85</f>
        <v>0</v>
      </c>
      <c r="D674" s="226">
        <f>(D615/D612)*I90</f>
        <v>0</v>
      </c>
      <c r="E674" s="228">
        <f>(E623/E612)*SUM(C674:D674)</f>
        <v>0</v>
      </c>
      <c r="F674" s="228">
        <f>(F624/F612)*I64</f>
        <v>0</v>
      </c>
      <c r="G674" s="226">
        <f>(G625/G612)*I91</f>
        <v>0</v>
      </c>
      <c r="H674" s="228">
        <f>(H628/H612)*I60</f>
        <v>0</v>
      </c>
      <c r="I674" s="226">
        <f>(I629/I612)*I92</f>
        <v>0</v>
      </c>
      <c r="J674" s="226">
        <f>(J630/J612)*I93</f>
        <v>0</v>
      </c>
      <c r="K674" s="226">
        <f>(K644/K612)*I89</f>
        <v>0</v>
      </c>
      <c r="L674" s="226">
        <f>(L647/L612)*I94</f>
        <v>0</v>
      </c>
      <c r="M674" s="211">
        <f t="shared" si="18"/>
        <v>0</v>
      </c>
      <c r="N674" s="220" t="s">
        <v>627</v>
      </c>
    </row>
    <row r="675" spans="1:14" s="211" customFormat="1" ht="12.65" customHeight="1" x14ac:dyDescent="0.3">
      <c r="A675" s="221">
        <v>6170</v>
      </c>
      <c r="B675" s="220" t="s">
        <v>125</v>
      </c>
      <c r="C675" s="226">
        <f>J85</f>
        <v>453167</v>
      </c>
      <c r="D675" s="226">
        <f>(D615/D612)*J90</f>
        <v>13687.804393768123</v>
      </c>
      <c r="E675" s="228">
        <f>(E623/E612)*SUM(C675:D675)</f>
        <v>26316.614904980892</v>
      </c>
      <c r="F675" s="228">
        <f>(F624/F612)*J64</f>
        <v>1551.1710209840842</v>
      </c>
      <c r="G675" s="226">
        <f>(G625/G612)*J91</f>
        <v>0</v>
      </c>
      <c r="H675" s="228">
        <f>(H628/H612)*J60</f>
        <v>9601.322294099411</v>
      </c>
      <c r="I675" s="226">
        <f>(I629/I612)*J92</f>
        <v>4140.4655432833606</v>
      </c>
      <c r="J675" s="226">
        <f>(J630/J612)*J93</f>
        <v>3457.3224892279277</v>
      </c>
      <c r="K675" s="226">
        <f>(K644/K612)*J89</f>
        <v>47162.030305472021</v>
      </c>
      <c r="L675" s="226">
        <f>(L647/L612)*J94</f>
        <v>48930.992600600744</v>
      </c>
      <c r="M675" s="211">
        <f t="shared" si="18"/>
        <v>154848</v>
      </c>
      <c r="N675" s="220" t="s">
        <v>628</v>
      </c>
    </row>
    <row r="676" spans="1:14" s="211" customFormat="1" ht="12.65" customHeight="1" x14ac:dyDescent="0.3">
      <c r="A676" s="221">
        <v>6200</v>
      </c>
      <c r="B676" s="220" t="s">
        <v>348</v>
      </c>
      <c r="C676" s="226">
        <f>K85</f>
        <v>0</v>
      </c>
      <c r="D676" s="226">
        <f>(D615/D612)*K90</f>
        <v>0</v>
      </c>
      <c r="E676" s="228">
        <f>(E623/E612)*SUM(C676:D676)</f>
        <v>0</v>
      </c>
      <c r="F676" s="228">
        <f>(F624/F612)*K64</f>
        <v>0</v>
      </c>
      <c r="G676" s="226">
        <f>(G625/G612)*K91</f>
        <v>0</v>
      </c>
      <c r="H676" s="228">
        <f>(H628/H612)*K60</f>
        <v>0</v>
      </c>
      <c r="I676" s="226">
        <f>(I629/I612)*K92</f>
        <v>0</v>
      </c>
      <c r="J676" s="226">
        <f>(J630/J612)*K93</f>
        <v>0</v>
      </c>
      <c r="K676" s="226">
        <f>(K644/K612)*K89</f>
        <v>0</v>
      </c>
      <c r="L676" s="226">
        <f>(L647/L612)*K94</f>
        <v>0</v>
      </c>
      <c r="M676" s="211">
        <f t="shared" si="18"/>
        <v>0</v>
      </c>
      <c r="N676" s="220" t="s">
        <v>629</v>
      </c>
    </row>
    <row r="677" spans="1:14" s="211" customFormat="1" ht="12.65" customHeight="1" x14ac:dyDescent="0.3">
      <c r="A677" s="221">
        <v>6210</v>
      </c>
      <c r="B677" s="220" t="s">
        <v>349</v>
      </c>
      <c r="C677" s="226">
        <f>L85</f>
        <v>76890</v>
      </c>
      <c r="D677" s="226">
        <f>(D615/D612)*L90</f>
        <v>10591.753399939618</v>
      </c>
      <c r="E677" s="228">
        <f>(E623/E612)*SUM(C677:D677)</f>
        <v>4931.3482345506854</v>
      </c>
      <c r="F677" s="228">
        <f>(F624/F612)*L64</f>
        <v>159.86303597903606</v>
      </c>
      <c r="G677" s="226">
        <f>(G625/G612)*L91</f>
        <v>14069.798622560385</v>
      </c>
      <c r="H677" s="228">
        <f>(H628/H612)*L60</f>
        <v>1292.4856934364591</v>
      </c>
      <c r="I677" s="226">
        <f>(I629/I612)*L92</f>
        <v>3197.3595028688173</v>
      </c>
      <c r="J677" s="226">
        <f>(J630/J612)*L93</f>
        <v>1099.9781058534529</v>
      </c>
      <c r="K677" s="226">
        <f>(K644/K612)*L89</f>
        <v>10357.513987973021</v>
      </c>
      <c r="L677" s="226">
        <f>(L647/L612)*L94</f>
        <v>6586.8643885424071</v>
      </c>
      <c r="M677" s="211">
        <f t="shared" si="18"/>
        <v>52287</v>
      </c>
      <c r="N677" s="220" t="s">
        <v>630</v>
      </c>
    </row>
    <row r="678" spans="1:14" s="211" customFormat="1" ht="12.65" customHeight="1" x14ac:dyDescent="0.3">
      <c r="A678" s="221">
        <v>6330</v>
      </c>
      <c r="B678" s="220" t="s">
        <v>631</v>
      </c>
      <c r="C678" s="226">
        <f>M85</f>
        <v>0</v>
      </c>
      <c r="D678" s="226">
        <f>(D615/D612)*M90</f>
        <v>0</v>
      </c>
      <c r="E678" s="228">
        <f>(E623/E612)*SUM(C678:D678)</f>
        <v>0</v>
      </c>
      <c r="F678" s="228">
        <f>(F624/F612)*M64</f>
        <v>0</v>
      </c>
      <c r="G678" s="226">
        <f>(G625/G612)*M91</f>
        <v>0</v>
      </c>
      <c r="H678" s="228">
        <f>(H628/H612)*M60</f>
        <v>0</v>
      </c>
      <c r="I678" s="226">
        <f>(I629/I612)*M92</f>
        <v>0</v>
      </c>
      <c r="J678" s="226">
        <f>(J630/J612)*M93</f>
        <v>0</v>
      </c>
      <c r="K678" s="226">
        <f>(K644/K612)*M89</f>
        <v>0</v>
      </c>
      <c r="L678" s="226">
        <f>(L647/L612)*M94</f>
        <v>0</v>
      </c>
      <c r="M678" s="211">
        <f t="shared" si="18"/>
        <v>0</v>
      </c>
      <c r="N678" s="220" t="s">
        <v>632</v>
      </c>
    </row>
    <row r="679" spans="1:14" s="211" customFormat="1" ht="12.65" customHeight="1" x14ac:dyDescent="0.3">
      <c r="A679" s="221">
        <v>6400</v>
      </c>
      <c r="B679" s="220" t="s">
        <v>633</v>
      </c>
      <c r="C679" s="226">
        <f>N85</f>
        <v>0</v>
      </c>
      <c r="D679" s="226">
        <f>(D615/D612)*N90</f>
        <v>0</v>
      </c>
      <c r="E679" s="228">
        <f>(E623/E612)*SUM(C679:D679)</f>
        <v>0</v>
      </c>
      <c r="F679" s="228">
        <f>(F624/F612)*N64</f>
        <v>0</v>
      </c>
      <c r="G679" s="226">
        <f>(G625/G612)*N91</f>
        <v>0</v>
      </c>
      <c r="H679" s="228">
        <f>(H628/H612)*N60</f>
        <v>0</v>
      </c>
      <c r="I679" s="226">
        <f>(I629/I612)*N92</f>
        <v>0</v>
      </c>
      <c r="J679" s="226">
        <f>(J630/J612)*N93</f>
        <v>0</v>
      </c>
      <c r="K679" s="226">
        <f>(K644/K612)*N89</f>
        <v>0</v>
      </c>
      <c r="L679" s="226">
        <f>(L647/L612)*N94</f>
        <v>0</v>
      </c>
      <c r="M679" s="211">
        <f t="shared" si="18"/>
        <v>0</v>
      </c>
      <c r="N679" s="220" t="s">
        <v>634</v>
      </c>
    </row>
    <row r="680" spans="1:14" s="211" customFormat="1" ht="12.65" customHeight="1" x14ac:dyDescent="0.3">
      <c r="A680" s="221">
        <v>7010</v>
      </c>
      <c r="B680" s="220" t="s">
        <v>635</v>
      </c>
      <c r="C680" s="226">
        <f>O85</f>
        <v>2504180</v>
      </c>
      <c r="D680" s="226">
        <f>(D615/D612)*O90</f>
        <v>155454.34990065225</v>
      </c>
      <c r="E680" s="228">
        <f>(E623/E612)*SUM(C680:D680)</f>
        <v>149923.64288782066</v>
      </c>
      <c r="F680" s="228">
        <f>(F624/F612)*O64</f>
        <v>8308.2389881694107</v>
      </c>
      <c r="G680" s="226">
        <f>(G625/G612)*O91</f>
        <v>180323.13336669229</v>
      </c>
      <c r="H680" s="228">
        <f>(H628/H612)*O60</f>
        <v>51367.074273431848</v>
      </c>
      <c r="I680" s="226">
        <f>(I629/I612)*O92</f>
        <v>47132.299434375593</v>
      </c>
      <c r="J680" s="226">
        <f>(J630/J612)*O93</f>
        <v>20744.80448327733</v>
      </c>
      <c r="K680" s="226">
        <f>(K644/K612)*O89</f>
        <v>128619.15954045558</v>
      </c>
      <c r="L680" s="226">
        <f>(L647/L612)*O94</f>
        <v>261780.81041321397</v>
      </c>
      <c r="M680" s="211">
        <f t="shared" si="18"/>
        <v>1003654</v>
      </c>
      <c r="N680" s="220" t="s">
        <v>636</v>
      </c>
    </row>
    <row r="681" spans="1:14" s="211" customFormat="1" ht="12.65" customHeight="1" x14ac:dyDescent="0.3">
      <c r="A681" s="221">
        <v>7020</v>
      </c>
      <c r="B681" s="220" t="s">
        <v>637</v>
      </c>
      <c r="C681" s="226">
        <f>P85</f>
        <v>8172924</v>
      </c>
      <c r="D681" s="226">
        <f>(D615/D612)*P90</f>
        <v>604381.74400578532</v>
      </c>
      <c r="E681" s="228">
        <f>(E623/E612)*SUM(C681:D681)</f>
        <v>494776.90492706088</v>
      </c>
      <c r="F681" s="228">
        <f>(F624/F612)*P64</f>
        <v>399193.34483640996</v>
      </c>
      <c r="G681" s="226">
        <f>(G625/G612)*P91</f>
        <v>0</v>
      </c>
      <c r="H681" s="228">
        <f>(H628/H612)*P60</f>
        <v>38700.714477754555</v>
      </c>
      <c r="I681" s="226">
        <f>(I629/I612)*P92</f>
        <v>183229.86189382669</v>
      </c>
      <c r="J681" s="226">
        <f>(J630/J612)*P93</f>
        <v>52259.829376911082</v>
      </c>
      <c r="K681" s="226">
        <f>(K644/K612)*P89</f>
        <v>2129732.7363382746</v>
      </c>
      <c r="L681" s="226">
        <f>(L647/L612)*P94</f>
        <v>91839.709188819848</v>
      </c>
      <c r="M681" s="211">
        <f t="shared" si="18"/>
        <v>3994115</v>
      </c>
      <c r="N681" s="220" t="s">
        <v>638</v>
      </c>
    </row>
    <row r="682" spans="1:14" s="211" customFormat="1" ht="12.65" customHeight="1" x14ac:dyDescent="0.3">
      <c r="A682" s="221">
        <v>7030</v>
      </c>
      <c r="B682" s="220" t="s">
        <v>639</v>
      </c>
      <c r="C682" s="226">
        <f>Q85</f>
        <v>4639481</v>
      </c>
      <c r="D682" s="226">
        <f>(D615/D612)*Q90</f>
        <v>54968.484311481508</v>
      </c>
      <c r="E682" s="228">
        <f>(E623/E612)*SUM(C682:D682)</f>
        <v>264626.2137752577</v>
      </c>
      <c r="F682" s="228">
        <f>(F624/F612)*Q64</f>
        <v>34970.467324974794</v>
      </c>
      <c r="G682" s="226">
        <f>(G625/G612)*Q91</f>
        <v>4211.3682951881428</v>
      </c>
      <c r="H682" s="228">
        <f>(H628/H612)*Q60</f>
        <v>75739.661635376513</v>
      </c>
      <c r="I682" s="226">
        <f>(I629/I612)*Q92</f>
        <v>16657.322906492474</v>
      </c>
      <c r="J682" s="226">
        <f>(J630/J612)*Q93</f>
        <v>0</v>
      </c>
      <c r="K682" s="226">
        <f>(K644/K612)*Q89</f>
        <v>436655.91239304311</v>
      </c>
      <c r="L682" s="226">
        <f>(L647/L612)*Q94</f>
        <v>0</v>
      </c>
      <c r="M682" s="211">
        <f t="shared" si="18"/>
        <v>887829</v>
      </c>
      <c r="N682" s="220" t="s">
        <v>640</v>
      </c>
    </row>
    <row r="683" spans="1:14" s="211" customFormat="1" ht="12.65" customHeight="1" x14ac:dyDescent="0.3">
      <c r="A683" s="221">
        <v>7040</v>
      </c>
      <c r="B683" s="220" t="s">
        <v>133</v>
      </c>
      <c r="C683" s="226">
        <f>R85</f>
        <v>0</v>
      </c>
      <c r="D683" s="226">
        <f>(D615/D612)*R90</f>
        <v>0</v>
      </c>
      <c r="E683" s="228">
        <f>(E623/E612)*SUM(C683:D683)</f>
        <v>0</v>
      </c>
      <c r="F683" s="228">
        <f>(F624/F612)*R64</f>
        <v>0</v>
      </c>
      <c r="G683" s="226">
        <f>(G625/G612)*R91</f>
        <v>0</v>
      </c>
      <c r="H683" s="228">
        <f>(H628/H612)*R60</f>
        <v>0</v>
      </c>
      <c r="I683" s="226">
        <f>(I629/I612)*R92</f>
        <v>0</v>
      </c>
      <c r="J683" s="226">
        <f>(J630/J612)*R93</f>
        <v>0</v>
      </c>
      <c r="K683" s="226">
        <f>(K644/K612)*R89</f>
        <v>0</v>
      </c>
      <c r="L683" s="226">
        <f>(L647/L612)*R94</f>
        <v>0</v>
      </c>
      <c r="M683" s="211">
        <f t="shared" si="18"/>
        <v>0</v>
      </c>
      <c r="N683" s="220" t="s">
        <v>641</v>
      </c>
    </row>
    <row r="684" spans="1:14" s="211" customFormat="1" ht="12.65" customHeight="1" x14ac:dyDescent="0.3">
      <c r="A684" s="221">
        <v>7050</v>
      </c>
      <c r="B684" s="220" t="s">
        <v>642</v>
      </c>
      <c r="C684" s="226">
        <f>S85</f>
        <v>632571</v>
      </c>
      <c r="D684" s="226">
        <f>(D615/D612)*S90</f>
        <v>0</v>
      </c>
      <c r="E684" s="228">
        <f>(E623/E612)*SUM(C684:D684)</f>
        <v>35658.040252312938</v>
      </c>
      <c r="F684" s="228">
        <f>(F624/F612)*S64</f>
        <v>13083.362146348574</v>
      </c>
      <c r="G684" s="226">
        <f>(G625/G612)*S91</f>
        <v>0</v>
      </c>
      <c r="H684" s="228">
        <f>(H628/H612)*S60</f>
        <v>23006.245343168976</v>
      </c>
      <c r="I684" s="226">
        <f>(I629/I612)*S92</f>
        <v>0</v>
      </c>
      <c r="J684" s="226">
        <f>(J630/J612)*S93</f>
        <v>0</v>
      </c>
      <c r="K684" s="226">
        <f>(K644/K612)*S89</f>
        <v>719465.09301364073</v>
      </c>
      <c r="L684" s="226">
        <f>(L647/L612)*S94</f>
        <v>0</v>
      </c>
      <c r="M684" s="211">
        <f t="shared" si="18"/>
        <v>791213</v>
      </c>
      <c r="N684" s="220" t="s">
        <v>643</v>
      </c>
    </row>
    <row r="685" spans="1:14" s="211" customFormat="1" ht="12.65" customHeight="1" x14ac:dyDescent="0.3">
      <c r="A685" s="221">
        <v>7060</v>
      </c>
      <c r="B685" s="220" t="s">
        <v>644</v>
      </c>
      <c r="C685" s="226">
        <f>T85</f>
        <v>0</v>
      </c>
      <c r="D685" s="226">
        <f>(D615/D612)*T90</f>
        <v>0</v>
      </c>
      <c r="E685" s="228">
        <f>(E623/E612)*SUM(C685:D685)</f>
        <v>0</v>
      </c>
      <c r="F685" s="228">
        <f>(F624/F612)*T64</f>
        <v>0</v>
      </c>
      <c r="G685" s="226">
        <f>(G625/G612)*T91</f>
        <v>0</v>
      </c>
      <c r="H685" s="228">
        <f>(H628/H612)*T60</f>
        <v>0</v>
      </c>
      <c r="I685" s="226">
        <f>(I629/I612)*T92</f>
        <v>0</v>
      </c>
      <c r="J685" s="226">
        <f>(J630/J612)*T93</f>
        <v>0</v>
      </c>
      <c r="K685" s="226">
        <f>(K644/K612)*T89</f>
        <v>0</v>
      </c>
      <c r="L685" s="226">
        <f>(L647/L612)*T94</f>
        <v>0</v>
      </c>
      <c r="M685" s="211">
        <f t="shared" si="18"/>
        <v>0</v>
      </c>
      <c r="N685" s="220" t="s">
        <v>645</v>
      </c>
    </row>
    <row r="686" spans="1:14" s="211" customFormat="1" ht="12.65" customHeight="1" x14ac:dyDescent="0.3">
      <c r="A686" s="221">
        <v>7070</v>
      </c>
      <c r="B686" s="220" t="s">
        <v>136</v>
      </c>
      <c r="C686" s="226">
        <f>U85</f>
        <v>6315723</v>
      </c>
      <c r="D686" s="226">
        <f>(D615/D612)*U90</f>
        <v>219439.403773108</v>
      </c>
      <c r="E686" s="228">
        <f>(E623/E612)*SUM(C686:D686)</f>
        <v>368387.23882243043</v>
      </c>
      <c r="F686" s="228">
        <f>(F624/F612)*U64</f>
        <v>151654.71138835355</v>
      </c>
      <c r="G686" s="226">
        <f>(G625/G612)*U91</f>
        <v>0</v>
      </c>
      <c r="H686" s="228">
        <f>(H628/H612)*U60</f>
        <v>102512.57957084604</v>
      </c>
      <c r="I686" s="226">
        <f>(I629/I612)*U92</f>
        <v>66520.259366663449</v>
      </c>
      <c r="J686" s="226">
        <f>(J630/J612)*U93</f>
        <v>2366.9094103818961</v>
      </c>
      <c r="K686" s="226">
        <f>(K644/K612)*U89</f>
        <v>1909281.8692695308</v>
      </c>
      <c r="L686" s="226">
        <f>(L647/L612)*U94</f>
        <v>752.78450154770371</v>
      </c>
      <c r="M686" s="211">
        <f t="shared" si="18"/>
        <v>2820916</v>
      </c>
      <c r="N686" s="220" t="s">
        <v>646</v>
      </c>
    </row>
    <row r="687" spans="1:14" s="211" customFormat="1" ht="12.65" customHeight="1" x14ac:dyDescent="0.3">
      <c r="A687" s="221">
        <v>7110</v>
      </c>
      <c r="B687" s="220" t="s">
        <v>647</v>
      </c>
      <c r="C687" s="226">
        <f>V85</f>
        <v>0</v>
      </c>
      <c r="D687" s="226">
        <f>(D615/D612)*V90</f>
        <v>0</v>
      </c>
      <c r="E687" s="228">
        <f>(E623/E612)*SUM(C687:D687)</f>
        <v>0</v>
      </c>
      <c r="F687" s="228">
        <f>(F624/F612)*V64</f>
        <v>0</v>
      </c>
      <c r="G687" s="226">
        <f>(G625/G612)*V91</f>
        <v>0</v>
      </c>
      <c r="H687" s="228">
        <f>(H628/H612)*V60</f>
        <v>0</v>
      </c>
      <c r="I687" s="226">
        <f>(I629/I612)*V92</f>
        <v>0</v>
      </c>
      <c r="J687" s="226">
        <f>(J630/J612)*V93</f>
        <v>0</v>
      </c>
      <c r="K687" s="226">
        <f>(K644/K612)*V89</f>
        <v>0</v>
      </c>
      <c r="L687" s="226">
        <f>(L647/L612)*V94</f>
        <v>0</v>
      </c>
      <c r="M687" s="211">
        <f t="shared" si="18"/>
        <v>0</v>
      </c>
      <c r="N687" s="220" t="s">
        <v>648</v>
      </c>
    </row>
    <row r="688" spans="1:14" s="211" customFormat="1" ht="12.65" customHeight="1" x14ac:dyDescent="0.3">
      <c r="A688" s="221">
        <v>7120</v>
      </c>
      <c r="B688" s="220" t="s">
        <v>649</v>
      </c>
      <c r="C688" s="226">
        <f>W85</f>
        <v>310446</v>
      </c>
      <c r="D688" s="226">
        <f>(D615/D612)*W90</f>
        <v>16023.421810165064</v>
      </c>
      <c r="E688" s="228">
        <f>(E623/E612)*SUM(C688:D688)</f>
        <v>18403.08800760104</v>
      </c>
      <c r="F688" s="228">
        <f>(F624/F612)*W64</f>
        <v>1044.3909234451846</v>
      </c>
      <c r="G688" s="226">
        <f>(G625/G612)*W91</f>
        <v>0</v>
      </c>
      <c r="H688" s="228">
        <f>(H628/H612)*W60</f>
        <v>4874.5174723889322</v>
      </c>
      <c r="I688" s="226">
        <f>(I629/I612)*W92</f>
        <v>4853.5457201821619</v>
      </c>
      <c r="J688" s="226">
        <f>(J630/J612)*W93</f>
        <v>3507.7562679943312</v>
      </c>
      <c r="K688" s="226">
        <f>(K644/K612)*W89</f>
        <v>654324.85253691417</v>
      </c>
      <c r="L688" s="226">
        <f>(L647/L612)*W94</f>
        <v>0</v>
      </c>
      <c r="M688" s="211">
        <f t="shared" si="18"/>
        <v>703032</v>
      </c>
      <c r="N688" s="220" t="s">
        <v>650</v>
      </c>
    </row>
    <row r="689" spans="1:14" s="211" customFormat="1" ht="12.65" customHeight="1" x14ac:dyDescent="0.3">
      <c r="A689" s="221">
        <v>7130</v>
      </c>
      <c r="B689" s="220" t="s">
        <v>651</v>
      </c>
      <c r="C689" s="226">
        <f>X85</f>
        <v>1389079</v>
      </c>
      <c r="D689" s="226">
        <f>(D615/D612)*X90</f>
        <v>51329.266476630459</v>
      </c>
      <c r="E689" s="228">
        <f>(E623/E612)*SUM(C689:D689)</f>
        <v>81195.843542919276</v>
      </c>
      <c r="F689" s="228">
        <f>(F624/F612)*X64</f>
        <v>4094.8488461469428</v>
      </c>
      <c r="G689" s="226">
        <f>(G625/G612)*X91</f>
        <v>0</v>
      </c>
      <c r="H689" s="228">
        <f>(H628/H612)*X60</f>
        <v>39476.205893816426</v>
      </c>
      <c r="I689" s="226">
        <f>(I629/I612)*X92</f>
        <v>15526.745787312602</v>
      </c>
      <c r="J689" s="226">
        <f>(J630/J612)*X93</f>
        <v>11239.776281629827</v>
      </c>
      <c r="K689" s="226">
        <f>(K644/K612)*X89</f>
        <v>2245034.5410346426</v>
      </c>
      <c r="L689" s="226">
        <f>(L647/L612)*X94</f>
        <v>0</v>
      </c>
      <c r="M689" s="211">
        <f t="shared" si="18"/>
        <v>2447897</v>
      </c>
      <c r="N689" s="220" t="s">
        <v>652</v>
      </c>
    </row>
    <row r="690" spans="1:14" s="211" customFormat="1" ht="12.65" customHeight="1" x14ac:dyDescent="0.3">
      <c r="A690" s="221">
        <v>7140</v>
      </c>
      <c r="B690" s="220" t="s">
        <v>653</v>
      </c>
      <c r="C690" s="226">
        <f>Y85</f>
        <v>2881136</v>
      </c>
      <c r="D690" s="226">
        <f>(D615/D612)*Y90</f>
        <v>201949.43149218208</v>
      </c>
      <c r="E690" s="228">
        <f>(E623/E612)*SUM(C690:D690)</f>
        <v>173793.58904766079</v>
      </c>
      <c r="F690" s="228">
        <f>(F624/F612)*Y64</f>
        <v>4663.789972408048</v>
      </c>
      <c r="G690" s="226">
        <f>(G625/G612)*Y91</f>
        <v>0</v>
      </c>
      <c r="H690" s="228">
        <f>(H628/H612)*Y60</f>
        <v>54653.680751027423</v>
      </c>
      <c r="I690" s="226">
        <f>(I629/I612)*Y92</f>
        <v>61255.887454242169</v>
      </c>
      <c r="J690" s="226">
        <f>(J630/J612)*Y93</f>
        <v>44233.902169774818</v>
      </c>
      <c r="K690" s="226">
        <f>(K644/K612)*Y89</f>
        <v>1075885.9030113521</v>
      </c>
      <c r="L690" s="226">
        <f>(L647/L612)*Y94</f>
        <v>188.19612538692593</v>
      </c>
      <c r="M690" s="211">
        <f t="shared" si="18"/>
        <v>1616624</v>
      </c>
      <c r="N690" s="220" t="s">
        <v>654</v>
      </c>
    </row>
    <row r="691" spans="1:14" s="211" customFormat="1" ht="12.65" customHeight="1" x14ac:dyDescent="0.3">
      <c r="A691" s="221">
        <v>7150</v>
      </c>
      <c r="B691" s="220" t="s">
        <v>655</v>
      </c>
      <c r="C691" s="226">
        <f>Z85</f>
        <v>0</v>
      </c>
      <c r="D691" s="226">
        <f>(D615/D612)*Z90</f>
        <v>0</v>
      </c>
      <c r="E691" s="228">
        <f>(E623/E612)*SUM(C691:D691)</f>
        <v>0</v>
      </c>
      <c r="F691" s="228">
        <f>(F624/F612)*Z64</f>
        <v>0</v>
      </c>
      <c r="G691" s="226">
        <f>(G625/G612)*Z91</f>
        <v>0</v>
      </c>
      <c r="H691" s="228">
        <f>(H628/H612)*Z60</f>
        <v>0</v>
      </c>
      <c r="I691" s="226">
        <f>(I629/I612)*Z92</f>
        <v>0</v>
      </c>
      <c r="J691" s="226">
        <f>(J630/J612)*Z93</f>
        <v>0</v>
      </c>
      <c r="K691" s="226">
        <f>(K644/K612)*Z89</f>
        <v>0</v>
      </c>
      <c r="L691" s="226">
        <f>(L647/L612)*Z94</f>
        <v>0</v>
      </c>
      <c r="M691" s="211">
        <f t="shared" si="18"/>
        <v>0</v>
      </c>
      <c r="N691" s="220" t="s">
        <v>656</v>
      </c>
    </row>
    <row r="692" spans="1:14" s="211" customFormat="1" ht="12.65" customHeight="1" x14ac:dyDescent="0.3">
      <c r="A692" s="221">
        <v>7160</v>
      </c>
      <c r="B692" s="220" t="s">
        <v>657</v>
      </c>
      <c r="C692" s="226">
        <f>AA85</f>
        <v>0</v>
      </c>
      <c r="D692" s="226">
        <f>(D615/D612)*AA90</f>
        <v>0</v>
      </c>
      <c r="E692" s="228">
        <f>(E623/E612)*SUM(C692:D692)</f>
        <v>0</v>
      </c>
      <c r="F692" s="228">
        <f>(F624/F612)*AA64</f>
        <v>0</v>
      </c>
      <c r="G692" s="226">
        <f>(G625/G612)*AA91</f>
        <v>0</v>
      </c>
      <c r="H692" s="228">
        <f>(H628/H612)*AA60</f>
        <v>0</v>
      </c>
      <c r="I692" s="226">
        <f>(I629/I612)*AA92</f>
        <v>0</v>
      </c>
      <c r="J692" s="226">
        <f>(J630/J612)*AA93</f>
        <v>0</v>
      </c>
      <c r="K692" s="226">
        <f>(K644/K612)*AA89</f>
        <v>0</v>
      </c>
      <c r="L692" s="226">
        <f>(L647/L612)*AA94</f>
        <v>0</v>
      </c>
      <c r="M692" s="211">
        <f t="shared" si="18"/>
        <v>0</v>
      </c>
      <c r="N692" s="220" t="s">
        <v>658</v>
      </c>
    </row>
    <row r="693" spans="1:14" s="211" customFormat="1" ht="12.65" customHeight="1" x14ac:dyDescent="0.3">
      <c r="A693" s="221">
        <v>7170</v>
      </c>
      <c r="B693" s="220" t="s">
        <v>142</v>
      </c>
      <c r="C693" s="226">
        <f>AB85</f>
        <v>6332652</v>
      </c>
      <c r="D693" s="226">
        <f>(D615/D612)*AB90</f>
        <v>63170.303610921932</v>
      </c>
      <c r="E693" s="228">
        <f>(E623/E612)*SUM(C693:D693)</f>
        <v>360532.63451659831</v>
      </c>
      <c r="F693" s="228">
        <f>(F624/F612)*AB64</f>
        <v>258486.11124584221</v>
      </c>
      <c r="G693" s="226">
        <f>(G625/G612)*AB91</f>
        <v>0</v>
      </c>
      <c r="H693" s="228">
        <f>(H628/H612)*AB60</f>
        <v>61965.456959610819</v>
      </c>
      <c r="I693" s="226">
        <f>(I629/I612)*AB92</f>
        <v>22645.126159670763</v>
      </c>
      <c r="J693" s="226">
        <f>(J630/J612)*AB93</f>
        <v>0</v>
      </c>
      <c r="K693" s="226">
        <f>(K644/K612)*AB89</f>
        <v>1808721.3986008728</v>
      </c>
      <c r="L693" s="226">
        <f>(L647/L612)*AB94</f>
        <v>0</v>
      </c>
      <c r="M693" s="211">
        <f t="shared" si="18"/>
        <v>2575521</v>
      </c>
      <c r="N693" s="220" t="s">
        <v>659</v>
      </c>
    </row>
    <row r="694" spans="1:14" s="211" customFormat="1" ht="12.65" customHeight="1" x14ac:dyDescent="0.3">
      <c r="A694" s="221">
        <v>7180</v>
      </c>
      <c r="B694" s="220" t="s">
        <v>660</v>
      </c>
      <c r="C694" s="226">
        <f>AC85</f>
        <v>1304225</v>
      </c>
      <c r="D694" s="226">
        <f>(D615/D612)*AC90</f>
        <v>56054.817993526602</v>
      </c>
      <c r="E694" s="228">
        <f>(E623/E612)*SUM(C694:D694)</f>
        <v>76679.001257443175</v>
      </c>
      <c r="F694" s="228">
        <f>(F624/F612)*AC64</f>
        <v>5075.3659226272894</v>
      </c>
      <c r="G694" s="226">
        <f>(G625/G612)*AC91</f>
        <v>0</v>
      </c>
      <c r="H694" s="228">
        <f>(H628/H612)*AC60</f>
        <v>31573.57908251922</v>
      </c>
      <c r="I694" s="226">
        <f>(I629/I612)*AC92</f>
        <v>16983.95963268483</v>
      </c>
      <c r="J694" s="226">
        <f>(J630/J612)*AC93</f>
        <v>14200.586914381611</v>
      </c>
      <c r="K694" s="226">
        <f>(K644/K612)*AC89</f>
        <v>420045.81435360684</v>
      </c>
      <c r="L694" s="226">
        <f>(L647/L612)*AC94</f>
        <v>15808.474532501778</v>
      </c>
      <c r="M694" s="211">
        <f t="shared" si="18"/>
        <v>636422</v>
      </c>
      <c r="N694" s="220" t="s">
        <v>661</v>
      </c>
    </row>
    <row r="695" spans="1:14" s="211" customFormat="1" ht="12.65" customHeight="1" x14ac:dyDescent="0.3">
      <c r="A695" s="221">
        <v>7190</v>
      </c>
      <c r="B695" s="220" t="s">
        <v>144</v>
      </c>
      <c r="C695" s="226">
        <f>AD85</f>
        <v>0</v>
      </c>
      <c r="D695" s="226">
        <f>(D615/D612)*AD90</f>
        <v>0</v>
      </c>
      <c r="E695" s="228">
        <f>(E623/E612)*SUM(C695:D695)</f>
        <v>0</v>
      </c>
      <c r="F695" s="228">
        <f>(F624/F612)*AD64</f>
        <v>0</v>
      </c>
      <c r="G695" s="226">
        <f>(G625/G612)*AD91</f>
        <v>0</v>
      </c>
      <c r="H695" s="228">
        <f>(H628/H612)*AD60</f>
        <v>0</v>
      </c>
      <c r="I695" s="226">
        <f>(I629/I612)*AD92</f>
        <v>0</v>
      </c>
      <c r="J695" s="226">
        <f>(J630/J612)*AD93</f>
        <v>0</v>
      </c>
      <c r="K695" s="226">
        <f>(K644/K612)*AD89</f>
        <v>0</v>
      </c>
      <c r="L695" s="226">
        <f>(L647/L612)*AD94</f>
        <v>0</v>
      </c>
      <c r="M695" s="211">
        <f t="shared" si="18"/>
        <v>0</v>
      </c>
      <c r="N695" s="220" t="s">
        <v>662</v>
      </c>
    </row>
    <row r="696" spans="1:14" s="211" customFormat="1" ht="12.65" customHeight="1" x14ac:dyDescent="0.3">
      <c r="A696" s="221">
        <v>7200</v>
      </c>
      <c r="B696" s="220" t="s">
        <v>663</v>
      </c>
      <c r="C696" s="226">
        <f>AE85</f>
        <v>1418104</v>
      </c>
      <c r="D696" s="226">
        <f>(D615/D612)*AE90</f>
        <v>0</v>
      </c>
      <c r="E696" s="228">
        <f>(E623/E612)*SUM(C696:D696)</f>
        <v>79938.551583879103</v>
      </c>
      <c r="F696" s="228">
        <f>(F624/F612)*AE64</f>
        <v>1254.9961998622093</v>
      </c>
      <c r="G696" s="226">
        <f>(G625/G612)*AE91</f>
        <v>0</v>
      </c>
      <c r="H696" s="228">
        <f>(H628/H612)*AE60</f>
        <v>12777.144283686139</v>
      </c>
      <c r="I696" s="226">
        <f>(I629/I612)*AE92</f>
        <v>132387.24528094218</v>
      </c>
      <c r="J696" s="226">
        <f>(J630/J612)*AE93</f>
        <v>5917.2735259547408</v>
      </c>
      <c r="K696" s="226">
        <f>(K644/K612)*AE89</f>
        <v>311220.72964960377</v>
      </c>
      <c r="L696" s="226">
        <f>(L647/L612)*AE94</f>
        <v>0</v>
      </c>
      <c r="M696" s="211">
        <f t="shared" si="18"/>
        <v>543496</v>
      </c>
      <c r="N696" s="220" t="s">
        <v>664</v>
      </c>
    </row>
    <row r="697" spans="1:14" s="211" customFormat="1" ht="12.65" customHeight="1" x14ac:dyDescent="0.3">
      <c r="A697" s="221">
        <v>7220</v>
      </c>
      <c r="B697" s="220" t="s">
        <v>665</v>
      </c>
      <c r="C697" s="226">
        <f>AF85</f>
        <v>0</v>
      </c>
      <c r="D697" s="226">
        <f>(D615/D612)*AF90</f>
        <v>0</v>
      </c>
      <c r="E697" s="228">
        <f>(E623/E612)*SUM(C697:D697)</f>
        <v>0</v>
      </c>
      <c r="F697" s="228">
        <f>(F624/F612)*AF64</f>
        <v>0</v>
      </c>
      <c r="G697" s="226">
        <f>(G625/G612)*AF91</f>
        <v>0</v>
      </c>
      <c r="H697" s="228">
        <f>(H628/H612)*AF60</f>
        <v>0</v>
      </c>
      <c r="I697" s="226">
        <f>(I629/I612)*AF92</f>
        <v>0</v>
      </c>
      <c r="J697" s="226">
        <f>(J630/J612)*AF93</f>
        <v>0</v>
      </c>
      <c r="K697" s="226">
        <f>(K644/K612)*AF89</f>
        <v>0</v>
      </c>
      <c r="L697" s="226">
        <f>(L647/L612)*AF94</f>
        <v>0</v>
      </c>
      <c r="M697" s="211">
        <f t="shared" si="18"/>
        <v>0</v>
      </c>
      <c r="N697" s="220" t="s">
        <v>666</v>
      </c>
    </row>
    <row r="698" spans="1:14" s="211" customFormat="1" ht="12.65" customHeight="1" x14ac:dyDescent="0.3">
      <c r="A698" s="221">
        <v>7230</v>
      </c>
      <c r="B698" s="220" t="s">
        <v>667</v>
      </c>
      <c r="C698" s="226">
        <f>AG85</f>
        <v>8923315</v>
      </c>
      <c r="D698" s="226">
        <f>(D615/D612)*AG90</f>
        <v>280274.08996763302</v>
      </c>
      <c r="E698" s="228">
        <f>(E623/E612)*SUM(C698:D698)</f>
        <v>518806.50588758267</v>
      </c>
      <c r="F698" s="228">
        <f>(F624/F612)*AG64</f>
        <v>25245.156710734071</v>
      </c>
      <c r="G698" s="226">
        <f>(G625/G612)*AG91</f>
        <v>65754.773154414856</v>
      </c>
      <c r="H698" s="228">
        <f>(H628/H612)*AG60</f>
        <v>106131.53951246811</v>
      </c>
      <c r="I698" s="226">
        <f>(I629/I612)*AG92</f>
        <v>85028.370371003577</v>
      </c>
      <c r="J698" s="226">
        <f>(J630/J612)*AG93</f>
        <v>59857.069464532913</v>
      </c>
      <c r="K698" s="226">
        <f>(K644/K612)*AG89</f>
        <v>2055304.6912399828</v>
      </c>
      <c r="L698" s="226">
        <f>(L647/L612)*AG94</f>
        <v>431533.71551222116</v>
      </c>
      <c r="M698" s="211">
        <f t="shared" si="18"/>
        <v>3627936</v>
      </c>
      <c r="N698" s="220" t="s">
        <v>668</v>
      </c>
    </row>
    <row r="699" spans="1:14" s="211" customFormat="1" ht="12.65" customHeight="1" x14ac:dyDescent="0.3">
      <c r="A699" s="221">
        <v>7240</v>
      </c>
      <c r="B699" s="220" t="s">
        <v>146</v>
      </c>
      <c r="C699" s="226">
        <f>AH85</f>
        <v>0</v>
      </c>
      <c r="D699" s="226">
        <f>(D615/D612)*AH90</f>
        <v>0</v>
      </c>
      <c r="E699" s="228">
        <f>(E623/E612)*SUM(C699:D699)</f>
        <v>0</v>
      </c>
      <c r="F699" s="228">
        <f>(F624/F612)*AH64</f>
        <v>0</v>
      </c>
      <c r="G699" s="226">
        <f>(G625/G612)*AH91</f>
        <v>0</v>
      </c>
      <c r="H699" s="228">
        <f>(H628/H612)*AH60</f>
        <v>0</v>
      </c>
      <c r="I699" s="226">
        <f>(I629/I612)*AH92</f>
        <v>0</v>
      </c>
      <c r="J699" s="226">
        <f>(J630/J612)*AH93</f>
        <v>0</v>
      </c>
      <c r="K699" s="226">
        <f>(K644/K612)*AH89</f>
        <v>0</v>
      </c>
      <c r="L699" s="226">
        <f>(L647/L612)*AH94</f>
        <v>0</v>
      </c>
      <c r="M699" s="211">
        <f t="shared" si="18"/>
        <v>0</v>
      </c>
      <c r="N699" s="220" t="s">
        <v>669</v>
      </c>
    </row>
    <row r="700" spans="1:14" s="211" customFormat="1" ht="12.65" customHeight="1" x14ac:dyDescent="0.3">
      <c r="A700" s="221">
        <v>7250</v>
      </c>
      <c r="B700" s="220" t="s">
        <v>670</v>
      </c>
      <c r="C700" s="226">
        <f>AI85</f>
        <v>0</v>
      </c>
      <c r="D700" s="226">
        <f>(D615/D612)*AI90</f>
        <v>0</v>
      </c>
      <c r="E700" s="228">
        <f>(E623/E612)*SUM(C700:D700)</f>
        <v>0</v>
      </c>
      <c r="F700" s="228">
        <f>(F624/F612)*AI64</f>
        <v>0</v>
      </c>
      <c r="G700" s="226">
        <f>(G625/G612)*AI91</f>
        <v>0</v>
      </c>
      <c r="H700" s="228">
        <f>(H628/H612)*AI60</f>
        <v>0</v>
      </c>
      <c r="I700" s="226">
        <f>(I629/I612)*AI92</f>
        <v>0</v>
      </c>
      <c r="J700" s="226">
        <f>(J630/J612)*AI93</f>
        <v>0</v>
      </c>
      <c r="K700" s="226">
        <f>(K644/K612)*AI89</f>
        <v>0</v>
      </c>
      <c r="L700" s="226">
        <f>(L647/L612)*AI94</f>
        <v>0</v>
      </c>
      <c r="M700" s="211">
        <f t="shared" si="18"/>
        <v>0</v>
      </c>
      <c r="N700" s="220" t="s">
        <v>671</v>
      </c>
    </row>
    <row r="701" spans="1:14" s="211" customFormat="1" ht="12.65" customHeight="1" x14ac:dyDescent="0.3">
      <c r="A701" s="221">
        <v>7260</v>
      </c>
      <c r="B701" s="220" t="s">
        <v>148</v>
      </c>
      <c r="C701" s="226">
        <f>AJ85</f>
        <v>34075480</v>
      </c>
      <c r="D701" s="226">
        <f>(D615/D612)*AJ90</f>
        <v>2638432.9302670103</v>
      </c>
      <c r="E701" s="228">
        <f>(E623/E612)*SUM(C701:D701)</f>
        <v>2069564.0253621708</v>
      </c>
      <c r="F701" s="228">
        <f>(F624/F612)*AJ64</f>
        <v>52437.002721646786</v>
      </c>
      <c r="G701" s="226">
        <f>(G625/G612)*AJ91</f>
        <v>0</v>
      </c>
      <c r="H701" s="228">
        <f>(H628/H612)*AJ60</f>
        <v>715557.00804909342</v>
      </c>
      <c r="I701" s="226">
        <f>(I629/I612)*AJ92</f>
        <v>939774.80585910834</v>
      </c>
      <c r="J701" s="226">
        <f>(J630/J612)*AJ93</f>
        <v>20591.764051158592</v>
      </c>
      <c r="K701" s="226">
        <f>(K644/K612)*AJ89</f>
        <v>2553839.5585903199</v>
      </c>
      <c r="L701" s="226">
        <f>(L647/L612)*AJ94</f>
        <v>531277.66196729185</v>
      </c>
      <c r="M701" s="211">
        <f t="shared" si="18"/>
        <v>9521475</v>
      </c>
      <c r="N701" s="220" t="s">
        <v>672</v>
      </c>
    </row>
    <row r="702" spans="1:14" s="211" customFormat="1" ht="12.65" customHeight="1" x14ac:dyDescent="0.3">
      <c r="A702" s="221">
        <v>7310</v>
      </c>
      <c r="B702" s="220" t="s">
        <v>673</v>
      </c>
      <c r="C702" s="226">
        <f>AK85</f>
        <v>230143</v>
      </c>
      <c r="D702" s="226">
        <f>(D615/D612)*AK90</f>
        <v>0</v>
      </c>
      <c r="E702" s="228">
        <f>(E623/E612)*SUM(C702:D702)</f>
        <v>12973.165633246002</v>
      </c>
      <c r="F702" s="228">
        <f>(F624/F612)*AK64</f>
        <v>851.34203401514333</v>
      </c>
      <c r="G702" s="226">
        <f>(G625/G612)*AK91</f>
        <v>0</v>
      </c>
      <c r="H702" s="228">
        <f>(H628/H612)*AK60</f>
        <v>0</v>
      </c>
      <c r="I702" s="226">
        <f>(I629/I612)*AK92</f>
        <v>34185.523732255555</v>
      </c>
      <c r="J702" s="226">
        <f>(J630/J612)*AK93</f>
        <v>3550.3641155728442</v>
      </c>
      <c r="K702" s="226">
        <f>(K644/K612)*AK89</f>
        <v>55591.871332007853</v>
      </c>
      <c r="L702" s="226">
        <f>(L647/L612)*AK94</f>
        <v>0</v>
      </c>
      <c r="M702" s="211">
        <f t="shared" si="18"/>
        <v>107152</v>
      </c>
      <c r="N702" s="220" t="s">
        <v>674</v>
      </c>
    </row>
    <row r="703" spans="1:14" s="211" customFormat="1" ht="12.65" customHeight="1" x14ac:dyDescent="0.3">
      <c r="A703" s="221">
        <v>7320</v>
      </c>
      <c r="B703" s="220" t="s">
        <v>675</v>
      </c>
      <c r="C703" s="226">
        <f>AL85</f>
        <v>281706</v>
      </c>
      <c r="D703" s="226">
        <f>(D615/D612)*AL90</f>
        <v>0</v>
      </c>
      <c r="E703" s="228">
        <f>(E623/E612)*SUM(C703:D703)</f>
        <v>15879.773001478205</v>
      </c>
      <c r="F703" s="228">
        <f>(F624/F612)*AL64</f>
        <v>266.48597158291096</v>
      </c>
      <c r="G703" s="226">
        <f>(G625/G612)*AL91</f>
        <v>0</v>
      </c>
      <c r="H703" s="228">
        <f>(H628/H612)*AL60</f>
        <v>2548.0432242033053</v>
      </c>
      <c r="I703" s="226">
        <f>(I629/I612)*AL92</f>
        <v>22754.158418977226</v>
      </c>
      <c r="J703" s="226">
        <f>(J630/J612)*AL93</f>
        <v>0</v>
      </c>
      <c r="K703" s="226">
        <f>(K644/K612)*AL89</f>
        <v>48947.772762127839</v>
      </c>
      <c r="L703" s="226">
        <f>(L647/L612)*AL94</f>
        <v>0</v>
      </c>
      <c r="M703" s="211">
        <f t="shared" si="18"/>
        <v>90396</v>
      </c>
      <c r="N703" s="220" t="s">
        <v>676</v>
      </c>
    </row>
    <row r="704" spans="1:14" s="211" customFormat="1" ht="12.65" customHeight="1" x14ac:dyDescent="0.3">
      <c r="A704" s="221">
        <v>7330</v>
      </c>
      <c r="B704" s="220" t="s">
        <v>677</v>
      </c>
      <c r="C704" s="226">
        <f>AM85</f>
        <v>0</v>
      </c>
      <c r="D704" s="226">
        <f>(D615/D612)*AM90</f>
        <v>0</v>
      </c>
      <c r="E704" s="228">
        <f>(E623/E612)*SUM(C704:D704)</f>
        <v>0</v>
      </c>
      <c r="F704" s="228">
        <f>(F624/F612)*AM64</f>
        <v>0</v>
      </c>
      <c r="G704" s="226">
        <f>(G625/G612)*AM91</f>
        <v>0</v>
      </c>
      <c r="H704" s="228">
        <f>(H628/H612)*AM60</f>
        <v>0</v>
      </c>
      <c r="I704" s="226">
        <f>(I629/I612)*AM92</f>
        <v>0</v>
      </c>
      <c r="J704" s="226">
        <f>(J630/J612)*AM93</f>
        <v>0</v>
      </c>
      <c r="K704" s="226">
        <f>(K644/K612)*AM89</f>
        <v>0</v>
      </c>
      <c r="L704" s="226">
        <f>(L647/L612)*AM94</f>
        <v>0</v>
      </c>
      <c r="M704" s="211">
        <f t="shared" si="18"/>
        <v>0</v>
      </c>
      <c r="N704" s="220" t="s">
        <v>678</v>
      </c>
    </row>
    <row r="705" spans="1:14" s="211" customFormat="1" ht="12.65" customHeight="1" x14ac:dyDescent="0.3">
      <c r="A705" s="221">
        <v>7340</v>
      </c>
      <c r="B705" s="220" t="s">
        <v>679</v>
      </c>
      <c r="C705" s="226">
        <f>AN85</f>
        <v>0</v>
      </c>
      <c r="D705" s="226">
        <f>(D615/D612)*AN90</f>
        <v>0</v>
      </c>
      <c r="E705" s="228">
        <f>(E623/E612)*SUM(C705:D705)</f>
        <v>0</v>
      </c>
      <c r="F705" s="228">
        <f>(F624/F612)*AN64</f>
        <v>0</v>
      </c>
      <c r="G705" s="226">
        <f>(G625/G612)*AN91</f>
        <v>0</v>
      </c>
      <c r="H705" s="228">
        <f>(H628/H612)*AN60</f>
        <v>0</v>
      </c>
      <c r="I705" s="226">
        <f>(I629/I612)*AN92</f>
        <v>0</v>
      </c>
      <c r="J705" s="226">
        <f>(J630/J612)*AN93</f>
        <v>0</v>
      </c>
      <c r="K705" s="226">
        <f>(K644/K612)*AN89</f>
        <v>0</v>
      </c>
      <c r="L705" s="226">
        <f>(L647/L612)*AN94</f>
        <v>0</v>
      </c>
      <c r="M705" s="211">
        <f t="shared" si="18"/>
        <v>0</v>
      </c>
      <c r="N705" s="220" t="s">
        <v>680</v>
      </c>
    </row>
    <row r="706" spans="1:14" s="211" customFormat="1" ht="12.65" customHeight="1" x14ac:dyDescent="0.3">
      <c r="A706" s="221">
        <v>7350</v>
      </c>
      <c r="B706" s="220" t="s">
        <v>681</v>
      </c>
      <c r="C706" s="226">
        <f>AO85</f>
        <v>1599371</v>
      </c>
      <c r="D706" s="226">
        <f>(D615/D612)*AO90</f>
        <v>219928.2539300283</v>
      </c>
      <c r="E706" s="228">
        <f>(E623/E612)*SUM(C706:D706)</f>
        <v>102553.93628168198</v>
      </c>
      <c r="F706" s="228">
        <f>(F624/F612)*AO64</f>
        <v>3326.2930271923715</v>
      </c>
      <c r="G706" s="226">
        <f>(G625/G612)*AO91</f>
        <v>293742.93858937296</v>
      </c>
      <c r="H706" s="228">
        <f>(H628/H612)*AO60</f>
        <v>26920.630586147967</v>
      </c>
      <c r="I706" s="226">
        <f>(I629/I612)*AO92</f>
        <v>66707.500419565258</v>
      </c>
      <c r="J706" s="226">
        <f>(J630/J612)*AO93</f>
        <v>22890.848724578773</v>
      </c>
      <c r="K706" s="226">
        <f>(K644/K612)*AO89</f>
        <v>437730.37008789083</v>
      </c>
      <c r="L706" s="226">
        <f>(L647/L612)*AO94</f>
        <v>136818.58315629515</v>
      </c>
      <c r="M706" s="211">
        <f t="shared" si="18"/>
        <v>1310619</v>
      </c>
      <c r="N706" s="220" t="s">
        <v>682</v>
      </c>
    </row>
    <row r="707" spans="1:14" s="211" customFormat="1" ht="12.65" customHeight="1" x14ac:dyDescent="0.3">
      <c r="A707" s="221">
        <v>7380</v>
      </c>
      <c r="B707" s="220" t="s">
        <v>683</v>
      </c>
      <c r="C707" s="226">
        <f>AP85</f>
        <v>0</v>
      </c>
      <c r="D707" s="226">
        <f>(D615/D612)*AP90</f>
        <v>0</v>
      </c>
      <c r="E707" s="228">
        <f>(E623/E612)*SUM(C707:D707)</f>
        <v>0</v>
      </c>
      <c r="F707" s="228">
        <f>(F624/F612)*AP64</f>
        <v>0</v>
      </c>
      <c r="G707" s="226">
        <f>(G625/G612)*AP91</f>
        <v>0</v>
      </c>
      <c r="H707" s="228">
        <f>(H628/H612)*AP60</f>
        <v>0</v>
      </c>
      <c r="I707" s="226">
        <f>(I629/I612)*AP92</f>
        <v>0</v>
      </c>
      <c r="J707" s="226">
        <f>(J630/J612)*AP93</f>
        <v>0</v>
      </c>
      <c r="K707" s="226">
        <f>(K644/K612)*AP89</f>
        <v>0</v>
      </c>
      <c r="L707" s="226">
        <f>(L647/L612)*AP94</f>
        <v>0</v>
      </c>
      <c r="M707" s="211">
        <f t="shared" si="18"/>
        <v>0</v>
      </c>
      <c r="N707" s="220" t="s">
        <v>684</v>
      </c>
    </row>
    <row r="708" spans="1:14" s="211" customFormat="1" ht="12.65" customHeight="1" x14ac:dyDescent="0.3">
      <c r="A708" s="221">
        <v>7390</v>
      </c>
      <c r="B708" s="220" t="s">
        <v>685</v>
      </c>
      <c r="C708" s="226">
        <f>AQ85</f>
        <v>0</v>
      </c>
      <c r="D708" s="226">
        <f>(D615/D612)*AQ90</f>
        <v>0</v>
      </c>
      <c r="E708" s="228">
        <f>(E623/E612)*SUM(C708:D708)</f>
        <v>0</v>
      </c>
      <c r="F708" s="228">
        <f>(F624/F612)*AQ64</f>
        <v>0</v>
      </c>
      <c r="G708" s="226">
        <f>(G625/G612)*AQ91</f>
        <v>0</v>
      </c>
      <c r="H708" s="228">
        <f>(H628/H612)*AQ60</f>
        <v>0</v>
      </c>
      <c r="I708" s="226">
        <f>(I629/I612)*AQ92</f>
        <v>0</v>
      </c>
      <c r="J708" s="226">
        <f>(J630/J612)*AQ93</f>
        <v>0</v>
      </c>
      <c r="K708" s="226">
        <f>(K644/K612)*AQ89</f>
        <v>0</v>
      </c>
      <c r="L708" s="226">
        <f>(L647/L612)*AQ94</f>
        <v>0</v>
      </c>
      <c r="M708" s="211">
        <f t="shared" si="18"/>
        <v>0</v>
      </c>
      <c r="N708" s="220" t="s">
        <v>686</v>
      </c>
    </row>
    <row r="709" spans="1:14" s="211" customFormat="1" ht="12.65" customHeight="1" x14ac:dyDescent="0.3">
      <c r="A709" s="221">
        <v>7400</v>
      </c>
      <c r="B709" s="220" t="s">
        <v>687</v>
      </c>
      <c r="C709" s="226">
        <f>AR85</f>
        <v>3331633</v>
      </c>
      <c r="D709" s="226">
        <f>(D615/D612)*AR90</f>
        <v>75717.457638542706</v>
      </c>
      <c r="E709" s="228">
        <f>(E623/E612)*SUM(C709:D709)</f>
        <v>192072.41522645217</v>
      </c>
      <c r="F709" s="228">
        <f>(F624/F612)*AR64</f>
        <v>9343.7803506943274</v>
      </c>
      <c r="G709" s="226">
        <f>(G625/G612)*AR91</f>
        <v>0</v>
      </c>
      <c r="H709" s="228">
        <f>(H628/H612)*AR60</f>
        <v>77142.931816821816</v>
      </c>
      <c r="I709" s="226">
        <f>(I629/I612)*AR92</f>
        <v>22862.96065242017</v>
      </c>
      <c r="J709" s="226">
        <f>(J630/J612)*AR93</f>
        <v>2839.9434732943691</v>
      </c>
      <c r="K709" s="226">
        <f>(K644/K612)*AR89</f>
        <v>228527.92213070302</v>
      </c>
      <c r="L709" s="226">
        <f>(L647/L612)*AR94</f>
        <v>204004.59991942771</v>
      </c>
      <c r="M709" s="211">
        <f t="shared" si="18"/>
        <v>812512</v>
      </c>
      <c r="N709" s="220" t="s">
        <v>688</v>
      </c>
    </row>
    <row r="710" spans="1:14" s="211" customFormat="1" ht="12.65" customHeight="1" x14ac:dyDescent="0.3">
      <c r="A710" s="221">
        <v>7410</v>
      </c>
      <c r="B710" s="220" t="s">
        <v>156</v>
      </c>
      <c r="C710" s="226">
        <f>AS85</f>
        <v>0</v>
      </c>
      <c r="D710" s="226">
        <f>(D615/D612)*AS90</f>
        <v>0</v>
      </c>
      <c r="E710" s="228">
        <f>(E623/E612)*SUM(C710:D710)</f>
        <v>0</v>
      </c>
      <c r="F710" s="228">
        <f>(F624/F612)*AS64</f>
        <v>0</v>
      </c>
      <c r="G710" s="226">
        <f>(G625/G612)*AS91</f>
        <v>0</v>
      </c>
      <c r="H710" s="228">
        <f>(H628/H612)*AS60</f>
        <v>0</v>
      </c>
      <c r="I710" s="226">
        <f>(I629/I612)*AS92</f>
        <v>0</v>
      </c>
      <c r="J710" s="226">
        <f>(J630/J612)*AS93</f>
        <v>0</v>
      </c>
      <c r="K710" s="226">
        <f>(K644/K612)*AS89</f>
        <v>0</v>
      </c>
      <c r="L710" s="226">
        <f>(L647/L612)*AS94</f>
        <v>0</v>
      </c>
      <c r="M710" s="211">
        <f t="shared" si="18"/>
        <v>0</v>
      </c>
      <c r="N710" s="220" t="s">
        <v>689</v>
      </c>
    </row>
    <row r="711" spans="1:14" s="211" customFormat="1" ht="12.65" customHeight="1" x14ac:dyDescent="0.3">
      <c r="A711" s="221">
        <v>7420</v>
      </c>
      <c r="B711" s="220" t="s">
        <v>690</v>
      </c>
      <c r="C711" s="226">
        <f>AT85</f>
        <v>0</v>
      </c>
      <c r="D711" s="226">
        <f>(D615/D612)*AT90</f>
        <v>0</v>
      </c>
      <c r="E711" s="228">
        <f>(E623/E612)*SUM(C711:D711)</f>
        <v>0</v>
      </c>
      <c r="F711" s="228">
        <f>(F624/F612)*AT64</f>
        <v>0</v>
      </c>
      <c r="G711" s="226">
        <f>(G625/G612)*AT91</f>
        <v>0</v>
      </c>
      <c r="H711" s="228">
        <f>(H628/H612)*AT60</f>
        <v>0</v>
      </c>
      <c r="I711" s="226">
        <f>(I629/I612)*AT92</f>
        <v>0</v>
      </c>
      <c r="J711" s="226">
        <f>(J630/J612)*AT93</f>
        <v>0</v>
      </c>
      <c r="K711" s="226">
        <f>(K644/K612)*AT89</f>
        <v>0</v>
      </c>
      <c r="L711" s="226">
        <f>(L647/L612)*AT94</f>
        <v>0</v>
      </c>
      <c r="M711" s="211">
        <f t="shared" si="18"/>
        <v>0</v>
      </c>
      <c r="N711" s="220" t="s">
        <v>691</v>
      </c>
    </row>
    <row r="712" spans="1:14" s="211" customFormat="1" ht="12.65" customHeight="1" x14ac:dyDescent="0.3">
      <c r="A712" s="221">
        <v>7430</v>
      </c>
      <c r="B712" s="220" t="s">
        <v>692</v>
      </c>
      <c r="C712" s="226">
        <f>AU85</f>
        <v>0</v>
      </c>
      <c r="D712" s="226">
        <f>(D615/D612)*AU90</f>
        <v>0</v>
      </c>
      <c r="E712" s="228">
        <f>(E623/E612)*SUM(C712:D712)</f>
        <v>0</v>
      </c>
      <c r="F712" s="228">
        <f>(F624/F612)*AU64</f>
        <v>0</v>
      </c>
      <c r="G712" s="226">
        <f>(G625/G612)*AU91</f>
        <v>0</v>
      </c>
      <c r="H712" s="228">
        <f>(H628/H612)*AU60</f>
        <v>0</v>
      </c>
      <c r="I712" s="226">
        <f>(I629/I612)*AU92</f>
        <v>0</v>
      </c>
      <c r="J712" s="226">
        <f>(J630/J612)*AU93</f>
        <v>0</v>
      </c>
      <c r="K712" s="226">
        <f>(K644/K612)*AU89</f>
        <v>0</v>
      </c>
      <c r="L712" s="226">
        <f>(L647/L612)*AU94</f>
        <v>0</v>
      </c>
      <c r="M712" s="211">
        <f t="shared" si="18"/>
        <v>0</v>
      </c>
      <c r="N712" s="220" t="s">
        <v>693</v>
      </c>
    </row>
    <row r="713" spans="1:14" s="211" customFormat="1" ht="12.65" customHeight="1" x14ac:dyDescent="0.3">
      <c r="A713" s="221">
        <v>7490</v>
      </c>
      <c r="B713" s="220" t="s">
        <v>694</v>
      </c>
      <c r="C713" s="226">
        <f>AV85</f>
        <v>0</v>
      </c>
      <c r="D713" s="226">
        <f>(D615/D612)*AV90</f>
        <v>0</v>
      </c>
      <c r="E713" s="228">
        <f>(E623/E612)*SUM(C713:D713)</f>
        <v>0</v>
      </c>
      <c r="F713" s="228">
        <f>(F624/F612)*AV64</f>
        <v>0</v>
      </c>
      <c r="G713" s="226">
        <f>(G625/G612)*AV91</f>
        <v>0</v>
      </c>
      <c r="H713" s="228">
        <f>(H628/H612)*AV60</f>
        <v>0</v>
      </c>
      <c r="I713" s="226">
        <f>(I629/I612)*AV92</f>
        <v>0</v>
      </c>
      <c r="J713" s="226">
        <f>(J630/J612)*AV93</f>
        <v>0</v>
      </c>
      <c r="K713" s="226">
        <f>(K644/K612)*AV89</f>
        <v>0</v>
      </c>
      <c r="L713" s="226">
        <f>(L647/L612)*AV94</f>
        <v>0</v>
      </c>
      <c r="M713" s="211">
        <f t="shared" si="18"/>
        <v>0</v>
      </c>
      <c r="N713" s="222" t="s">
        <v>695</v>
      </c>
    </row>
    <row r="714" spans="1:14" s="211" customFormat="1" ht="12.65" customHeight="1" x14ac:dyDescent="0.3"/>
    <row r="715" spans="1:14" s="211" customFormat="1" ht="12.65" customHeight="1" x14ac:dyDescent="0.3">
      <c r="C715" s="223">
        <f>SUM(C614:C647)+SUM(C668:C713)</f>
        <v>127741441</v>
      </c>
      <c r="D715" s="211">
        <f>SUM(D616:D647)+SUM(D668:D713)</f>
        <v>7736271</v>
      </c>
      <c r="E715" s="211">
        <f>SUM(E624:E647)+SUM(E668:E713)</f>
        <v>6816539.1964206733</v>
      </c>
      <c r="F715" s="211">
        <f>SUM(F625:F648)+SUM(F668:F713)</f>
        <v>1079517.3285976658</v>
      </c>
      <c r="G715" s="211">
        <f>SUM(G626:G647)+SUM(G668:G713)</f>
        <v>1386593.0111906959</v>
      </c>
      <c r="H715" s="211">
        <f>SUM(H629:H647)+SUM(H668:H713)</f>
        <v>2042201.2519549453</v>
      </c>
      <c r="I715" s="211">
        <f>SUM(I630:I647)+SUM(I668:I713)</f>
        <v>2062539.3266105324</v>
      </c>
      <c r="J715" s="211">
        <f>SUM(J631:J647)+SUM(J668:J713)</f>
        <v>333794.22566962126</v>
      </c>
      <c r="K715" s="211">
        <f>SUM(K668:K713)</f>
        <v>17838955.052778669</v>
      </c>
      <c r="L715" s="211">
        <f>SUM(L668:L713)</f>
        <v>2318952.6570177013</v>
      </c>
      <c r="M715" s="211">
        <f>SUM(M668:M713)</f>
        <v>37027303</v>
      </c>
      <c r="N715" s="220" t="s">
        <v>696</v>
      </c>
    </row>
    <row r="716" spans="1:14" s="211" customFormat="1" ht="12.65" customHeight="1" x14ac:dyDescent="0.3">
      <c r="C716" s="223">
        <f>CE85</f>
        <v>127741441</v>
      </c>
      <c r="D716" s="211">
        <f>D615</f>
        <v>7736271</v>
      </c>
      <c r="E716" s="211">
        <f>E623</f>
        <v>6816539.1964206723</v>
      </c>
      <c r="F716" s="211">
        <f>F624</f>
        <v>1079517.3285976658</v>
      </c>
      <c r="G716" s="211">
        <f>G625</f>
        <v>1386593.0111906959</v>
      </c>
      <c r="H716" s="211">
        <f>H628</f>
        <v>2042201.251954945</v>
      </c>
      <c r="I716" s="211">
        <f>I629</f>
        <v>2062539.3266105326</v>
      </c>
      <c r="J716" s="211">
        <f>J630</f>
        <v>333794.2256696212</v>
      </c>
      <c r="K716" s="211">
        <f>K644</f>
        <v>17838955.052778669</v>
      </c>
      <c r="L716" s="211">
        <f>L647</f>
        <v>2318952.6570177013</v>
      </c>
      <c r="M716" s="211">
        <f>C648</f>
        <v>37027302</v>
      </c>
      <c r="N716" s="220" t="s">
        <v>697</v>
      </c>
    </row>
  </sheetData>
  <sheetProtection algorithmName="SHA-512" hashValue="HBGpGKVoqQ5yiWSFgRVFOWiMU77zRVS3ec7hf+yPd+7qVh2Sno5EjTPhqCGTCdvvpnOsTW0buttVPgXFl5SRqQ==" saltValue="6Zx9vO4WKgkAoYVM/iYCjA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C179"/>
  <sheetViews>
    <sheetView view="pageBreakPreview" topLeftCell="A58" zoomScale="60" zoomScaleNormal="100" workbookViewId="0">
      <selection activeCell="C59" sqref="C59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889</v>
      </c>
      <c r="B1" s="178"/>
      <c r="C1" s="178"/>
    </row>
    <row r="2" spans="1:3" ht="20.149999999999999" customHeight="1" x14ac:dyDescent="0.35">
      <c r="A2" s="177"/>
      <c r="B2" s="178"/>
      <c r="C2" s="103" t="s">
        <v>890</v>
      </c>
    </row>
    <row r="3" spans="1:3" ht="20.149999999999999" customHeight="1" x14ac:dyDescent="0.35">
      <c r="A3" s="129" t="str">
        <f>"Hospital: "&amp;data!C98</f>
        <v>Hospital: Kittitas Valley Healthcare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891</v>
      </c>
      <c r="C4" s="182"/>
    </row>
    <row r="5" spans="1:3" ht="20.149999999999999" customHeight="1" x14ac:dyDescent="0.35">
      <c r="A5" s="183">
        <v>1</v>
      </c>
      <c r="B5" s="184" t="s">
        <v>423</v>
      </c>
      <c r="C5" s="184"/>
    </row>
    <row r="6" spans="1:3" ht="20.149999999999999" customHeight="1" x14ac:dyDescent="0.35">
      <c r="A6" s="183">
        <v>2</v>
      </c>
      <c r="B6" s="185" t="s">
        <v>424</v>
      </c>
      <c r="C6" s="185">
        <f>data!C266</f>
        <v>15389148</v>
      </c>
    </row>
    <row r="7" spans="1:3" ht="20.149999999999999" customHeight="1" x14ac:dyDescent="0.35">
      <c r="A7" s="183">
        <v>3</v>
      </c>
      <c r="B7" s="185" t="s">
        <v>425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426</v>
      </c>
      <c r="C8" s="185">
        <f>data!C268</f>
        <v>16493939</v>
      </c>
    </row>
    <row r="9" spans="1:3" ht="20.149999999999999" customHeight="1" x14ac:dyDescent="0.35">
      <c r="A9" s="183">
        <v>5</v>
      </c>
      <c r="B9" s="185" t="s">
        <v>892</v>
      </c>
      <c r="C9" s="185">
        <f>data!C269</f>
        <v>0</v>
      </c>
    </row>
    <row r="10" spans="1:3" ht="20.149999999999999" customHeight="1" x14ac:dyDescent="0.35">
      <c r="A10" s="183">
        <v>6</v>
      </c>
      <c r="B10" s="185" t="s">
        <v>893</v>
      </c>
      <c r="C10" s="185">
        <f>data!C270</f>
        <v>1300000</v>
      </c>
    </row>
    <row r="11" spans="1:3" ht="20.149999999999999" customHeight="1" x14ac:dyDescent="0.35">
      <c r="A11" s="183">
        <v>7</v>
      </c>
      <c r="B11" s="185" t="s">
        <v>894</v>
      </c>
      <c r="C11" s="185">
        <f>data!C271</f>
        <v>1184640</v>
      </c>
    </row>
    <row r="12" spans="1:3" ht="20.149999999999999" customHeight="1" x14ac:dyDescent="0.35">
      <c r="A12" s="183">
        <v>8</v>
      </c>
      <c r="B12" s="185" t="s">
        <v>430</v>
      </c>
      <c r="C12" s="185">
        <f>data!C272</f>
        <v>1014666</v>
      </c>
    </row>
    <row r="13" spans="1:3" ht="20.149999999999999" customHeight="1" x14ac:dyDescent="0.35">
      <c r="A13" s="183">
        <v>9</v>
      </c>
      <c r="B13" s="185" t="s">
        <v>431</v>
      </c>
      <c r="C13" s="185">
        <f>data!C273</f>
        <v>2824106</v>
      </c>
    </row>
    <row r="14" spans="1:3" ht="20.149999999999999" customHeight="1" x14ac:dyDescent="0.35">
      <c r="A14" s="183">
        <v>10</v>
      </c>
      <c r="B14" s="185" t="s">
        <v>432</v>
      </c>
      <c r="C14" s="185">
        <f>data!C274</f>
        <v>2096089</v>
      </c>
    </row>
    <row r="15" spans="1:3" ht="20.149999999999999" customHeight="1" x14ac:dyDescent="0.35">
      <c r="A15" s="183">
        <v>11</v>
      </c>
      <c r="B15" s="185" t="s">
        <v>895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896</v>
      </c>
      <c r="C16" s="185">
        <f>data!D276</f>
        <v>40302588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897</v>
      </c>
      <c r="C18" s="184"/>
    </row>
    <row r="19" spans="1:3" ht="20.149999999999999" customHeight="1" x14ac:dyDescent="0.35">
      <c r="A19" s="183">
        <v>15</v>
      </c>
      <c r="B19" s="185" t="s">
        <v>424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425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436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898</v>
      </c>
      <c r="C22" s="185">
        <f>data!D281</f>
        <v>0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899</v>
      </c>
      <c r="C24" s="184"/>
    </row>
    <row r="25" spans="1:3" ht="20.149999999999999" customHeight="1" x14ac:dyDescent="0.35">
      <c r="A25" s="183">
        <v>21</v>
      </c>
      <c r="B25" s="185" t="s">
        <v>393</v>
      </c>
      <c r="C25" s="185">
        <f>data!C283</f>
        <v>3334338</v>
      </c>
    </row>
    <row r="26" spans="1:3" ht="20.149999999999999" customHeight="1" x14ac:dyDescent="0.35">
      <c r="A26" s="183">
        <v>22</v>
      </c>
      <c r="B26" s="185" t="s">
        <v>394</v>
      </c>
      <c r="C26" s="185">
        <f>data!C284</f>
        <v>1052763</v>
      </c>
    </row>
    <row r="27" spans="1:3" ht="20.149999999999999" customHeight="1" x14ac:dyDescent="0.35">
      <c r="A27" s="183">
        <v>23</v>
      </c>
      <c r="B27" s="185" t="s">
        <v>395</v>
      </c>
      <c r="C27" s="185">
        <f>data!C285</f>
        <v>51700441</v>
      </c>
    </row>
    <row r="28" spans="1:3" ht="20.149999999999999" customHeight="1" x14ac:dyDescent="0.35">
      <c r="A28" s="183">
        <v>24</v>
      </c>
      <c r="B28" s="185" t="s">
        <v>900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397</v>
      </c>
      <c r="C29" s="185">
        <f>data!C287</f>
        <v>9572142</v>
      </c>
    </row>
    <row r="30" spans="1:3" ht="20.149999999999999" customHeight="1" x14ac:dyDescent="0.35">
      <c r="A30" s="183">
        <v>26</v>
      </c>
      <c r="B30" s="185" t="s">
        <v>441</v>
      </c>
      <c r="C30" s="185">
        <f>data!C288</f>
        <v>35667233</v>
      </c>
    </row>
    <row r="31" spans="1:3" ht="20.149999999999999" customHeight="1" x14ac:dyDescent="0.35">
      <c r="A31" s="183">
        <v>27</v>
      </c>
      <c r="B31" s="185" t="s">
        <v>400</v>
      </c>
      <c r="C31" s="185">
        <f>data!C289</f>
        <v>9680865</v>
      </c>
    </row>
    <row r="32" spans="1:3" ht="20.149999999999999" customHeight="1" x14ac:dyDescent="0.35">
      <c r="A32" s="183">
        <v>28</v>
      </c>
      <c r="B32" s="185" t="s">
        <v>401</v>
      </c>
      <c r="C32" s="185">
        <f>data!C290</f>
        <v>16669280</v>
      </c>
    </row>
    <row r="33" spans="1:3" ht="20.149999999999999" customHeight="1" x14ac:dyDescent="0.35">
      <c r="A33" s="183">
        <v>29</v>
      </c>
      <c r="B33" s="185" t="s">
        <v>614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901</v>
      </c>
      <c r="C34" s="185">
        <f>data!C292</f>
        <v>59297966</v>
      </c>
    </row>
    <row r="35" spans="1:3" ht="20.149999999999999" customHeight="1" x14ac:dyDescent="0.35">
      <c r="A35" s="183">
        <v>31</v>
      </c>
      <c r="B35" s="185" t="s">
        <v>902</v>
      </c>
      <c r="C35" s="185">
        <f>data!D293</f>
        <v>68379096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903</v>
      </c>
      <c r="C37" s="184"/>
    </row>
    <row r="38" spans="1:3" ht="20.149999999999999" customHeight="1" x14ac:dyDescent="0.35">
      <c r="A38" s="183">
        <v>34</v>
      </c>
      <c r="B38" s="185" t="s">
        <v>904</v>
      </c>
      <c r="C38" s="185">
        <f>data!C295</f>
        <v>47222772</v>
      </c>
    </row>
    <row r="39" spans="1:3" ht="20.149999999999999" customHeight="1" x14ac:dyDescent="0.35">
      <c r="A39" s="183">
        <v>35</v>
      </c>
      <c r="B39" s="185" t="s">
        <v>905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448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436</v>
      </c>
      <c r="C41" s="185">
        <f>data!C298</f>
        <v>0</v>
      </c>
    </row>
    <row r="42" spans="1:3" ht="20.149999999999999" customHeight="1" x14ac:dyDescent="0.35">
      <c r="A42" s="183">
        <v>38</v>
      </c>
      <c r="B42" s="185" t="s">
        <v>906</v>
      </c>
      <c r="C42" s="185">
        <f>data!D299</f>
        <v>47222772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907</v>
      </c>
      <c r="C44" s="184"/>
    </row>
    <row r="45" spans="1:3" ht="20.149999999999999" customHeight="1" x14ac:dyDescent="0.35">
      <c r="A45" s="183">
        <v>41</v>
      </c>
      <c r="B45" s="185" t="s">
        <v>451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452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908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454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909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910</v>
      </c>
      <c r="C50" s="185">
        <f>data!D308</f>
        <v>155904456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911</v>
      </c>
      <c r="B53" s="178"/>
      <c r="C53" s="178"/>
    </row>
    <row r="54" spans="1:3" ht="20.149999999999999" customHeight="1" x14ac:dyDescent="0.35">
      <c r="A54" s="177"/>
      <c r="B54" s="178"/>
      <c r="C54" s="103" t="s">
        <v>912</v>
      </c>
    </row>
    <row r="55" spans="1:3" ht="20.149999999999999" customHeight="1" x14ac:dyDescent="0.35">
      <c r="A55" s="129" t="str">
        <f>"Hospital: "&amp;data!C98</f>
        <v>Hospital: Kittitas Valley Healthcare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913</v>
      </c>
      <c r="C56" s="182"/>
    </row>
    <row r="57" spans="1:3" ht="20.149999999999999" customHeight="1" x14ac:dyDescent="0.35">
      <c r="A57" s="192">
        <v>1</v>
      </c>
      <c r="B57" s="177" t="s">
        <v>458</v>
      </c>
      <c r="C57" s="193"/>
    </row>
    <row r="58" spans="1:3" ht="20.149999999999999" customHeight="1" x14ac:dyDescent="0.35">
      <c r="A58" s="183">
        <v>2</v>
      </c>
      <c r="B58" s="185" t="s">
        <v>459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914</v>
      </c>
      <c r="C59" s="185">
        <f>data!C315</f>
        <v>6161448</v>
      </c>
    </row>
    <row r="60" spans="1:3" ht="20.149999999999999" customHeight="1" x14ac:dyDescent="0.35">
      <c r="A60" s="183">
        <v>4</v>
      </c>
      <c r="B60" s="185" t="s">
        <v>915</v>
      </c>
      <c r="C60" s="185">
        <f>data!C316</f>
        <v>5263441</v>
      </c>
    </row>
    <row r="61" spans="1:3" ht="20.149999999999999" customHeight="1" x14ac:dyDescent="0.35">
      <c r="A61" s="183">
        <v>5</v>
      </c>
      <c r="B61" s="185" t="s">
        <v>462</v>
      </c>
      <c r="C61" s="185">
        <f>data!C317</f>
        <v>286510</v>
      </c>
    </row>
    <row r="62" spans="1:3" ht="20.149999999999999" customHeight="1" x14ac:dyDescent="0.35">
      <c r="A62" s="183">
        <v>6</v>
      </c>
      <c r="B62" s="185" t="s">
        <v>916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917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465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466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467</v>
      </c>
      <c r="C66" s="185">
        <f>data!C322</f>
        <v>65000</v>
      </c>
    </row>
    <row r="67" spans="1:3" ht="20.149999999999999" customHeight="1" x14ac:dyDescent="0.35">
      <c r="A67" s="183">
        <v>11</v>
      </c>
      <c r="B67" s="185" t="s">
        <v>918</v>
      </c>
      <c r="C67" s="185">
        <f>data!C323</f>
        <v>3874347</v>
      </c>
    </row>
    <row r="68" spans="1:3" ht="20.149999999999999" customHeight="1" x14ac:dyDescent="0.35">
      <c r="A68" s="183">
        <v>12</v>
      </c>
      <c r="B68" s="185" t="s">
        <v>919</v>
      </c>
      <c r="C68" s="185">
        <f>data!D324</f>
        <v>15650746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920</v>
      </c>
      <c r="C70" s="184"/>
    </row>
    <row r="71" spans="1:3" ht="20.149999999999999" customHeight="1" x14ac:dyDescent="0.35">
      <c r="A71" s="183">
        <v>15</v>
      </c>
      <c r="B71" s="185" t="s">
        <v>471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921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473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922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475</v>
      </c>
      <c r="C76" s="184"/>
    </row>
    <row r="77" spans="1:3" ht="20.149999999999999" customHeight="1" x14ac:dyDescent="0.35">
      <c r="A77" s="183">
        <v>21</v>
      </c>
      <c r="B77" s="185" t="s">
        <v>476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923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478</v>
      </c>
      <c r="C79" s="185">
        <f>data!C333</f>
        <v>3885811</v>
      </c>
    </row>
    <row r="80" spans="1:3" ht="20.149999999999999" customHeight="1" x14ac:dyDescent="0.35">
      <c r="A80" s="183">
        <v>24</v>
      </c>
      <c r="B80" s="185" t="s">
        <v>924</v>
      </c>
      <c r="C80" s="185">
        <f>data!C334</f>
        <v>3452729</v>
      </c>
    </row>
    <row r="81" spans="1:3" ht="20.149999999999999" customHeight="1" x14ac:dyDescent="0.35">
      <c r="A81" s="183">
        <v>25</v>
      </c>
      <c r="B81" s="185" t="s">
        <v>480</v>
      </c>
      <c r="C81" s="185">
        <f>data!C335</f>
        <v>31776052</v>
      </c>
    </row>
    <row r="82" spans="1:3" ht="20.149999999999999" customHeight="1" x14ac:dyDescent="0.35">
      <c r="A82" s="183">
        <v>26</v>
      </c>
      <c r="B82" s="185" t="s">
        <v>925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482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483</v>
      </c>
      <c r="C84" s="185">
        <f>data!C338</f>
        <v>5432167</v>
      </c>
    </row>
    <row r="85" spans="1:3" ht="20.149999999999999" customHeight="1" x14ac:dyDescent="0.35">
      <c r="A85" s="183">
        <v>29</v>
      </c>
      <c r="B85" s="185" t="s">
        <v>614</v>
      </c>
      <c r="C85" s="185">
        <f>data!D339</f>
        <v>44546759</v>
      </c>
    </row>
    <row r="86" spans="1:3" ht="20.149999999999999" customHeight="1" x14ac:dyDescent="0.35">
      <c r="A86" s="183">
        <v>30</v>
      </c>
      <c r="B86" s="185" t="s">
        <v>926</v>
      </c>
      <c r="C86" s="185">
        <f>data!D340</f>
        <v>3874347</v>
      </c>
    </row>
    <row r="87" spans="1:3" ht="20.149999999999999" customHeight="1" x14ac:dyDescent="0.35">
      <c r="A87" s="183">
        <v>31</v>
      </c>
      <c r="B87" s="185" t="s">
        <v>927</v>
      </c>
      <c r="C87" s="185">
        <f>data!D341</f>
        <v>40672412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928</v>
      </c>
      <c r="C89" s="185">
        <f>data!C343</f>
        <v>99581298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929</v>
      </c>
      <c r="C91" s="184"/>
    </row>
    <row r="92" spans="1:3" ht="20.149999999999999" customHeight="1" x14ac:dyDescent="0.35">
      <c r="A92" s="183">
        <v>36</v>
      </c>
      <c r="B92" s="185" t="s">
        <v>487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488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930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931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932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933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934</v>
      </c>
      <c r="C102" s="185">
        <f>data!C343+data!C345+data!C346+data!C347+data!C348-data!C349</f>
        <v>99581298</v>
      </c>
    </row>
    <row r="103" spans="1:3" ht="20.149999999999999" customHeight="1" x14ac:dyDescent="0.35">
      <c r="A103" s="183">
        <v>47</v>
      </c>
      <c r="B103" s="185" t="s">
        <v>935</v>
      </c>
      <c r="C103" s="185">
        <f>data!D352</f>
        <v>155904456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936</v>
      </c>
      <c r="B106" s="178"/>
      <c r="C106" s="178"/>
    </row>
    <row r="107" spans="1:3" ht="20.149999999999999" customHeight="1" x14ac:dyDescent="0.35">
      <c r="A107" s="179"/>
      <c r="C107" s="103" t="s">
        <v>937</v>
      </c>
    </row>
    <row r="108" spans="1:3" ht="20.149999999999999" customHeight="1" x14ac:dyDescent="0.35">
      <c r="A108" s="129" t="str">
        <f>"Hospital: "&amp;data!C98</f>
        <v>Hospital: Kittitas Valley Healthcare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938</v>
      </c>
      <c r="C110" s="184"/>
    </row>
    <row r="111" spans="1:3" ht="20.149999999999999" customHeight="1" x14ac:dyDescent="0.35">
      <c r="A111" s="183">
        <v>2</v>
      </c>
      <c r="B111" s="185" t="s">
        <v>496</v>
      </c>
      <c r="C111" s="185">
        <f>data!C358</f>
        <v>25915245</v>
      </c>
    </row>
    <row r="112" spans="1:3" ht="20.149999999999999" customHeight="1" x14ac:dyDescent="0.35">
      <c r="A112" s="183">
        <v>3</v>
      </c>
      <c r="B112" s="185" t="s">
        <v>497</v>
      </c>
      <c r="C112" s="185">
        <f>data!C359</f>
        <v>214524379</v>
      </c>
    </row>
    <row r="113" spans="1:3" ht="20.149999999999999" customHeight="1" x14ac:dyDescent="0.35">
      <c r="A113" s="183">
        <v>4</v>
      </c>
      <c r="B113" s="185" t="s">
        <v>939</v>
      </c>
      <c r="C113" s="185">
        <f>data!D360</f>
        <v>240439624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940</v>
      </c>
      <c r="C115" s="184"/>
    </row>
    <row r="116" spans="1:3" ht="20.149999999999999" customHeight="1" x14ac:dyDescent="0.35">
      <c r="A116" s="183">
        <v>7</v>
      </c>
      <c r="B116" s="197" t="s">
        <v>941</v>
      </c>
      <c r="C116" s="198">
        <f>data!C362</f>
        <v>5541525</v>
      </c>
    </row>
    <row r="117" spans="1:3" ht="20.149999999999999" customHeight="1" x14ac:dyDescent="0.35">
      <c r="A117" s="183">
        <v>8</v>
      </c>
      <c r="B117" s="185" t="s">
        <v>500</v>
      </c>
      <c r="C117" s="198">
        <f>data!C363</f>
        <v>103682333</v>
      </c>
    </row>
    <row r="118" spans="1:3" ht="20.149999999999999" customHeight="1" x14ac:dyDescent="0.35">
      <c r="A118" s="183">
        <v>9</v>
      </c>
      <c r="B118" s="185" t="s">
        <v>942</v>
      </c>
      <c r="C118" s="198">
        <f>data!C364</f>
        <v>2094899</v>
      </c>
    </row>
    <row r="119" spans="1:3" ht="20.149999999999999" customHeight="1" x14ac:dyDescent="0.35">
      <c r="A119" s="183">
        <v>10</v>
      </c>
      <c r="B119" s="185" t="s">
        <v>943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887</v>
      </c>
      <c r="C120" s="198">
        <f>data!D366</f>
        <v>111318757</v>
      </c>
    </row>
    <row r="121" spans="1:3" ht="20.149999999999999" customHeight="1" x14ac:dyDescent="0.35">
      <c r="A121" s="183">
        <v>12</v>
      </c>
      <c r="B121" s="185" t="s">
        <v>944</v>
      </c>
      <c r="C121" s="198">
        <f>data!D367</f>
        <v>129120867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504</v>
      </c>
      <c r="C123" s="184"/>
    </row>
    <row r="124" spans="1:3" ht="20.149999999999999" customHeight="1" x14ac:dyDescent="0.35">
      <c r="A124" s="183">
        <v>15</v>
      </c>
      <c r="B124" s="199" t="s">
        <v>505</v>
      </c>
      <c r="C124" s="200"/>
    </row>
    <row r="125" spans="1:3" ht="20.149999999999999" customHeight="1" x14ac:dyDescent="0.35">
      <c r="A125" s="204" t="s">
        <v>945</v>
      </c>
      <c r="B125" s="201" t="s">
        <v>506</v>
      </c>
      <c r="C125" s="200">
        <f>data!C370</f>
        <v>199833</v>
      </c>
    </row>
    <row r="126" spans="1:3" ht="20.149999999999999" customHeight="1" x14ac:dyDescent="0.35">
      <c r="A126" s="204" t="s">
        <v>946</v>
      </c>
      <c r="B126" s="201" t="s">
        <v>507</v>
      </c>
      <c r="C126" s="200">
        <f>data!C371</f>
        <v>278694</v>
      </c>
    </row>
    <row r="127" spans="1:3" ht="20.149999999999999" customHeight="1" x14ac:dyDescent="0.35">
      <c r="A127" s="204" t="s">
        <v>947</v>
      </c>
      <c r="B127" s="201" t="s">
        <v>508</v>
      </c>
      <c r="C127" s="200">
        <f>data!C372</f>
        <v>0</v>
      </c>
    </row>
    <row r="128" spans="1:3" ht="20.149999999999999" customHeight="1" x14ac:dyDescent="0.35">
      <c r="A128" s="204" t="s">
        <v>948</v>
      </c>
      <c r="B128" s="201" t="s">
        <v>509</v>
      </c>
      <c r="C128" s="200">
        <f>data!C373</f>
        <v>29262</v>
      </c>
    </row>
    <row r="129" spans="1:3" ht="20.149999999999999" customHeight="1" x14ac:dyDescent="0.35">
      <c r="A129" s="204" t="s">
        <v>949</v>
      </c>
      <c r="B129" s="201" t="s">
        <v>510</v>
      </c>
      <c r="C129" s="200">
        <f>data!C374</f>
        <v>0</v>
      </c>
    </row>
    <row r="130" spans="1:3" ht="20.149999999999999" customHeight="1" x14ac:dyDescent="0.35">
      <c r="A130" s="204" t="s">
        <v>950</v>
      </c>
      <c r="B130" s="201" t="s">
        <v>511</v>
      </c>
      <c r="C130" s="200">
        <f>data!C375</f>
        <v>0</v>
      </c>
    </row>
    <row r="131" spans="1:3" ht="20.149999999999999" customHeight="1" x14ac:dyDescent="0.35">
      <c r="A131" s="204" t="s">
        <v>951</v>
      </c>
      <c r="B131" s="201" t="s">
        <v>512</v>
      </c>
      <c r="C131" s="200">
        <f>data!C376</f>
        <v>0</v>
      </c>
    </row>
    <row r="132" spans="1:3" ht="20.149999999999999" customHeight="1" x14ac:dyDescent="0.35">
      <c r="A132" s="204" t="s">
        <v>952</v>
      </c>
      <c r="B132" s="201" t="s">
        <v>513</v>
      </c>
      <c r="C132" s="200">
        <f>data!C377</f>
        <v>0</v>
      </c>
    </row>
    <row r="133" spans="1:3" ht="20.149999999999999" customHeight="1" x14ac:dyDescent="0.35">
      <c r="A133" s="204" t="s">
        <v>953</v>
      </c>
      <c r="B133" s="201" t="s">
        <v>514</v>
      </c>
      <c r="C133" s="200">
        <f>data!C378</f>
        <v>196445</v>
      </c>
    </row>
    <row r="134" spans="1:3" ht="20.149999999999999" customHeight="1" x14ac:dyDescent="0.35">
      <c r="A134" s="204" t="s">
        <v>954</v>
      </c>
      <c r="B134" s="201" t="s">
        <v>515</v>
      </c>
      <c r="C134" s="200">
        <f>data!C379</f>
        <v>390678</v>
      </c>
    </row>
    <row r="135" spans="1:3" ht="20.149999999999999" customHeight="1" x14ac:dyDescent="0.35">
      <c r="A135" s="204" t="s">
        <v>955</v>
      </c>
      <c r="B135" s="201" t="s">
        <v>516</v>
      </c>
      <c r="C135" s="200">
        <f>data!C380</f>
        <v>683183</v>
      </c>
    </row>
    <row r="136" spans="1:3" ht="20.149999999999999" customHeight="1" x14ac:dyDescent="0.35">
      <c r="A136" s="183">
        <v>16</v>
      </c>
      <c r="B136" s="185" t="s">
        <v>518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956</v>
      </c>
      <c r="C137" s="198">
        <f>data!D383</f>
        <v>1778095</v>
      </c>
    </row>
    <row r="138" spans="1:3" ht="20.149999999999999" customHeight="1" x14ac:dyDescent="0.35">
      <c r="A138" s="183">
        <v>18</v>
      </c>
      <c r="B138" s="185" t="s">
        <v>957</v>
      </c>
      <c r="C138" s="198">
        <f>data!D384</f>
        <v>130898962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958</v>
      </c>
      <c r="C140" s="184"/>
    </row>
    <row r="141" spans="1:3" ht="20.149999999999999" customHeight="1" x14ac:dyDescent="0.35">
      <c r="A141" s="183">
        <v>21</v>
      </c>
      <c r="B141" s="185" t="s">
        <v>522</v>
      </c>
      <c r="C141" s="198">
        <f>data!C389</f>
        <v>59535376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14961992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5543969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15251946</v>
      </c>
    </row>
    <row r="145" spans="1:3" ht="20.149999999999999" customHeight="1" x14ac:dyDescent="0.35">
      <c r="A145" s="183">
        <v>25</v>
      </c>
      <c r="B145" s="185" t="s">
        <v>959</v>
      </c>
      <c r="C145" s="198">
        <f>data!C393</f>
        <v>1360017</v>
      </c>
    </row>
    <row r="146" spans="1:3" ht="20.149999999999999" customHeight="1" x14ac:dyDescent="0.35">
      <c r="A146" s="183">
        <v>26</v>
      </c>
      <c r="B146" s="185" t="s">
        <v>960</v>
      </c>
      <c r="C146" s="198">
        <f>data!C394</f>
        <v>14939902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7214516</v>
      </c>
    </row>
    <row r="148" spans="1:3" ht="20.149999999999999" customHeight="1" x14ac:dyDescent="0.35">
      <c r="A148" s="183">
        <v>28</v>
      </c>
      <c r="B148" s="185" t="s">
        <v>961</v>
      </c>
      <c r="C148" s="198">
        <f>data!C396</f>
        <v>227693</v>
      </c>
    </row>
    <row r="149" spans="1:3" ht="20.149999999999999" customHeight="1" x14ac:dyDescent="0.35">
      <c r="A149" s="183">
        <v>29</v>
      </c>
      <c r="B149" s="185" t="s">
        <v>527</v>
      </c>
      <c r="C149" s="198">
        <f>data!C397</f>
        <v>2093783</v>
      </c>
    </row>
    <row r="150" spans="1:3" ht="20.149999999999999" customHeight="1" x14ac:dyDescent="0.35">
      <c r="A150" s="183">
        <v>30</v>
      </c>
      <c r="B150" s="185" t="s">
        <v>962</v>
      </c>
      <c r="C150" s="198">
        <f>data!C398</f>
        <v>1070406</v>
      </c>
    </row>
    <row r="151" spans="1:3" ht="20.149999999999999" customHeight="1" x14ac:dyDescent="0.35">
      <c r="A151" s="183">
        <v>31</v>
      </c>
      <c r="B151" s="185" t="s">
        <v>529</v>
      </c>
      <c r="C151" s="198">
        <f>data!C399</f>
        <v>1428448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963</v>
      </c>
      <c r="B153" s="202" t="s">
        <v>270</v>
      </c>
      <c r="C153" s="198">
        <f>data!C401</f>
        <v>0</v>
      </c>
    </row>
    <row r="154" spans="1:3" ht="20.149999999999999" customHeight="1" x14ac:dyDescent="0.35">
      <c r="A154" s="204" t="s">
        <v>964</v>
      </c>
      <c r="B154" s="202" t="s">
        <v>271</v>
      </c>
      <c r="C154" s="198">
        <f>data!C402</f>
        <v>0</v>
      </c>
    </row>
    <row r="155" spans="1:3" ht="20.149999999999999" customHeight="1" x14ac:dyDescent="0.35">
      <c r="A155" s="204" t="s">
        <v>965</v>
      </c>
      <c r="B155" s="202" t="s">
        <v>966</v>
      </c>
      <c r="C155" s="198">
        <f>data!C403</f>
        <v>0</v>
      </c>
    </row>
    <row r="156" spans="1:3" ht="20.149999999999999" customHeight="1" x14ac:dyDescent="0.35">
      <c r="A156" s="204" t="s">
        <v>967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968</v>
      </c>
      <c r="B157" s="202" t="s">
        <v>274</v>
      </c>
      <c r="C157" s="198">
        <f>data!C405</f>
        <v>0</v>
      </c>
    </row>
    <row r="158" spans="1:3" ht="20.149999999999999" customHeight="1" x14ac:dyDescent="0.35">
      <c r="A158" s="204" t="s">
        <v>969</v>
      </c>
      <c r="B158" s="202" t="s">
        <v>275</v>
      </c>
      <c r="C158" s="198">
        <v>0</v>
      </c>
    </row>
    <row r="159" spans="1:3" ht="20.149999999999999" customHeight="1" x14ac:dyDescent="0.35">
      <c r="A159" s="204" t="s">
        <v>970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971</v>
      </c>
      <c r="B160" s="202" t="s">
        <v>277</v>
      </c>
      <c r="C160" s="198">
        <f>data!C408</f>
        <v>2535683</v>
      </c>
    </row>
    <row r="161" spans="1:3" ht="20.149999999999999" customHeight="1" x14ac:dyDescent="0.35">
      <c r="A161" s="204" t="s">
        <v>972</v>
      </c>
      <c r="B161" s="202" t="s">
        <v>278</v>
      </c>
      <c r="C161" s="198">
        <f>data!C409</f>
        <v>0</v>
      </c>
    </row>
    <row r="162" spans="1:3" ht="20.149999999999999" customHeight="1" x14ac:dyDescent="0.35">
      <c r="A162" s="204" t="s">
        <v>973</v>
      </c>
      <c r="B162" s="202" t="s">
        <v>279</v>
      </c>
      <c r="C162" s="198">
        <f>data!C410</f>
        <v>238852</v>
      </c>
    </row>
    <row r="163" spans="1:3" ht="20.149999999999999" customHeight="1" x14ac:dyDescent="0.35">
      <c r="A163" s="204" t="s">
        <v>974</v>
      </c>
      <c r="B163" s="202" t="s">
        <v>280</v>
      </c>
      <c r="C163" s="198">
        <f>data!C411</f>
        <v>608516</v>
      </c>
    </row>
    <row r="164" spans="1:3" ht="20.149999999999999" customHeight="1" x14ac:dyDescent="0.35">
      <c r="A164" s="204" t="s">
        <v>975</v>
      </c>
      <c r="B164" s="202" t="s">
        <v>281</v>
      </c>
      <c r="C164" s="198">
        <f>data!C412</f>
        <v>0</v>
      </c>
    </row>
    <row r="165" spans="1:3" ht="20.149999999999999" customHeight="1" x14ac:dyDescent="0.35">
      <c r="A165" s="204" t="s">
        <v>976</v>
      </c>
      <c r="B165" s="202" t="s">
        <v>282</v>
      </c>
      <c r="C165" s="198">
        <f>data!C413</f>
        <v>0</v>
      </c>
    </row>
    <row r="166" spans="1:3" ht="20.149999999999999" customHeight="1" x14ac:dyDescent="0.35">
      <c r="A166" s="204" t="s">
        <v>977</v>
      </c>
      <c r="B166" s="202" t="s">
        <v>978</v>
      </c>
      <c r="C166" s="198">
        <v>1025871</v>
      </c>
    </row>
    <row r="167" spans="1:3" ht="20.149999999999999" customHeight="1" x14ac:dyDescent="0.35">
      <c r="A167" s="183">
        <v>34</v>
      </c>
      <c r="B167" s="185" t="s">
        <v>979</v>
      </c>
      <c r="C167" s="198">
        <f>data!D416</f>
        <v>128815251</v>
      </c>
    </row>
    <row r="168" spans="1:3" ht="20.149999999999999" customHeight="1" x14ac:dyDescent="0.35">
      <c r="A168" s="183">
        <v>35</v>
      </c>
      <c r="B168" s="185" t="s">
        <v>980</v>
      </c>
      <c r="C168" s="198">
        <f>data!D417</f>
        <v>2083711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981</v>
      </c>
      <c r="C170" s="198">
        <f>data!D420</f>
        <v>3162717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982</v>
      </c>
      <c r="C172" s="185">
        <f>data!D421</f>
        <v>5246428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983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984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985</v>
      </c>
      <c r="C177" s="198">
        <f>data!D424</f>
        <v>5246428</v>
      </c>
    </row>
    <row r="178" spans="1:3" ht="20.149999999999999" customHeight="1" x14ac:dyDescent="0.35">
      <c r="A178" s="188">
        <v>45</v>
      </c>
      <c r="B178" s="187" t="s">
        <v>986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fitToHeight="0" orientation="portrait" r:id="rId1"/>
  <headerFooter alignWithMargins="0"/>
  <rowBreaks count="4" manualBreakCount="4">
    <brk id="43" max="2" man="1"/>
    <brk id="87" max="2" man="1"/>
    <brk id="122" max="2" man="1"/>
    <brk id="166" max="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1" zoomScale="65" workbookViewId="0">
      <selection activeCell="C17" sqref="C17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3" width="8.9140625" style="282" customWidth="1"/>
    <col min="14" max="16384" width="8.9140625" style="282"/>
  </cols>
  <sheetData>
    <row r="1" spans="1:9" customFormat="1" ht="20.149999999999999" customHeight="1" x14ac:dyDescent="0.35">
      <c r="A1" s="283" t="s">
        <v>987</v>
      </c>
      <c r="B1" s="284"/>
      <c r="C1" s="284"/>
      <c r="D1" s="284"/>
      <c r="E1" s="284"/>
      <c r="F1" s="284"/>
      <c r="G1" s="284"/>
      <c r="H1" s="284"/>
    </row>
    <row r="2" spans="1:9" customFormat="1" ht="20.149999999999999" customHeight="1" x14ac:dyDescent="0.35">
      <c r="A2" s="285"/>
      <c r="I2" s="286" t="s">
        <v>988</v>
      </c>
    </row>
    <row r="3" spans="1:9" customFormat="1" ht="20.149999999999999" customHeight="1" x14ac:dyDescent="0.35">
      <c r="A3" s="285"/>
      <c r="I3" s="285"/>
    </row>
    <row r="4" spans="1:9" customFormat="1" ht="20.149999999999999" customHeight="1" x14ac:dyDescent="0.35">
      <c r="A4" s="287" t="str">
        <f>"Hospital: "&amp;data!C98</f>
        <v>Hospital: Kittitas Valley Healthcare</v>
      </c>
      <c r="G4" s="288"/>
      <c r="H4" s="287" t="str">
        <f>"FYE: "&amp;data!C96</f>
        <v>FYE: 12/31/2023</v>
      </c>
    </row>
    <row r="5" spans="1:9" customFormat="1" ht="20.149999999999999" customHeight="1" x14ac:dyDescent="0.35">
      <c r="A5" s="289">
        <v>1</v>
      </c>
      <c r="B5" s="290" t="s">
        <v>236</v>
      </c>
      <c r="C5" s="291" t="s">
        <v>36</v>
      </c>
      <c r="D5" s="292" t="s">
        <v>37</v>
      </c>
      <c r="E5" s="292" t="s">
        <v>38</v>
      </c>
      <c r="F5" s="292" t="s">
        <v>39</v>
      </c>
      <c r="G5" s="292" t="s">
        <v>40</v>
      </c>
      <c r="H5" s="292" t="s">
        <v>41</v>
      </c>
      <c r="I5" s="292" t="s">
        <v>42</v>
      </c>
    </row>
    <row r="6" spans="1:9" customFormat="1" ht="20.149999999999999" customHeight="1" x14ac:dyDescent="0.35">
      <c r="A6" s="293">
        <v>2</v>
      </c>
      <c r="B6" s="294" t="s">
        <v>989</v>
      </c>
      <c r="C6" s="295" t="s">
        <v>118</v>
      </c>
      <c r="D6" s="296" t="s">
        <v>990</v>
      </c>
      <c r="E6" s="296" t="s">
        <v>120</v>
      </c>
      <c r="F6" s="296" t="s">
        <v>121</v>
      </c>
      <c r="G6" s="296" t="s">
        <v>122</v>
      </c>
      <c r="H6" s="296" t="s">
        <v>123</v>
      </c>
      <c r="I6" s="296" t="s">
        <v>124</v>
      </c>
    </row>
    <row r="7" spans="1:9" customFormat="1" ht="20.149999999999999" customHeight="1" x14ac:dyDescent="0.35">
      <c r="A7" s="293"/>
      <c r="B7" s="294"/>
      <c r="C7" s="296" t="s">
        <v>190</v>
      </c>
      <c r="D7" s="296" t="s">
        <v>991</v>
      </c>
      <c r="E7" s="296" t="s">
        <v>190</v>
      </c>
      <c r="F7" s="296" t="s">
        <v>992</v>
      </c>
      <c r="G7" s="296" t="s">
        <v>192</v>
      </c>
      <c r="H7" s="296" t="s">
        <v>190</v>
      </c>
      <c r="I7" s="296" t="s">
        <v>193</v>
      </c>
    </row>
    <row r="8" spans="1:9" customFormat="1" ht="20.149999999999999" customHeight="1" x14ac:dyDescent="0.35">
      <c r="A8" s="289">
        <v>3</v>
      </c>
      <c r="B8" s="290" t="s">
        <v>993</v>
      </c>
      <c r="C8" s="292" t="s">
        <v>242</v>
      </c>
      <c r="D8" s="292" t="s">
        <v>242</v>
      </c>
      <c r="E8" s="292" t="s">
        <v>242</v>
      </c>
      <c r="F8" s="292" t="s">
        <v>242</v>
      </c>
      <c r="G8" s="292" t="s">
        <v>242</v>
      </c>
      <c r="H8" s="292" t="s">
        <v>242</v>
      </c>
      <c r="I8" s="292" t="s">
        <v>242</v>
      </c>
    </row>
    <row r="9" spans="1:9" customFormat="1" ht="20.149999999999999" customHeight="1" x14ac:dyDescent="0.35">
      <c r="A9" s="289">
        <v>4</v>
      </c>
      <c r="B9" s="290" t="s">
        <v>261</v>
      </c>
      <c r="C9" s="290">
        <f>data!C59</f>
        <v>505</v>
      </c>
      <c r="D9" s="290">
        <f>data!D59</f>
        <v>0</v>
      </c>
      <c r="E9" s="290">
        <f>data!E59</f>
        <v>2638</v>
      </c>
      <c r="F9" s="290">
        <f>data!F59</f>
        <v>0</v>
      </c>
      <c r="G9" s="290">
        <f>data!G59</f>
        <v>0</v>
      </c>
      <c r="H9" s="290">
        <f>data!H59</f>
        <v>0</v>
      </c>
      <c r="I9" s="290">
        <f>data!I59</f>
        <v>0</v>
      </c>
    </row>
    <row r="10" spans="1:9" customFormat="1" ht="20.149999999999999" customHeight="1" x14ac:dyDescent="0.35">
      <c r="A10" s="289">
        <v>5</v>
      </c>
      <c r="B10" s="290" t="s">
        <v>262</v>
      </c>
      <c r="C10" s="297">
        <f>data!C60</f>
        <v>16.57</v>
      </c>
      <c r="D10" s="297">
        <f>data!D60</f>
        <v>0</v>
      </c>
      <c r="E10" s="297">
        <f>data!E60</f>
        <v>14.91</v>
      </c>
      <c r="F10" s="297">
        <f>data!F60</f>
        <v>0</v>
      </c>
      <c r="G10" s="297">
        <f>data!G60</f>
        <v>0</v>
      </c>
      <c r="H10" s="297">
        <f>data!H60</f>
        <v>0</v>
      </c>
      <c r="I10" s="297">
        <f>data!I60</f>
        <v>0</v>
      </c>
    </row>
    <row r="11" spans="1:9" customFormat="1" ht="20.149999999999999" customHeight="1" x14ac:dyDescent="0.35">
      <c r="A11" s="289">
        <v>6</v>
      </c>
      <c r="B11" s="290" t="s">
        <v>263</v>
      </c>
      <c r="C11" s="290">
        <f>data!C61</f>
        <v>1701327</v>
      </c>
      <c r="D11" s="290">
        <f>data!D61</f>
        <v>0</v>
      </c>
      <c r="E11" s="290">
        <f>data!E61</f>
        <v>1386387</v>
      </c>
      <c r="F11" s="290">
        <f>data!F61</f>
        <v>0</v>
      </c>
      <c r="G11" s="290">
        <f>data!G61</f>
        <v>0</v>
      </c>
      <c r="H11" s="290">
        <f>data!H61</f>
        <v>0</v>
      </c>
      <c r="I11" s="290">
        <f>data!I61</f>
        <v>0</v>
      </c>
    </row>
    <row r="12" spans="1:9" customFormat="1" ht="20.149999999999999" customHeight="1" x14ac:dyDescent="0.35">
      <c r="A12" s="289">
        <v>7</v>
      </c>
      <c r="B12" s="290" t="s">
        <v>11</v>
      </c>
      <c r="C12" s="290">
        <f>data!C62</f>
        <v>427565</v>
      </c>
      <c r="D12" s="290">
        <f>data!D62</f>
        <v>0</v>
      </c>
      <c r="E12" s="290">
        <f>data!E62</f>
        <v>348417</v>
      </c>
      <c r="F12" s="290">
        <f>data!F62</f>
        <v>0</v>
      </c>
      <c r="G12" s="290">
        <f>data!G62</f>
        <v>0</v>
      </c>
      <c r="H12" s="290">
        <f>data!H62</f>
        <v>0</v>
      </c>
      <c r="I12" s="290">
        <f>data!I62</f>
        <v>0</v>
      </c>
    </row>
    <row r="13" spans="1:9" customFormat="1" ht="20.149999999999999" customHeight="1" x14ac:dyDescent="0.35">
      <c r="A13" s="289">
        <v>8</v>
      </c>
      <c r="B13" s="290" t="s">
        <v>264</v>
      </c>
      <c r="C13" s="290">
        <f>data!C63</f>
        <v>0</v>
      </c>
      <c r="D13" s="290">
        <f>data!D63</f>
        <v>0</v>
      </c>
      <c r="E13" s="290">
        <f>data!E63</f>
        <v>591662</v>
      </c>
      <c r="F13" s="290">
        <f>data!F63</f>
        <v>0</v>
      </c>
      <c r="G13" s="290">
        <f>data!G63</f>
        <v>0</v>
      </c>
      <c r="H13" s="290">
        <f>data!H63</f>
        <v>0</v>
      </c>
      <c r="I13" s="290">
        <f>data!I63</f>
        <v>0</v>
      </c>
    </row>
    <row r="14" spans="1:9" customFormat="1" ht="20.149999999999999" customHeight="1" x14ac:dyDescent="0.35">
      <c r="A14" s="289">
        <v>9</v>
      </c>
      <c r="B14" s="290" t="s">
        <v>265</v>
      </c>
      <c r="C14" s="290">
        <f>data!C64</f>
        <v>85017</v>
      </c>
      <c r="D14" s="290">
        <f>data!D64</f>
        <v>0</v>
      </c>
      <c r="E14" s="290">
        <f>data!E64</f>
        <v>95311</v>
      </c>
      <c r="F14" s="290">
        <f>data!F64</f>
        <v>0</v>
      </c>
      <c r="G14" s="290">
        <f>data!G64</f>
        <v>0</v>
      </c>
      <c r="H14" s="290">
        <f>data!H64</f>
        <v>0</v>
      </c>
      <c r="I14" s="290">
        <f>data!I64</f>
        <v>0</v>
      </c>
    </row>
    <row r="15" spans="1:9" customFormat="1" ht="20.149999999999999" customHeight="1" x14ac:dyDescent="0.35">
      <c r="A15" s="289">
        <v>10</v>
      </c>
      <c r="B15" s="290" t="s">
        <v>524</v>
      </c>
      <c r="C15" s="290">
        <f>data!C65</f>
        <v>0</v>
      </c>
      <c r="D15" s="290">
        <f>data!D65</f>
        <v>0</v>
      </c>
      <c r="E15" s="290">
        <f>data!E65</f>
        <v>0</v>
      </c>
      <c r="F15" s="290">
        <f>data!F65</f>
        <v>0</v>
      </c>
      <c r="G15" s="290">
        <f>data!G65</f>
        <v>0</v>
      </c>
      <c r="H15" s="290">
        <f>data!H65</f>
        <v>0</v>
      </c>
      <c r="I15" s="290">
        <f>data!I65</f>
        <v>0</v>
      </c>
    </row>
    <row r="16" spans="1:9" customFormat="1" ht="20.149999999999999" customHeight="1" x14ac:dyDescent="0.35">
      <c r="A16" s="289">
        <v>11</v>
      </c>
      <c r="B16" s="290" t="s">
        <v>525</v>
      </c>
      <c r="C16" s="290">
        <f>data!C66</f>
        <v>186946</v>
      </c>
      <c r="D16" s="290">
        <f>data!D66</f>
        <v>0</v>
      </c>
      <c r="E16" s="290">
        <f>data!E66</f>
        <v>422996</v>
      </c>
      <c r="F16" s="290">
        <f>data!F66</f>
        <v>0</v>
      </c>
      <c r="G16" s="290">
        <f>data!G66</f>
        <v>0</v>
      </c>
      <c r="H16" s="290">
        <f>data!H66</f>
        <v>0</v>
      </c>
      <c r="I16" s="290">
        <f>data!I66</f>
        <v>0</v>
      </c>
    </row>
    <row r="17" spans="1:9" customFormat="1" ht="20.149999999999999" customHeight="1" x14ac:dyDescent="0.35">
      <c r="A17" s="289">
        <v>12</v>
      </c>
      <c r="B17" s="290" t="s">
        <v>16</v>
      </c>
      <c r="C17" s="290">
        <f>data!C67</f>
        <v>143165</v>
      </c>
      <c r="D17" s="290">
        <f>data!D67</f>
        <v>0</v>
      </c>
      <c r="E17" s="290">
        <f>data!E67</f>
        <v>409232</v>
      </c>
      <c r="F17" s="290">
        <f>data!F67</f>
        <v>0</v>
      </c>
      <c r="G17" s="290">
        <f>data!G67</f>
        <v>0</v>
      </c>
      <c r="H17" s="290">
        <f>data!H67</f>
        <v>0</v>
      </c>
      <c r="I17" s="290">
        <f>data!I67</f>
        <v>0</v>
      </c>
    </row>
    <row r="18" spans="1:9" customFormat="1" ht="20.149999999999999" customHeight="1" x14ac:dyDescent="0.35">
      <c r="A18" s="289">
        <v>13</v>
      </c>
      <c r="B18" s="290" t="s">
        <v>994</v>
      </c>
      <c r="C18" s="290">
        <f>data!C68</f>
        <v>0</v>
      </c>
      <c r="D18" s="290">
        <f>data!D68</f>
        <v>0</v>
      </c>
      <c r="E18" s="290">
        <f>data!E68</f>
        <v>0</v>
      </c>
      <c r="F18" s="290">
        <f>data!F68</f>
        <v>0</v>
      </c>
      <c r="G18" s="290">
        <f>data!G68</f>
        <v>0</v>
      </c>
      <c r="H18" s="290">
        <f>data!H68</f>
        <v>0</v>
      </c>
      <c r="I18" s="290">
        <f>data!I68</f>
        <v>0</v>
      </c>
    </row>
    <row r="19" spans="1:9" customFormat="1" ht="20.149999999999999" customHeight="1" x14ac:dyDescent="0.35">
      <c r="A19" s="289">
        <v>14</v>
      </c>
      <c r="B19" s="290" t="s">
        <v>995</v>
      </c>
      <c r="C19" s="290">
        <f>data!C69</f>
        <v>3948</v>
      </c>
      <c r="D19" s="290">
        <f>data!D69</f>
        <v>0</v>
      </c>
      <c r="E19" s="290">
        <f>data!E69</f>
        <v>39940</v>
      </c>
      <c r="F19" s="290">
        <f>data!F69</f>
        <v>0</v>
      </c>
      <c r="G19" s="290">
        <f>data!G69</f>
        <v>0</v>
      </c>
      <c r="H19" s="290">
        <f>data!H69</f>
        <v>0</v>
      </c>
      <c r="I19" s="290">
        <f>data!I69</f>
        <v>0</v>
      </c>
    </row>
    <row r="20" spans="1:9" customFormat="1" ht="20.149999999999999" customHeight="1" x14ac:dyDescent="0.35">
      <c r="A20" s="289">
        <v>15</v>
      </c>
      <c r="B20" s="290" t="s">
        <v>284</v>
      </c>
      <c r="C20" s="290">
        <f>-data!C84</f>
        <v>0</v>
      </c>
      <c r="D20" s="290">
        <f>-data!D84</f>
        <v>0</v>
      </c>
      <c r="E20" s="290">
        <f>-data!E84</f>
        <v>0</v>
      </c>
      <c r="F20" s="290">
        <f>-data!F84</f>
        <v>0</v>
      </c>
      <c r="G20" s="290">
        <f>-data!G84</f>
        <v>0</v>
      </c>
      <c r="H20" s="290">
        <f>-data!H84</f>
        <v>0</v>
      </c>
      <c r="I20" s="290">
        <f>-data!I84</f>
        <v>0</v>
      </c>
    </row>
    <row r="21" spans="1:9" customFormat="1" ht="20.149999999999999" customHeight="1" x14ac:dyDescent="0.35">
      <c r="A21" s="289">
        <v>16</v>
      </c>
      <c r="B21" s="298" t="s">
        <v>996</v>
      </c>
      <c r="C21" s="290">
        <f>data!C85</f>
        <v>2547968</v>
      </c>
      <c r="D21" s="290">
        <f>data!D85</f>
        <v>0</v>
      </c>
      <c r="E21" s="290">
        <f>data!E85</f>
        <v>3293945</v>
      </c>
      <c r="F21" s="290">
        <f>data!F85</f>
        <v>0</v>
      </c>
      <c r="G21" s="290">
        <f>data!G85</f>
        <v>0</v>
      </c>
      <c r="H21" s="290">
        <f>data!H85</f>
        <v>0</v>
      </c>
      <c r="I21" s="290">
        <f>data!I85</f>
        <v>0</v>
      </c>
    </row>
    <row r="22" spans="1:9" customFormat="1" ht="20.149999999999999" customHeight="1" x14ac:dyDescent="0.35">
      <c r="A22" s="289">
        <v>17</v>
      </c>
      <c r="B22" s="290" t="s">
        <v>286</v>
      </c>
      <c r="C22" s="299"/>
      <c r="D22" s="300"/>
      <c r="E22" s="300"/>
      <c r="F22" s="300"/>
      <c r="G22" s="300"/>
      <c r="H22" s="300"/>
      <c r="I22" s="300"/>
    </row>
    <row r="23" spans="1:9" customFormat="1" ht="20.149999999999999" customHeight="1" x14ac:dyDescent="0.35">
      <c r="A23" s="289">
        <v>18</v>
      </c>
      <c r="B23" s="290" t="s">
        <v>997</v>
      </c>
      <c r="C23" s="298">
        <f>+data!M668</f>
        <v>1106951</v>
      </c>
      <c r="D23" s="298">
        <f>+data!M669</f>
        <v>0</v>
      </c>
      <c r="E23" s="298">
        <f>+data!M670</f>
        <v>2222408</v>
      </c>
      <c r="F23" s="298">
        <f>+data!M671</f>
        <v>0</v>
      </c>
      <c r="G23" s="298">
        <f>+data!M672</f>
        <v>0</v>
      </c>
      <c r="H23" s="298">
        <f>+data!M673</f>
        <v>0</v>
      </c>
      <c r="I23" s="298">
        <f>+data!M674</f>
        <v>0</v>
      </c>
    </row>
    <row r="24" spans="1:9" customFormat="1" ht="20.149999999999999" customHeight="1" x14ac:dyDescent="0.35">
      <c r="A24" s="289">
        <v>19</v>
      </c>
      <c r="B24" s="298" t="s">
        <v>998</v>
      </c>
      <c r="C24" s="290">
        <f>data!C87</f>
        <v>1713113</v>
      </c>
      <c r="D24" s="290">
        <f>data!D87</f>
        <v>0</v>
      </c>
      <c r="E24" s="290">
        <f>data!E87</f>
        <v>5742184</v>
      </c>
      <c r="F24" s="290">
        <f>data!F87</f>
        <v>0</v>
      </c>
      <c r="G24" s="290">
        <f>data!G87</f>
        <v>0</v>
      </c>
      <c r="H24" s="290">
        <f>data!H87</f>
        <v>0</v>
      </c>
      <c r="I24" s="290">
        <f>data!I87</f>
        <v>0</v>
      </c>
    </row>
    <row r="25" spans="1:9" customFormat="1" ht="20.149999999999999" customHeight="1" x14ac:dyDescent="0.35">
      <c r="A25" s="289">
        <v>20</v>
      </c>
      <c r="B25" s="298" t="s">
        <v>999</v>
      </c>
      <c r="C25" s="290">
        <f>data!C88</f>
        <v>-10007</v>
      </c>
      <c r="D25" s="290">
        <f>data!D88</f>
        <v>0</v>
      </c>
      <c r="E25" s="290">
        <f>data!E88</f>
        <v>136397</v>
      </c>
      <c r="F25" s="290">
        <f>data!F88</f>
        <v>0</v>
      </c>
      <c r="G25" s="290">
        <f>data!G88</f>
        <v>0</v>
      </c>
      <c r="H25" s="290">
        <f>data!H88</f>
        <v>0</v>
      </c>
      <c r="I25" s="290">
        <f>data!I88</f>
        <v>0</v>
      </c>
    </row>
    <row r="26" spans="1:9" customFormat="1" ht="18" customHeight="1" x14ac:dyDescent="0.35">
      <c r="A26" s="289">
        <v>21</v>
      </c>
      <c r="B26" s="298" t="s">
        <v>1000</v>
      </c>
      <c r="C26" s="290">
        <f>data!C89</f>
        <v>1703106</v>
      </c>
      <c r="D26" s="290">
        <f>data!D89</f>
        <v>0</v>
      </c>
      <c r="E26" s="290">
        <f>data!E89</f>
        <v>5878581</v>
      </c>
      <c r="F26" s="290">
        <f>data!F89</f>
        <v>0</v>
      </c>
      <c r="G26" s="290">
        <f>data!G89</f>
        <v>0</v>
      </c>
      <c r="H26" s="290">
        <f>data!H89</f>
        <v>0</v>
      </c>
      <c r="I26" s="290">
        <f>data!I89</f>
        <v>0</v>
      </c>
    </row>
    <row r="27" spans="1:9" customFormat="1" ht="20.149999999999999" customHeight="1" x14ac:dyDescent="0.35">
      <c r="A27" s="289" t="s">
        <v>1001</v>
      </c>
      <c r="B27" s="290"/>
      <c r="C27" s="300"/>
      <c r="D27" s="300"/>
      <c r="E27" s="300"/>
      <c r="F27" s="300"/>
      <c r="G27" s="300"/>
      <c r="H27" s="300"/>
      <c r="I27" s="300"/>
    </row>
    <row r="28" spans="1:9" customFormat="1" ht="20.149999999999999" customHeight="1" x14ac:dyDescent="0.35">
      <c r="A28" s="289">
        <v>22</v>
      </c>
      <c r="B28" s="290" t="s">
        <v>1002</v>
      </c>
      <c r="C28" s="290">
        <f>data!C90</f>
        <v>2897</v>
      </c>
      <c r="D28" s="290">
        <f>data!D90</f>
        <v>0</v>
      </c>
      <c r="E28" s="290">
        <f>data!E90</f>
        <v>8281</v>
      </c>
      <c r="F28" s="290">
        <f>data!F90</f>
        <v>0</v>
      </c>
      <c r="G28" s="290">
        <f>data!G90</f>
        <v>0</v>
      </c>
      <c r="H28" s="290">
        <f>data!H90</f>
        <v>0</v>
      </c>
      <c r="I28" s="290">
        <f>data!I90</f>
        <v>0</v>
      </c>
    </row>
    <row r="29" spans="1:9" customFormat="1" ht="20.149999999999999" customHeight="1" x14ac:dyDescent="0.35">
      <c r="A29" s="289">
        <v>23</v>
      </c>
      <c r="B29" s="290" t="s">
        <v>1003</v>
      </c>
      <c r="C29" s="290">
        <f>data!C91</f>
        <v>2382</v>
      </c>
      <c r="D29" s="290">
        <f>data!D91</f>
        <v>0</v>
      </c>
      <c r="E29" s="290">
        <f>data!E91</f>
        <v>6274</v>
      </c>
      <c r="F29" s="290">
        <f>data!F91</f>
        <v>0</v>
      </c>
      <c r="G29" s="290">
        <f>data!G91</f>
        <v>0</v>
      </c>
      <c r="H29" s="290">
        <f>data!H91</f>
        <v>0</v>
      </c>
      <c r="I29" s="290">
        <f>data!I91</f>
        <v>0</v>
      </c>
    </row>
    <row r="30" spans="1:9" customFormat="1" ht="20.149999999999999" customHeight="1" x14ac:dyDescent="0.35">
      <c r="A30" s="289">
        <v>24</v>
      </c>
      <c r="B30" s="290" t="s">
        <v>1004</v>
      </c>
      <c r="C30" s="290">
        <f>data!C92</f>
        <v>2073.0500000000002</v>
      </c>
      <c r="D30" s="290">
        <f>data!D92</f>
        <v>0</v>
      </c>
      <c r="E30" s="290">
        <f>data!E92</f>
        <v>5930</v>
      </c>
      <c r="F30" s="290">
        <f>data!F92</f>
        <v>0</v>
      </c>
      <c r="G30" s="290">
        <f>data!G92</f>
        <v>0</v>
      </c>
      <c r="H30" s="290">
        <f>data!H92</f>
        <v>0</v>
      </c>
      <c r="I30" s="290">
        <f>data!I92</f>
        <v>0</v>
      </c>
    </row>
    <row r="31" spans="1:9" customFormat="1" ht="20.149999999999999" customHeight="1" x14ac:dyDescent="0.35">
      <c r="A31" s="289">
        <v>25</v>
      </c>
      <c r="B31" s="290" t="s">
        <v>1005</v>
      </c>
      <c r="C31" s="290">
        <f>data!C93</f>
        <v>20959</v>
      </c>
      <c r="D31" s="290">
        <f>data!D93</f>
        <v>0</v>
      </c>
      <c r="E31" s="290">
        <f>data!E93</f>
        <v>53834</v>
      </c>
      <c r="F31" s="290">
        <f>data!F93</f>
        <v>0</v>
      </c>
      <c r="G31" s="290">
        <f>data!G93</f>
        <v>0</v>
      </c>
      <c r="H31" s="290">
        <f>data!H93</f>
        <v>0</v>
      </c>
      <c r="I31" s="290">
        <f>data!I93</f>
        <v>0</v>
      </c>
    </row>
    <row r="32" spans="1:9" customFormat="1" ht="20.149999999999999" customHeight="1" x14ac:dyDescent="0.35">
      <c r="A32" s="289">
        <v>26</v>
      </c>
      <c r="B32" s="290" t="s">
        <v>294</v>
      </c>
      <c r="C32" s="297">
        <f>data!C94</f>
        <v>16.45</v>
      </c>
      <c r="D32" s="297">
        <f>data!D94</f>
        <v>0</v>
      </c>
      <c r="E32" s="297">
        <f>data!E94</f>
        <v>14.87</v>
      </c>
      <c r="F32" s="297">
        <f>data!F94</f>
        <v>0</v>
      </c>
      <c r="G32" s="297">
        <f>data!G94</f>
        <v>0</v>
      </c>
      <c r="H32" s="297">
        <f>data!H94</f>
        <v>0</v>
      </c>
      <c r="I32" s="297">
        <f>data!I94</f>
        <v>0</v>
      </c>
    </row>
    <row r="33" spans="1:9" customFormat="1" ht="20.149999999999999" customHeight="1" x14ac:dyDescent="0.35">
      <c r="A33" s="283" t="s">
        <v>987</v>
      </c>
      <c r="B33" s="284"/>
      <c r="C33" s="284"/>
      <c r="D33" s="284"/>
      <c r="E33" s="284"/>
      <c r="F33" s="284"/>
      <c r="G33" s="284"/>
      <c r="H33" s="284"/>
      <c r="I33" s="283"/>
    </row>
    <row r="34" spans="1:9" customFormat="1" ht="20.149999999999999" customHeight="1" x14ac:dyDescent="0.35">
      <c r="A34" s="285"/>
      <c r="I34" s="286" t="s">
        <v>1006</v>
      </c>
    </row>
    <row r="35" spans="1:9" customFormat="1" ht="20.149999999999999" customHeight="1" x14ac:dyDescent="0.35">
      <c r="A35" s="285"/>
      <c r="I35" s="285"/>
    </row>
    <row r="36" spans="1:9" customFormat="1" ht="20.149999999999999" customHeight="1" x14ac:dyDescent="0.35">
      <c r="A36" s="287" t="str">
        <f>"Hospital: "&amp;data!C98</f>
        <v>Hospital: Kittitas Valley Healthcare</v>
      </c>
      <c r="G36" s="288"/>
      <c r="H36" s="287" t="str">
        <f>"FYE: "&amp;data!C96</f>
        <v>FYE: 12/31/2023</v>
      </c>
    </row>
    <row r="37" spans="1:9" customFormat="1" ht="20.149999999999999" customHeight="1" x14ac:dyDescent="0.35">
      <c r="A37" s="289">
        <v>1</v>
      </c>
      <c r="B37" s="290" t="s">
        <v>236</v>
      </c>
      <c r="C37" s="292" t="s">
        <v>43</v>
      </c>
      <c r="D37" s="292" t="s">
        <v>44</v>
      </c>
      <c r="E37" s="292" t="s">
        <v>45</v>
      </c>
      <c r="F37" s="292" t="s">
        <v>46</v>
      </c>
      <c r="G37" s="292" t="s">
        <v>47</v>
      </c>
      <c r="H37" s="292" t="s">
        <v>48</v>
      </c>
      <c r="I37" s="292" t="s">
        <v>49</v>
      </c>
    </row>
    <row r="38" spans="1:9" customFormat="1" ht="20.149999999999999" customHeight="1" x14ac:dyDescent="0.35">
      <c r="A38" s="293">
        <v>2</v>
      </c>
      <c r="B38" s="294" t="s">
        <v>989</v>
      </c>
      <c r="C38" s="296"/>
      <c r="D38" s="296" t="s">
        <v>126</v>
      </c>
      <c r="E38" s="296" t="s">
        <v>127</v>
      </c>
      <c r="F38" s="296" t="s">
        <v>1007</v>
      </c>
      <c r="G38" s="296" t="s">
        <v>129</v>
      </c>
      <c r="H38" s="296" t="s">
        <v>1008</v>
      </c>
      <c r="I38" s="296" t="s">
        <v>131</v>
      </c>
    </row>
    <row r="39" spans="1:9" customFormat="1" ht="20.149999999999999" customHeight="1" x14ac:dyDescent="0.35">
      <c r="A39" s="293"/>
      <c r="B39" s="294"/>
      <c r="C39" s="296" t="s">
        <v>125</v>
      </c>
      <c r="D39" s="296" t="s">
        <v>184</v>
      </c>
      <c r="E39" s="295" t="s">
        <v>194</v>
      </c>
      <c r="F39" s="296" t="s">
        <v>195</v>
      </c>
      <c r="G39" s="296" t="s">
        <v>196</v>
      </c>
      <c r="H39" s="296" t="s">
        <v>197</v>
      </c>
      <c r="I39" s="296" t="s">
        <v>196</v>
      </c>
    </row>
    <row r="40" spans="1:9" customFormat="1" ht="20.149999999999999" customHeight="1" x14ac:dyDescent="0.35">
      <c r="A40" s="289">
        <v>3</v>
      </c>
      <c r="B40" s="290" t="s">
        <v>993</v>
      </c>
      <c r="C40" s="292" t="s">
        <v>243</v>
      </c>
      <c r="D40" s="292" t="s">
        <v>242</v>
      </c>
      <c r="E40" s="292" t="s">
        <v>242</v>
      </c>
      <c r="F40" s="292" t="s">
        <v>242</v>
      </c>
      <c r="G40" s="292" t="s">
        <v>242</v>
      </c>
      <c r="H40" s="292" t="s">
        <v>244</v>
      </c>
      <c r="I40" s="291" t="s">
        <v>245</v>
      </c>
    </row>
    <row r="41" spans="1:9" customFormat="1" ht="20.149999999999999" customHeight="1" x14ac:dyDescent="0.35">
      <c r="A41" s="289">
        <v>4</v>
      </c>
      <c r="B41" s="290" t="s">
        <v>261</v>
      </c>
      <c r="C41" s="290">
        <f>data!J59</f>
        <v>369</v>
      </c>
      <c r="D41" s="290">
        <f>data!K59</f>
        <v>0</v>
      </c>
      <c r="E41" s="290">
        <f>data!L59</f>
        <v>62</v>
      </c>
      <c r="F41" s="290">
        <f>data!M59</f>
        <v>0</v>
      </c>
      <c r="G41" s="290">
        <f>data!N59</f>
        <v>0</v>
      </c>
      <c r="H41" s="290">
        <f>data!O59</f>
        <v>226</v>
      </c>
      <c r="I41" s="290">
        <f>data!P59</f>
        <v>137850</v>
      </c>
    </row>
    <row r="42" spans="1:9" customFormat="1" ht="20.149999999999999" customHeight="1" x14ac:dyDescent="0.35">
      <c r="A42" s="289">
        <v>5</v>
      </c>
      <c r="B42" s="290" t="s">
        <v>262</v>
      </c>
      <c r="C42" s="297">
        <f>data!J60</f>
        <v>2.6</v>
      </c>
      <c r="D42" s="297">
        <f>data!K60</f>
        <v>0</v>
      </c>
      <c r="E42" s="297">
        <f>data!L60</f>
        <v>0.35</v>
      </c>
      <c r="F42" s="297">
        <f>data!M60</f>
        <v>0</v>
      </c>
      <c r="G42" s="297">
        <f>data!N60</f>
        <v>0</v>
      </c>
      <c r="H42" s="297">
        <f>data!O60</f>
        <v>13.91</v>
      </c>
      <c r="I42" s="297">
        <f>data!P60</f>
        <v>10.48</v>
      </c>
    </row>
    <row r="43" spans="1:9" customFormat="1" ht="20.149999999999999" customHeight="1" x14ac:dyDescent="0.35">
      <c r="A43" s="289">
        <v>6</v>
      </c>
      <c r="B43" s="290" t="s">
        <v>263</v>
      </c>
      <c r="C43" s="290">
        <f>data!J61</f>
        <v>309842</v>
      </c>
      <c r="D43" s="290">
        <f>data!K61</f>
        <v>0</v>
      </c>
      <c r="E43" s="290">
        <f>data!L61</f>
        <v>32584</v>
      </c>
      <c r="F43" s="290">
        <f>data!M61</f>
        <v>0</v>
      </c>
      <c r="G43" s="290">
        <f>data!N61</f>
        <v>0</v>
      </c>
      <c r="H43" s="290">
        <f>data!O61</f>
        <v>1659559</v>
      </c>
      <c r="I43" s="290">
        <f>data!P61</f>
        <v>891352</v>
      </c>
    </row>
    <row r="44" spans="1:9" customFormat="1" ht="20.149999999999999" customHeight="1" x14ac:dyDescent="0.35">
      <c r="A44" s="289">
        <v>7</v>
      </c>
      <c r="B44" s="290" t="s">
        <v>11</v>
      </c>
      <c r="C44" s="290">
        <f>data!J62</f>
        <v>77867</v>
      </c>
      <c r="D44" s="290">
        <f>data!K62</f>
        <v>0</v>
      </c>
      <c r="E44" s="290">
        <f>data!L62</f>
        <v>8189</v>
      </c>
      <c r="F44" s="290">
        <f>data!M62</f>
        <v>0</v>
      </c>
      <c r="G44" s="290">
        <f>data!N62</f>
        <v>0</v>
      </c>
      <c r="H44" s="290">
        <f>data!O62</f>
        <v>417068</v>
      </c>
      <c r="I44" s="290">
        <f>data!P62</f>
        <v>224008</v>
      </c>
    </row>
    <row r="45" spans="1:9" customFormat="1" ht="20.149999999999999" customHeight="1" x14ac:dyDescent="0.35">
      <c r="A45" s="289">
        <v>8</v>
      </c>
      <c r="B45" s="290" t="s">
        <v>264</v>
      </c>
      <c r="C45" s="290">
        <f>data!J63</f>
        <v>0</v>
      </c>
      <c r="D45" s="290">
        <f>data!K63</f>
        <v>0</v>
      </c>
      <c r="E45" s="290">
        <f>data!L63</f>
        <v>13906</v>
      </c>
      <c r="F45" s="290">
        <f>data!M63</f>
        <v>0</v>
      </c>
      <c r="G45" s="290">
        <f>data!N63</f>
        <v>0</v>
      </c>
      <c r="H45" s="290">
        <f>data!O63</f>
        <v>0</v>
      </c>
      <c r="I45" s="290">
        <f>data!P63</f>
        <v>0</v>
      </c>
    </row>
    <row r="46" spans="1:9" customFormat="1" ht="20.149999999999999" customHeight="1" x14ac:dyDescent="0.35">
      <c r="A46" s="289">
        <v>9</v>
      </c>
      <c r="B46" s="290" t="s">
        <v>265</v>
      </c>
      <c r="C46" s="290">
        <f>data!J64</f>
        <v>21735</v>
      </c>
      <c r="D46" s="290">
        <f>data!K64</f>
        <v>0</v>
      </c>
      <c r="E46" s="290">
        <f>data!L64</f>
        <v>2240</v>
      </c>
      <c r="F46" s="290">
        <f>data!M64</f>
        <v>0</v>
      </c>
      <c r="G46" s="290">
        <f>data!N64</f>
        <v>0</v>
      </c>
      <c r="H46" s="290">
        <f>data!O64</f>
        <v>116415</v>
      </c>
      <c r="I46" s="290">
        <f>data!P64</f>
        <v>5593495</v>
      </c>
    </row>
    <row r="47" spans="1:9" customFormat="1" ht="20.149999999999999" customHeight="1" x14ac:dyDescent="0.35">
      <c r="A47" s="289">
        <v>10</v>
      </c>
      <c r="B47" s="290" t="s">
        <v>524</v>
      </c>
      <c r="C47" s="290">
        <f>data!J65</f>
        <v>0</v>
      </c>
      <c r="D47" s="290">
        <f>data!K65</f>
        <v>0</v>
      </c>
      <c r="E47" s="290">
        <f>data!L65</f>
        <v>0</v>
      </c>
      <c r="F47" s="290">
        <f>data!M65</f>
        <v>0</v>
      </c>
      <c r="G47" s="290">
        <f>data!N65</f>
        <v>0</v>
      </c>
      <c r="H47" s="290">
        <f>data!O65</f>
        <v>0</v>
      </c>
      <c r="I47" s="290">
        <f>data!P65</f>
        <v>2919</v>
      </c>
    </row>
    <row r="48" spans="1:9" customFormat="1" ht="20.149999999999999" customHeight="1" x14ac:dyDescent="0.35">
      <c r="A48" s="289">
        <v>11</v>
      </c>
      <c r="B48" s="290" t="s">
        <v>525</v>
      </c>
      <c r="C48" s="290">
        <f>data!J66</f>
        <v>29199</v>
      </c>
      <c r="D48" s="290">
        <f>data!K66</f>
        <v>0</v>
      </c>
      <c r="E48" s="290">
        <f>data!L66</f>
        <v>9942</v>
      </c>
      <c r="F48" s="290">
        <f>data!M66</f>
        <v>0</v>
      </c>
      <c r="G48" s="290">
        <f>data!N66</f>
        <v>0</v>
      </c>
      <c r="H48" s="290">
        <f>data!O66</f>
        <v>156397</v>
      </c>
      <c r="I48" s="290">
        <f>data!P66</f>
        <v>745700</v>
      </c>
    </row>
    <row r="49" spans="1:11" customFormat="1" ht="20.149999999999999" customHeight="1" x14ac:dyDescent="0.35">
      <c r="A49" s="289">
        <v>12</v>
      </c>
      <c r="B49" s="290" t="s">
        <v>16</v>
      </c>
      <c r="C49" s="290">
        <f>data!J67</f>
        <v>12453</v>
      </c>
      <c r="D49" s="290">
        <f>data!K67</f>
        <v>0</v>
      </c>
      <c r="E49" s="290">
        <f>data!L67</f>
        <v>9637</v>
      </c>
      <c r="F49" s="290">
        <f>data!M67</f>
        <v>0</v>
      </c>
      <c r="G49" s="290">
        <f>data!N67</f>
        <v>0</v>
      </c>
      <c r="H49" s="290">
        <f>data!O67</f>
        <v>141435</v>
      </c>
      <c r="I49" s="290">
        <f>data!P67</f>
        <v>549876</v>
      </c>
    </row>
    <row r="50" spans="1:11" customFormat="1" ht="20.149999999999999" customHeight="1" x14ac:dyDescent="0.35">
      <c r="A50" s="289">
        <v>13</v>
      </c>
      <c r="B50" s="290" t="s">
        <v>994</v>
      </c>
      <c r="C50" s="290">
        <f>data!J68</f>
        <v>0</v>
      </c>
      <c r="D50" s="290">
        <f>data!K68</f>
        <v>0</v>
      </c>
      <c r="E50" s="290">
        <f>data!L68</f>
        <v>0</v>
      </c>
      <c r="F50" s="290">
        <f>data!M68</f>
        <v>0</v>
      </c>
      <c r="G50" s="290">
        <f>data!N68</f>
        <v>0</v>
      </c>
      <c r="H50" s="290">
        <f>data!O68</f>
        <v>0</v>
      </c>
      <c r="I50" s="290">
        <f>data!P68</f>
        <v>14161</v>
      </c>
    </row>
    <row r="51" spans="1:11" customFormat="1" ht="20.149999999999999" customHeight="1" x14ac:dyDescent="0.35">
      <c r="A51" s="289">
        <v>14</v>
      </c>
      <c r="B51" s="290" t="s">
        <v>995</v>
      </c>
      <c r="C51" s="290">
        <f>data!J69</f>
        <v>2071</v>
      </c>
      <c r="D51" s="290">
        <f>data!K69</f>
        <v>0</v>
      </c>
      <c r="E51" s="290">
        <f>data!L69</f>
        <v>392</v>
      </c>
      <c r="F51" s="290">
        <f>data!M69</f>
        <v>0</v>
      </c>
      <c r="G51" s="290">
        <f>data!N69</f>
        <v>0</v>
      </c>
      <c r="H51" s="290">
        <f>data!O69</f>
        <v>16175</v>
      </c>
      <c r="I51" s="290">
        <f>data!P69</f>
        <v>151413</v>
      </c>
    </row>
    <row r="52" spans="1:11" customFormat="1" ht="20.149999999999999" customHeight="1" x14ac:dyDescent="0.35">
      <c r="A52" s="289">
        <v>15</v>
      </c>
      <c r="B52" s="290" t="s">
        <v>284</v>
      </c>
      <c r="C52" s="290">
        <f>-data!J84</f>
        <v>0</v>
      </c>
      <c r="D52" s="290">
        <f>-data!K84</f>
        <v>0</v>
      </c>
      <c r="E52" s="290">
        <f>-data!L84</f>
        <v>0</v>
      </c>
      <c r="F52" s="290">
        <f>-data!M84</f>
        <v>0</v>
      </c>
      <c r="G52" s="290">
        <f>-data!N84</f>
        <v>0</v>
      </c>
      <c r="H52" s="290">
        <f>-data!O84</f>
        <v>-2869</v>
      </c>
      <c r="I52" s="290">
        <f>-data!P84</f>
        <v>0</v>
      </c>
    </row>
    <row r="53" spans="1:11" customFormat="1" ht="20.149999999999999" customHeight="1" x14ac:dyDescent="0.35">
      <c r="A53" s="289">
        <v>16</v>
      </c>
      <c r="B53" s="298" t="s">
        <v>996</v>
      </c>
      <c r="C53" s="290">
        <f>data!J85</f>
        <v>453167</v>
      </c>
      <c r="D53" s="290">
        <f>data!K85</f>
        <v>0</v>
      </c>
      <c r="E53" s="290">
        <f>data!L85</f>
        <v>76890</v>
      </c>
      <c r="F53" s="290">
        <f>data!M85</f>
        <v>0</v>
      </c>
      <c r="G53" s="290">
        <f>data!N85</f>
        <v>0</v>
      </c>
      <c r="H53" s="290">
        <f>data!O85</f>
        <v>2504180</v>
      </c>
      <c r="I53" s="290">
        <f>data!P85</f>
        <v>8172924</v>
      </c>
    </row>
    <row r="54" spans="1:11" customFormat="1" ht="20.149999999999999" customHeight="1" x14ac:dyDescent="0.35">
      <c r="A54" s="289">
        <v>17</v>
      </c>
      <c r="B54" s="290" t="s">
        <v>286</v>
      </c>
      <c r="C54" s="300"/>
      <c r="D54" s="300"/>
      <c r="E54" s="300"/>
      <c r="F54" s="300"/>
      <c r="G54" s="300"/>
      <c r="H54" s="300"/>
      <c r="I54" s="300"/>
    </row>
    <row r="55" spans="1:11" customFormat="1" ht="20.149999999999999" customHeight="1" x14ac:dyDescent="0.35">
      <c r="A55" s="289">
        <v>18</v>
      </c>
      <c r="B55" s="290" t="s">
        <v>997</v>
      </c>
      <c r="C55" s="298">
        <f>+data!M675</f>
        <v>154848</v>
      </c>
      <c r="D55" s="298">
        <f>+data!M676</f>
        <v>0</v>
      </c>
      <c r="E55" s="298">
        <f>+data!M677</f>
        <v>52287</v>
      </c>
      <c r="F55" s="298">
        <f>+data!M692</f>
        <v>0</v>
      </c>
      <c r="G55" s="298">
        <f>+data!M679</f>
        <v>0</v>
      </c>
      <c r="H55" s="298">
        <f>+data!M680</f>
        <v>1003654</v>
      </c>
      <c r="I55" s="298">
        <f>+data!M681</f>
        <v>3994115</v>
      </c>
    </row>
    <row r="56" spans="1:11" customFormat="1" ht="20.149999999999999" customHeight="1" x14ac:dyDescent="0.35">
      <c r="A56" s="289">
        <v>19</v>
      </c>
      <c r="B56" s="298" t="s">
        <v>998</v>
      </c>
      <c r="C56" s="290">
        <f>data!J87</f>
        <v>635670</v>
      </c>
      <c r="D56" s="290">
        <f>data!K87</f>
        <v>0</v>
      </c>
      <c r="E56" s="290">
        <f>data!L87</f>
        <v>136397</v>
      </c>
      <c r="F56" s="290">
        <f>data!M87</f>
        <v>0</v>
      </c>
      <c r="G56" s="290">
        <f>data!N87</f>
        <v>0</v>
      </c>
      <c r="H56" s="290">
        <f>data!O87</f>
        <v>1243433</v>
      </c>
      <c r="I56" s="290">
        <f>data!P87</f>
        <v>3480044</v>
      </c>
    </row>
    <row r="57" spans="1:11" customFormat="1" ht="20.149999999999999" customHeight="1" x14ac:dyDescent="0.35">
      <c r="A57" s="289">
        <v>20</v>
      </c>
      <c r="B57" s="298" t="s">
        <v>999</v>
      </c>
      <c r="C57" s="290">
        <f>data!J88</f>
        <v>0</v>
      </c>
      <c r="D57" s="290">
        <f>data!K88</f>
        <v>0</v>
      </c>
      <c r="E57" s="290">
        <f>data!L88</f>
        <v>3206</v>
      </c>
      <c r="F57" s="290">
        <f>data!M88</f>
        <v>0</v>
      </c>
      <c r="G57" s="290">
        <f>data!N88</f>
        <v>0</v>
      </c>
      <c r="H57" s="290">
        <f>data!O88</f>
        <v>490151</v>
      </c>
      <c r="I57" s="290">
        <f>data!P88</f>
        <v>25225404</v>
      </c>
    </row>
    <row r="58" spans="1:11" customFormat="1" ht="20.149999999999999" customHeight="1" x14ac:dyDescent="0.35">
      <c r="A58" s="289">
        <v>21</v>
      </c>
      <c r="B58" s="298" t="s">
        <v>1000</v>
      </c>
      <c r="C58" s="290">
        <f>data!J89</f>
        <v>635670</v>
      </c>
      <c r="D58" s="290">
        <f>data!K89</f>
        <v>0</v>
      </c>
      <c r="E58" s="290">
        <f>data!L89</f>
        <v>139603</v>
      </c>
      <c r="F58" s="290">
        <f>data!M89</f>
        <v>0</v>
      </c>
      <c r="G58" s="290">
        <f>data!N89</f>
        <v>0</v>
      </c>
      <c r="H58" s="290">
        <f>data!O89</f>
        <v>1733584</v>
      </c>
      <c r="I58" s="290">
        <f>data!P89</f>
        <v>28705448</v>
      </c>
    </row>
    <row r="59" spans="1:11" customFormat="1" ht="20.149999999999999" customHeight="1" x14ac:dyDescent="0.35">
      <c r="A59" s="289" t="s">
        <v>1001</v>
      </c>
      <c r="B59" s="290"/>
      <c r="C59" s="300"/>
      <c r="D59" s="300"/>
      <c r="E59" s="300"/>
      <c r="F59" s="300"/>
      <c r="G59" s="300"/>
      <c r="H59" s="300"/>
      <c r="I59" s="300"/>
    </row>
    <row r="60" spans="1:11" customFormat="1" ht="20.149999999999999" customHeight="1" x14ac:dyDescent="0.35">
      <c r="A60" s="289">
        <v>22</v>
      </c>
      <c r="B60" s="290" t="s">
        <v>1002</v>
      </c>
      <c r="C60" s="290">
        <f>data!J90</f>
        <v>252</v>
      </c>
      <c r="D60" s="290">
        <f>data!K90</f>
        <v>0</v>
      </c>
      <c r="E60" s="290">
        <f>data!L90</f>
        <v>195</v>
      </c>
      <c r="F60" s="290">
        <f>data!M90</f>
        <v>0</v>
      </c>
      <c r="G60" s="290">
        <f>data!N90</f>
        <v>0</v>
      </c>
      <c r="H60" s="290">
        <f>data!O90</f>
        <v>2862</v>
      </c>
      <c r="I60" s="290">
        <f>data!P90</f>
        <v>11127</v>
      </c>
      <c r="K60" s="301"/>
    </row>
    <row r="61" spans="1:11" customFormat="1" ht="20.149999999999999" customHeight="1" x14ac:dyDescent="0.35">
      <c r="A61" s="289">
        <v>23</v>
      </c>
      <c r="B61" s="290" t="s">
        <v>1003</v>
      </c>
      <c r="C61" s="290">
        <f>data!J91</f>
        <v>0</v>
      </c>
      <c r="D61" s="290">
        <f>data!K91</f>
        <v>0</v>
      </c>
      <c r="E61" s="290">
        <f>data!L91</f>
        <v>147</v>
      </c>
      <c r="F61" s="290">
        <f>data!M91</f>
        <v>0</v>
      </c>
      <c r="G61" s="290">
        <f>data!N91</f>
        <v>0</v>
      </c>
      <c r="H61" s="290">
        <f>data!O91</f>
        <v>1884</v>
      </c>
      <c r="I61" s="290">
        <f>data!P91</f>
        <v>0</v>
      </c>
    </row>
    <row r="62" spans="1:11" customFormat="1" ht="20.149999999999999" customHeight="1" x14ac:dyDescent="0.35">
      <c r="A62" s="289">
        <v>24</v>
      </c>
      <c r="B62" s="290" t="s">
        <v>1004</v>
      </c>
      <c r="C62" s="290">
        <f>data!J92</f>
        <v>180</v>
      </c>
      <c r="D62" s="290">
        <f>data!K92</f>
        <v>0</v>
      </c>
      <c r="E62" s="290">
        <f>data!L92</f>
        <v>139</v>
      </c>
      <c r="F62" s="290">
        <f>data!M92</f>
        <v>0</v>
      </c>
      <c r="G62" s="290">
        <f>data!N92</f>
        <v>0</v>
      </c>
      <c r="H62" s="290">
        <f>data!O92</f>
        <v>2049</v>
      </c>
      <c r="I62" s="290">
        <f>data!P92</f>
        <v>7965.62</v>
      </c>
    </row>
    <row r="63" spans="1:11" customFormat="1" ht="20.149999999999999" customHeight="1" x14ac:dyDescent="0.35">
      <c r="A63" s="289">
        <v>25</v>
      </c>
      <c r="B63" s="290" t="s">
        <v>1005</v>
      </c>
      <c r="C63" s="290">
        <f>data!J93</f>
        <v>3976</v>
      </c>
      <c r="D63" s="290">
        <f>data!K93</f>
        <v>0</v>
      </c>
      <c r="E63" s="290">
        <f>data!L93</f>
        <v>1265</v>
      </c>
      <c r="F63" s="290">
        <f>data!M93</f>
        <v>0</v>
      </c>
      <c r="G63" s="290">
        <f>data!N93</f>
        <v>0</v>
      </c>
      <c r="H63" s="290">
        <f>data!O93</f>
        <v>23857</v>
      </c>
      <c r="I63" s="290">
        <f>data!P93</f>
        <v>60100</v>
      </c>
    </row>
    <row r="64" spans="1:11" customFormat="1" ht="20.149999999999999" customHeight="1" x14ac:dyDescent="0.35">
      <c r="A64" s="289">
        <v>26</v>
      </c>
      <c r="B64" s="290" t="s">
        <v>294</v>
      </c>
      <c r="C64" s="297">
        <f>data!J94</f>
        <v>2.6</v>
      </c>
      <c r="D64" s="297">
        <f>data!K94</f>
        <v>0</v>
      </c>
      <c r="E64" s="297">
        <f>data!L94</f>
        <v>0.35</v>
      </c>
      <c r="F64" s="297">
        <f>data!M94</f>
        <v>0</v>
      </c>
      <c r="G64" s="297">
        <f>data!N94</f>
        <v>0</v>
      </c>
      <c r="H64" s="297">
        <f>data!O94</f>
        <v>13.91</v>
      </c>
      <c r="I64" s="297">
        <f>data!P94</f>
        <v>4.88</v>
      </c>
    </row>
    <row r="65" spans="1:9" customFormat="1" ht="20.149999999999999" customHeight="1" x14ac:dyDescent="0.35">
      <c r="A65" s="283" t="s">
        <v>987</v>
      </c>
      <c r="B65" s="284"/>
      <c r="C65" s="284"/>
      <c r="D65" s="284"/>
      <c r="E65" s="284"/>
      <c r="F65" s="284"/>
      <c r="G65" s="284"/>
      <c r="H65" s="284"/>
      <c r="I65" s="283"/>
    </row>
    <row r="66" spans="1:9" customFormat="1" ht="20.149999999999999" customHeight="1" x14ac:dyDescent="0.35">
      <c r="D66" s="285"/>
      <c r="I66" s="286" t="s">
        <v>1009</v>
      </c>
    </row>
    <row r="67" spans="1:9" customFormat="1" ht="20.149999999999999" customHeight="1" x14ac:dyDescent="0.35">
      <c r="A67" s="285"/>
    </row>
    <row r="68" spans="1:9" customFormat="1" ht="20.149999999999999" customHeight="1" x14ac:dyDescent="0.35">
      <c r="A68" s="287" t="str">
        <f>"Hospital: "&amp;data!C98</f>
        <v>Hospital: Kittitas Valley Healthcare</v>
      </c>
      <c r="G68" s="288"/>
      <c r="H68" s="287" t="str">
        <f>"FYE: "&amp;data!C96</f>
        <v>FYE: 12/31/2023</v>
      </c>
    </row>
    <row r="69" spans="1:9" customFormat="1" ht="20.149999999999999" customHeight="1" x14ac:dyDescent="0.35">
      <c r="A69" s="289">
        <v>1</v>
      </c>
      <c r="B69" s="290" t="s">
        <v>236</v>
      </c>
      <c r="C69" s="292" t="s">
        <v>50</v>
      </c>
      <c r="D69" s="292" t="s">
        <v>51</v>
      </c>
      <c r="E69" s="292" t="s">
        <v>52</v>
      </c>
      <c r="F69" s="292" t="s">
        <v>53</v>
      </c>
      <c r="G69" s="292" t="s">
        <v>54</v>
      </c>
      <c r="H69" s="292" t="s">
        <v>55</v>
      </c>
      <c r="I69" s="292" t="s">
        <v>56</v>
      </c>
    </row>
    <row r="70" spans="1:9" customFormat="1" ht="20.149999999999999" customHeight="1" x14ac:dyDescent="0.35">
      <c r="A70" s="293">
        <v>2</v>
      </c>
      <c r="B70" s="294" t="s">
        <v>989</v>
      </c>
      <c r="C70" s="296" t="s">
        <v>132</v>
      </c>
      <c r="D70" s="296"/>
      <c r="E70" s="296" t="s">
        <v>134</v>
      </c>
      <c r="F70" s="296" t="s">
        <v>135</v>
      </c>
      <c r="G70" s="296"/>
      <c r="H70" s="296" t="s">
        <v>137</v>
      </c>
      <c r="I70" s="296" t="s">
        <v>138</v>
      </c>
    </row>
    <row r="71" spans="1:9" customFormat="1" ht="20.149999999999999" customHeight="1" x14ac:dyDescent="0.35">
      <c r="A71" s="293"/>
      <c r="B71" s="294"/>
      <c r="C71" s="296" t="s">
        <v>198</v>
      </c>
      <c r="D71" s="296" t="s">
        <v>1010</v>
      </c>
      <c r="E71" s="296" t="s">
        <v>196</v>
      </c>
      <c r="F71" s="296" t="s">
        <v>199</v>
      </c>
      <c r="G71" s="296" t="s">
        <v>136</v>
      </c>
      <c r="H71" s="296" t="s">
        <v>200</v>
      </c>
      <c r="I71" s="296" t="s">
        <v>201</v>
      </c>
    </row>
    <row r="72" spans="1:9" customFormat="1" ht="20.149999999999999" customHeight="1" x14ac:dyDescent="0.35">
      <c r="A72" s="289">
        <v>3</v>
      </c>
      <c r="B72" s="290" t="s">
        <v>993</v>
      </c>
      <c r="C72" s="292" t="s">
        <v>1011</v>
      </c>
      <c r="D72" s="291" t="s">
        <v>1012</v>
      </c>
      <c r="E72" s="302"/>
      <c r="F72" s="302"/>
      <c r="G72" s="291" t="s">
        <v>1013</v>
      </c>
      <c r="H72" s="291" t="s">
        <v>1013</v>
      </c>
      <c r="I72" s="292" t="s">
        <v>250</v>
      </c>
    </row>
    <row r="73" spans="1:9" customFormat="1" ht="20.149999999999999" customHeight="1" x14ac:dyDescent="0.35">
      <c r="A73" s="289">
        <v>4</v>
      </c>
      <c r="B73" s="290" t="s">
        <v>261</v>
      </c>
      <c r="C73" s="290">
        <f>data!Q59</f>
        <v>137850</v>
      </c>
      <c r="D73" s="298">
        <f>data!R59</f>
        <v>0</v>
      </c>
      <c r="E73" s="302"/>
      <c r="F73" s="302"/>
      <c r="G73" s="290">
        <f>data!U59</f>
        <v>279343</v>
      </c>
      <c r="H73" s="290">
        <f>data!V59</f>
        <v>0</v>
      </c>
      <c r="I73" s="290">
        <f>data!W59</f>
        <v>2279</v>
      </c>
    </row>
    <row r="74" spans="1:9" customFormat="1" ht="20.149999999999999" customHeight="1" x14ac:dyDescent="0.35">
      <c r="A74" s="289">
        <v>5</v>
      </c>
      <c r="B74" s="290" t="s">
        <v>262</v>
      </c>
      <c r="C74" s="297">
        <f>data!Q60</f>
        <v>20.51</v>
      </c>
      <c r="D74" s="297">
        <f>data!R60</f>
        <v>0</v>
      </c>
      <c r="E74" s="297">
        <f>data!S60</f>
        <v>6.23</v>
      </c>
      <c r="F74" s="297">
        <f>data!T60</f>
        <v>0</v>
      </c>
      <c r="G74" s="297">
        <f>data!U60</f>
        <v>27.76</v>
      </c>
      <c r="H74" s="297">
        <f>data!V60</f>
        <v>0</v>
      </c>
      <c r="I74" s="297">
        <f>data!W60</f>
        <v>1.32</v>
      </c>
    </row>
    <row r="75" spans="1:9" customFormat="1" ht="20.149999999999999" customHeight="1" x14ac:dyDescent="0.35">
      <c r="A75" s="289">
        <v>6</v>
      </c>
      <c r="B75" s="290" t="s">
        <v>263</v>
      </c>
      <c r="C75" s="290">
        <f>data!Q61</f>
        <v>2510195</v>
      </c>
      <c r="D75" s="290">
        <f>data!R61</f>
        <v>0</v>
      </c>
      <c r="E75" s="290">
        <f>data!S61</f>
        <v>351153</v>
      </c>
      <c r="F75" s="290">
        <f>data!T61</f>
        <v>0</v>
      </c>
      <c r="G75" s="290">
        <f>data!U61</f>
        <v>2020713</v>
      </c>
      <c r="H75" s="290">
        <f>data!V61</f>
        <v>0</v>
      </c>
      <c r="I75" s="290">
        <f>data!W61</f>
        <v>160440</v>
      </c>
    </row>
    <row r="76" spans="1:9" customFormat="1" ht="20.149999999999999" customHeight="1" x14ac:dyDescent="0.35">
      <c r="A76" s="289">
        <v>7</v>
      </c>
      <c r="B76" s="290" t="s">
        <v>11</v>
      </c>
      <c r="C76" s="290">
        <f>data!Q62</f>
        <v>630844</v>
      </c>
      <c r="D76" s="290">
        <f>data!R62</f>
        <v>0</v>
      </c>
      <c r="E76" s="290">
        <f>data!S62</f>
        <v>88249</v>
      </c>
      <c r="F76" s="290">
        <f>data!T62</f>
        <v>0</v>
      </c>
      <c r="G76" s="290">
        <f>data!U62</f>
        <v>507831</v>
      </c>
      <c r="H76" s="290">
        <f>data!V62</f>
        <v>0</v>
      </c>
      <c r="I76" s="290">
        <f>data!W62</f>
        <v>40321</v>
      </c>
    </row>
    <row r="77" spans="1:9" customFormat="1" ht="20.149999999999999" customHeight="1" x14ac:dyDescent="0.35">
      <c r="A77" s="289">
        <v>8</v>
      </c>
      <c r="B77" s="290" t="s">
        <v>264</v>
      </c>
      <c r="C77" s="290">
        <f>data!Q63</f>
        <v>805905</v>
      </c>
      <c r="D77" s="290">
        <f>data!R63</f>
        <v>0</v>
      </c>
      <c r="E77" s="290">
        <f>data!S63</f>
        <v>0</v>
      </c>
      <c r="F77" s="290">
        <f>data!T63</f>
        <v>0</v>
      </c>
      <c r="G77" s="290">
        <f>data!U63</f>
        <v>4375</v>
      </c>
      <c r="H77" s="290">
        <f>data!V63</f>
        <v>0</v>
      </c>
      <c r="I77" s="290">
        <f>data!W63</f>
        <v>2500</v>
      </c>
    </row>
    <row r="78" spans="1:9" customFormat="1" ht="20.149999999999999" customHeight="1" x14ac:dyDescent="0.35">
      <c r="A78" s="289">
        <v>9</v>
      </c>
      <c r="B78" s="290" t="s">
        <v>265</v>
      </c>
      <c r="C78" s="290">
        <f>data!Q64</f>
        <v>490006</v>
      </c>
      <c r="D78" s="290">
        <f>data!R64</f>
        <v>0</v>
      </c>
      <c r="E78" s="290">
        <f>data!S64</f>
        <v>183324</v>
      </c>
      <c r="F78" s="290">
        <f>data!T64</f>
        <v>0</v>
      </c>
      <c r="G78" s="290">
        <f>data!U64</f>
        <v>2124985</v>
      </c>
      <c r="H78" s="290">
        <f>data!V64</f>
        <v>0</v>
      </c>
      <c r="I78" s="290">
        <f>data!W64</f>
        <v>14634</v>
      </c>
    </row>
    <row r="79" spans="1:9" customFormat="1" ht="20.149999999999999" customHeight="1" x14ac:dyDescent="0.35">
      <c r="A79" s="289">
        <v>10</v>
      </c>
      <c r="B79" s="290" t="s">
        <v>524</v>
      </c>
      <c r="C79" s="290">
        <f>data!Q65</f>
        <v>3390</v>
      </c>
      <c r="D79" s="290">
        <f>data!R65</f>
        <v>0</v>
      </c>
      <c r="E79" s="290">
        <f>data!S65</f>
        <v>0</v>
      </c>
      <c r="F79" s="290">
        <f>data!T65</f>
        <v>0</v>
      </c>
      <c r="G79" s="290">
        <f>data!U65</f>
        <v>0</v>
      </c>
      <c r="H79" s="290">
        <f>data!V65</f>
        <v>0</v>
      </c>
      <c r="I79" s="290">
        <f>data!W65</f>
        <v>0</v>
      </c>
    </row>
    <row r="80" spans="1:9" customFormat="1" ht="20.149999999999999" customHeight="1" x14ac:dyDescent="0.35">
      <c r="A80" s="289">
        <v>11</v>
      </c>
      <c r="B80" s="290" t="s">
        <v>525</v>
      </c>
      <c r="C80" s="290">
        <f>data!Q66</f>
        <v>142666</v>
      </c>
      <c r="D80" s="290">
        <f>data!R66</f>
        <v>0</v>
      </c>
      <c r="E80" s="290">
        <f>data!S66</f>
        <v>10452</v>
      </c>
      <c r="F80" s="290">
        <f>data!T66</f>
        <v>0</v>
      </c>
      <c r="G80" s="290">
        <f>data!U66</f>
        <v>1262191</v>
      </c>
      <c r="H80" s="290">
        <f>data!V66</f>
        <v>0</v>
      </c>
      <c r="I80" s="290">
        <f>data!W66</f>
        <v>-30000</v>
      </c>
    </row>
    <row r="81" spans="1:9" customFormat="1" ht="20.149999999999999" customHeight="1" x14ac:dyDescent="0.35">
      <c r="A81" s="289">
        <v>12</v>
      </c>
      <c r="B81" s="290" t="s">
        <v>16</v>
      </c>
      <c r="C81" s="290">
        <f>data!Q67</f>
        <v>50011</v>
      </c>
      <c r="D81" s="290">
        <f>data!R67</f>
        <v>0</v>
      </c>
      <c r="E81" s="290">
        <f>data!S67</f>
        <v>0</v>
      </c>
      <c r="F81" s="290">
        <f>data!T67</f>
        <v>0</v>
      </c>
      <c r="G81" s="290">
        <f>data!U67</f>
        <v>199650</v>
      </c>
      <c r="H81" s="290">
        <f>data!V67</f>
        <v>0</v>
      </c>
      <c r="I81" s="290">
        <f>data!W67</f>
        <v>14578</v>
      </c>
    </row>
    <row r="82" spans="1:9" customFormat="1" ht="20.149999999999999" customHeight="1" x14ac:dyDescent="0.35">
      <c r="A82" s="289">
        <v>13</v>
      </c>
      <c r="B82" s="290" t="s">
        <v>994</v>
      </c>
      <c r="C82" s="290">
        <f>data!Q68</f>
        <v>0</v>
      </c>
      <c r="D82" s="290">
        <f>data!R68</f>
        <v>0</v>
      </c>
      <c r="E82" s="290">
        <f>data!S68</f>
        <v>0</v>
      </c>
      <c r="F82" s="290">
        <f>data!T68</f>
        <v>0</v>
      </c>
      <c r="G82" s="290">
        <f>data!U68</f>
        <v>976</v>
      </c>
      <c r="H82" s="290">
        <f>data!V68</f>
        <v>0</v>
      </c>
      <c r="I82" s="290">
        <f>data!W68</f>
        <v>107532</v>
      </c>
    </row>
    <row r="83" spans="1:9" customFormat="1" ht="20.149999999999999" customHeight="1" x14ac:dyDescent="0.35">
      <c r="A83" s="289">
        <v>14</v>
      </c>
      <c r="B83" s="290" t="s">
        <v>995</v>
      </c>
      <c r="C83" s="290">
        <f>data!Q69</f>
        <v>6464</v>
      </c>
      <c r="D83" s="290">
        <f>data!R69</f>
        <v>0</v>
      </c>
      <c r="E83" s="290">
        <f>data!S69</f>
        <v>46677</v>
      </c>
      <c r="F83" s="290">
        <f>data!T69</f>
        <v>0</v>
      </c>
      <c r="G83" s="290">
        <f>data!U69</f>
        <v>195002</v>
      </c>
      <c r="H83" s="290">
        <f>data!V69</f>
        <v>0</v>
      </c>
      <c r="I83" s="290">
        <f>data!W69</f>
        <v>441</v>
      </c>
    </row>
    <row r="84" spans="1:9" customFormat="1" ht="20.149999999999999" customHeight="1" x14ac:dyDescent="0.35">
      <c r="A84" s="289">
        <v>15</v>
      </c>
      <c r="B84" s="290" t="s">
        <v>284</v>
      </c>
      <c r="C84" s="290">
        <f>-data!Q84</f>
        <v>0</v>
      </c>
      <c r="D84" s="290">
        <f>-data!R84</f>
        <v>0</v>
      </c>
      <c r="E84" s="290">
        <f>-data!S84</f>
        <v>-47284</v>
      </c>
      <c r="F84" s="290">
        <f>-data!T84</f>
        <v>0</v>
      </c>
      <c r="G84" s="290">
        <f>-data!U84</f>
        <v>0</v>
      </c>
      <c r="H84" s="290">
        <f>-data!V84</f>
        <v>0</v>
      </c>
      <c r="I84" s="290">
        <f>-data!W84</f>
        <v>0</v>
      </c>
    </row>
    <row r="85" spans="1:9" customFormat="1" ht="20.149999999999999" customHeight="1" x14ac:dyDescent="0.35">
      <c r="A85" s="289">
        <v>16</v>
      </c>
      <c r="B85" s="298" t="s">
        <v>996</v>
      </c>
      <c r="C85" s="290">
        <f>data!Q85</f>
        <v>4639481</v>
      </c>
      <c r="D85" s="290">
        <f>data!R85</f>
        <v>0</v>
      </c>
      <c r="E85" s="290">
        <f>data!S85</f>
        <v>632571</v>
      </c>
      <c r="F85" s="290">
        <f>data!T85</f>
        <v>0</v>
      </c>
      <c r="G85" s="290">
        <f>data!U85</f>
        <v>6315723</v>
      </c>
      <c r="H85" s="290">
        <f>data!V85</f>
        <v>0</v>
      </c>
      <c r="I85" s="290">
        <f>data!W85</f>
        <v>310446</v>
      </c>
    </row>
    <row r="86" spans="1:9" customFormat="1" ht="20.149999999999999" customHeight="1" x14ac:dyDescent="0.35">
      <c r="A86" s="289">
        <v>17</v>
      </c>
      <c r="B86" s="290" t="s">
        <v>286</v>
      </c>
      <c r="C86" s="300"/>
      <c r="D86" s="300"/>
      <c r="E86" s="300"/>
      <c r="F86" s="300"/>
      <c r="G86" s="300"/>
      <c r="H86" s="300"/>
      <c r="I86" s="300"/>
    </row>
    <row r="87" spans="1:9" customFormat="1" ht="20.149999999999999" customHeight="1" x14ac:dyDescent="0.35">
      <c r="A87" s="289">
        <v>18</v>
      </c>
      <c r="B87" s="290" t="s">
        <v>997</v>
      </c>
      <c r="C87" s="298">
        <f>+data!M682</f>
        <v>887829</v>
      </c>
      <c r="D87" s="298">
        <f>+data!M683</f>
        <v>0</v>
      </c>
      <c r="E87" s="298">
        <f>+data!M684</f>
        <v>791213</v>
      </c>
      <c r="F87" s="298">
        <f>+data!M685</f>
        <v>0</v>
      </c>
      <c r="G87" s="298">
        <f>+data!M686</f>
        <v>2820916</v>
      </c>
      <c r="H87" s="298">
        <f>+data!M687</f>
        <v>0</v>
      </c>
      <c r="I87" s="298">
        <f>+data!M688</f>
        <v>703032</v>
      </c>
    </row>
    <row r="88" spans="1:9" customFormat="1" ht="20.149999999999999" customHeight="1" x14ac:dyDescent="0.35">
      <c r="A88" s="289">
        <v>19</v>
      </c>
      <c r="B88" s="298" t="s">
        <v>998</v>
      </c>
      <c r="C88" s="290">
        <f>data!Q87</f>
        <v>262557</v>
      </c>
      <c r="D88" s="290">
        <f>data!R87</f>
        <v>0</v>
      </c>
      <c r="E88" s="290">
        <f>data!S87</f>
        <v>1413603</v>
      </c>
      <c r="F88" s="290">
        <f>data!T87</f>
        <v>0</v>
      </c>
      <c r="G88" s="290">
        <f>data!U87</f>
        <v>1864902</v>
      </c>
      <c r="H88" s="290">
        <f>data!V87</f>
        <v>0</v>
      </c>
      <c r="I88" s="290">
        <f>data!W87</f>
        <v>208240</v>
      </c>
    </row>
    <row r="89" spans="1:9" customFormat="1" ht="20.149999999999999" customHeight="1" x14ac:dyDescent="0.35">
      <c r="A89" s="289">
        <v>20</v>
      </c>
      <c r="B89" s="298" t="s">
        <v>999</v>
      </c>
      <c r="C89" s="290">
        <f>data!Q88</f>
        <v>5622878</v>
      </c>
      <c r="D89" s="290">
        <f>data!R88</f>
        <v>0</v>
      </c>
      <c r="E89" s="290">
        <f>data!S88</f>
        <v>8283655</v>
      </c>
      <c r="F89" s="290">
        <f>data!T88</f>
        <v>0</v>
      </c>
      <c r="G89" s="290">
        <f>data!U88</f>
        <v>23869215</v>
      </c>
      <c r="H89" s="290">
        <f>data!V88</f>
        <v>0</v>
      </c>
      <c r="I89" s="290">
        <f>data!W88</f>
        <v>8611030</v>
      </c>
    </row>
    <row r="90" spans="1:9" customFormat="1" ht="20.149999999999999" customHeight="1" x14ac:dyDescent="0.35">
      <c r="A90" s="289">
        <v>21</v>
      </c>
      <c r="B90" s="298" t="s">
        <v>1000</v>
      </c>
      <c r="C90" s="290">
        <f>data!Q89</f>
        <v>5885435</v>
      </c>
      <c r="D90" s="290">
        <f>data!R89</f>
        <v>0</v>
      </c>
      <c r="E90" s="290">
        <f>data!S89</f>
        <v>9697258</v>
      </c>
      <c r="F90" s="290">
        <f>data!T89</f>
        <v>0</v>
      </c>
      <c r="G90" s="290">
        <f>data!U89</f>
        <v>25734117</v>
      </c>
      <c r="H90" s="290">
        <f>data!V89</f>
        <v>0</v>
      </c>
      <c r="I90" s="290">
        <f>data!W89</f>
        <v>8819270</v>
      </c>
    </row>
    <row r="91" spans="1:9" customFormat="1" ht="20.149999999999999" customHeight="1" x14ac:dyDescent="0.35">
      <c r="A91" s="289" t="s">
        <v>1001</v>
      </c>
      <c r="B91" s="290"/>
      <c r="C91" s="300"/>
      <c r="D91" s="300"/>
      <c r="E91" s="300"/>
      <c r="F91" s="300"/>
      <c r="G91" s="300"/>
      <c r="H91" s="300"/>
      <c r="I91" s="300"/>
    </row>
    <row r="92" spans="1:9" customFormat="1" ht="20.149999999999999" customHeight="1" x14ac:dyDescent="0.35">
      <c r="A92" s="289">
        <v>22</v>
      </c>
      <c r="B92" s="290" t="s">
        <v>1002</v>
      </c>
      <c r="C92" s="290">
        <f>data!Q90</f>
        <v>1012</v>
      </c>
      <c r="D92" s="290">
        <f>data!R90</f>
        <v>0</v>
      </c>
      <c r="E92" s="290">
        <f>data!S90</f>
        <v>0</v>
      </c>
      <c r="F92" s="290">
        <f>data!T90</f>
        <v>0</v>
      </c>
      <c r="G92" s="290">
        <f>data!U90</f>
        <v>4040</v>
      </c>
      <c r="H92" s="290">
        <f>data!V90</f>
        <v>0</v>
      </c>
      <c r="I92" s="290">
        <f>data!W90</f>
        <v>295</v>
      </c>
    </row>
    <row r="93" spans="1:9" customFormat="1" ht="20.149999999999999" customHeight="1" x14ac:dyDescent="0.35">
      <c r="A93" s="289">
        <v>23</v>
      </c>
      <c r="B93" s="290" t="s">
        <v>1003</v>
      </c>
      <c r="C93" s="290">
        <f>data!Q91</f>
        <v>44</v>
      </c>
      <c r="D93" s="290">
        <f>data!R91</f>
        <v>0</v>
      </c>
      <c r="E93" s="290">
        <f>data!S91</f>
        <v>0</v>
      </c>
      <c r="F93" s="290">
        <f>data!T91</f>
        <v>0</v>
      </c>
      <c r="G93" s="290">
        <f>data!U91</f>
        <v>0</v>
      </c>
      <c r="H93" s="290">
        <f>data!V91</f>
        <v>0</v>
      </c>
      <c r="I93" s="290">
        <f>data!W91</f>
        <v>0</v>
      </c>
    </row>
    <row r="94" spans="1:9" customFormat="1" ht="20.149999999999999" customHeight="1" x14ac:dyDescent="0.35">
      <c r="A94" s="289">
        <v>24</v>
      </c>
      <c r="B94" s="290" t="s">
        <v>1004</v>
      </c>
      <c r="C94" s="290">
        <f>data!Q92</f>
        <v>724.15</v>
      </c>
      <c r="D94" s="290">
        <f>data!R92</f>
        <v>0</v>
      </c>
      <c r="E94" s="290">
        <f>data!S92</f>
        <v>0</v>
      </c>
      <c r="F94" s="290">
        <f>data!T92</f>
        <v>0</v>
      </c>
      <c r="G94" s="290">
        <f>data!U92</f>
        <v>2891.86</v>
      </c>
      <c r="H94" s="290">
        <f>data!V92</f>
        <v>0</v>
      </c>
      <c r="I94" s="290">
        <f>data!W92</f>
        <v>211</v>
      </c>
    </row>
    <row r="95" spans="1:9" customFormat="1" ht="20.149999999999999" customHeight="1" x14ac:dyDescent="0.35">
      <c r="A95" s="289">
        <v>25</v>
      </c>
      <c r="B95" s="290" t="s">
        <v>1005</v>
      </c>
      <c r="C95" s="290">
        <f>data!Q93</f>
        <v>0</v>
      </c>
      <c r="D95" s="290">
        <f>data!R93</f>
        <v>0</v>
      </c>
      <c r="E95" s="290">
        <f>data!S93</f>
        <v>0</v>
      </c>
      <c r="F95" s="290">
        <f>data!T93</f>
        <v>0</v>
      </c>
      <c r="G95" s="290">
        <f>data!U93</f>
        <v>2722</v>
      </c>
      <c r="H95" s="290">
        <f>data!V93</f>
        <v>0</v>
      </c>
      <c r="I95" s="290">
        <f>data!W93</f>
        <v>4034</v>
      </c>
    </row>
    <row r="96" spans="1:9" customFormat="1" ht="20.149999999999999" customHeight="1" x14ac:dyDescent="0.35">
      <c r="A96" s="289">
        <v>26</v>
      </c>
      <c r="B96" s="290" t="s">
        <v>294</v>
      </c>
      <c r="C96" s="297">
        <f>data!Q94</f>
        <v>0</v>
      </c>
      <c r="D96" s="297">
        <f>data!R94</f>
        <v>0</v>
      </c>
      <c r="E96" s="297">
        <f>data!S94</f>
        <v>0</v>
      </c>
      <c r="F96" s="297">
        <f>data!T94</f>
        <v>0</v>
      </c>
      <c r="G96" s="297">
        <f>data!U94</f>
        <v>0.04</v>
      </c>
      <c r="H96" s="297">
        <f>data!V94</f>
        <v>0</v>
      </c>
      <c r="I96" s="297">
        <f>data!W94</f>
        <v>0</v>
      </c>
    </row>
    <row r="97" spans="1:9" customFormat="1" ht="20.149999999999999" customHeight="1" x14ac:dyDescent="0.35">
      <c r="A97" s="283" t="s">
        <v>987</v>
      </c>
      <c r="B97" s="284"/>
      <c r="C97" s="284"/>
      <c r="D97" s="284"/>
      <c r="E97" s="284"/>
      <c r="F97" s="284"/>
      <c r="G97" s="284"/>
      <c r="H97" s="284"/>
      <c r="I97" s="283"/>
    </row>
    <row r="98" spans="1:9" customFormat="1" ht="20.149999999999999" customHeight="1" x14ac:dyDescent="0.35">
      <c r="D98" s="285"/>
      <c r="I98" s="286" t="s">
        <v>1014</v>
      </c>
    </row>
    <row r="99" spans="1:9" customFormat="1" ht="20.149999999999999" customHeight="1" x14ac:dyDescent="0.35">
      <c r="A99" s="285"/>
    </row>
    <row r="100" spans="1:9" customFormat="1" ht="20.149999999999999" customHeight="1" x14ac:dyDescent="0.35">
      <c r="A100" s="287" t="str">
        <f>"Hospital: "&amp;data!C98</f>
        <v>Hospital: Kittitas Valley Healthcare</v>
      </c>
      <c r="G100" s="288"/>
      <c r="H100" s="287" t="str">
        <f>"FYE: "&amp;data!C96</f>
        <v>FYE: 12/31/2023</v>
      </c>
    </row>
    <row r="101" spans="1:9" customFormat="1" ht="20.149999999999999" customHeight="1" x14ac:dyDescent="0.35">
      <c r="A101" s="289">
        <v>1</v>
      </c>
      <c r="B101" s="290" t="s">
        <v>236</v>
      </c>
      <c r="C101" s="292" t="s">
        <v>57</v>
      </c>
      <c r="D101" s="292" t="s">
        <v>58</v>
      </c>
      <c r="E101" s="292" t="s">
        <v>59</v>
      </c>
      <c r="F101" s="292" t="s">
        <v>60</v>
      </c>
      <c r="G101" s="292" t="s">
        <v>61</v>
      </c>
      <c r="H101" s="292" t="s">
        <v>62</v>
      </c>
      <c r="I101" s="292" t="s">
        <v>63</v>
      </c>
    </row>
    <row r="102" spans="1:9" customFormat="1" ht="20.149999999999999" customHeight="1" x14ac:dyDescent="0.35">
      <c r="A102" s="293">
        <v>2</v>
      </c>
      <c r="B102" s="294" t="s">
        <v>989</v>
      </c>
      <c r="C102" s="296" t="s">
        <v>1015</v>
      </c>
      <c r="D102" s="296" t="s">
        <v>1016</v>
      </c>
      <c r="E102" s="296" t="s">
        <v>1016</v>
      </c>
      <c r="F102" s="296" t="s">
        <v>141</v>
      </c>
      <c r="G102" s="296"/>
      <c r="H102" s="296" t="s">
        <v>143</v>
      </c>
      <c r="I102" s="296"/>
    </row>
    <row r="103" spans="1:9" customFormat="1" ht="20.149999999999999" customHeight="1" x14ac:dyDescent="0.35">
      <c r="A103" s="293"/>
      <c r="B103" s="294"/>
      <c r="C103" s="296" t="s">
        <v>202</v>
      </c>
      <c r="D103" s="296" t="s">
        <v>203</v>
      </c>
      <c r="E103" s="296" t="s">
        <v>204</v>
      </c>
      <c r="F103" s="296" t="s">
        <v>205</v>
      </c>
      <c r="G103" s="296" t="s">
        <v>142</v>
      </c>
      <c r="H103" s="296" t="s">
        <v>199</v>
      </c>
      <c r="I103" s="296" t="s">
        <v>144</v>
      </c>
    </row>
    <row r="104" spans="1:9" customFormat="1" ht="20.149999999999999" customHeight="1" x14ac:dyDescent="0.35">
      <c r="A104" s="289">
        <v>3</v>
      </c>
      <c r="B104" s="290" t="s">
        <v>993</v>
      </c>
      <c r="C104" s="291" t="s">
        <v>251</v>
      </c>
      <c r="D104" s="292" t="s">
        <v>1017</v>
      </c>
      <c r="E104" s="292" t="s">
        <v>1017</v>
      </c>
      <c r="F104" s="292" t="s">
        <v>1017</v>
      </c>
      <c r="G104" s="302"/>
      <c r="H104" s="292" t="s">
        <v>253</v>
      </c>
      <c r="I104" s="292" t="s">
        <v>254</v>
      </c>
    </row>
    <row r="105" spans="1:9" customFormat="1" ht="20.149999999999999" customHeight="1" x14ac:dyDescent="0.35">
      <c r="A105" s="289">
        <v>4</v>
      </c>
      <c r="B105" s="290" t="s">
        <v>261</v>
      </c>
      <c r="C105" s="290">
        <f>data!X59</f>
        <v>7302</v>
      </c>
      <c r="D105" s="290">
        <f>data!Y59</f>
        <v>28800</v>
      </c>
      <c r="E105" s="290">
        <f>data!Z59</f>
        <v>0</v>
      </c>
      <c r="F105" s="290">
        <f>data!AA59</f>
        <v>0</v>
      </c>
      <c r="G105" s="302"/>
      <c r="H105" s="290">
        <f>data!AC59</f>
        <v>1225</v>
      </c>
      <c r="I105" s="290">
        <f>data!AD59</f>
        <v>0</v>
      </c>
    </row>
    <row r="106" spans="1:9" customFormat="1" ht="20.149999999999999" customHeight="1" x14ac:dyDescent="0.35">
      <c r="A106" s="289">
        <v>5</v>
      </c>
      <c r="B106" s="290" t="s">
        <v>262</v>
      </c>
      <c r="C106" s="297">
        <f>data!X60</f>
        <v>10.69</v>
      </c>
      <c r="D106" s="297">
        <f>data!Y60</f>
        <v>14.8</v>
      </c>
      <c r="E106" s="297">
        <f>data!Z60</f>
        <v>0</v>
      </c>
      <c r="F106" s="297">
        <f>data!AA60</f>
        <v>0</v>
      </c>
      <c r="G106" s="297">
        <f>data!AB60</f>
        <v>16.78</v>
      </c>
      <c r="H106" s="297">
        <f>data!AC60</f>
        <v>8.5500000000000007</v>
      </c>
      <c r="I106" s="297">
        <f>data!AD60</f>
        <v>0</v>
      </c>
    </row>
    <row r="107" spans="1:9" customFormat="1" ht="20.149999999999999" customHeight="1" x14ac:dyDescent="0.35">
      <c r="A107" s="289">
        <v>6</v>
      </c>
      <c r="B107" s="290" t="s">
        <v>263</v>
      </c>
      <c r="C107" s="290">
        <f>data!X61</f>
        <v>972306</v>
      </c>
      <c r="D107" s="290">
        <f>data!Y61</f>
        <v>1175374</v>
      </c>
      <c r="E107" s="290">
        <f>data!Z61</f>
        <v>0</v>
      </c>
      <c r="F107" s="290">
        <f>data!AA61</f>
        <v>0</v>
      </c>
      <c r="G107" s="290">
        <f>data!AB61</f>
        <v>1912271</v>
      </c>
      <c r="H107" s="290">
        <f>data!AC61</f>
        <v>851671</v>
      </c>
      <c r="I107" s="290">
        <f>data!AD61</f>
        <v>0</v>
      </c>
    </row>
    <row r="108" spans="1:9" customFormat="1" ht="20.149999999999999" customHeight="1" x14ac:dyDescent="0.35">
      <c r="A108" s="289">
        <v>7</v>
      </c>
      <c r="B108" s="290" t="s">
        <v>11</v>
      </c>
      <c r="C108" s="290">
        <f>data!X62</f>
        <v>244353</v>
      </c>
      <c r="D108" s="290">
        <f>data!Y62</f>
        <v>295386</v>
      </c>
      <c r="E108" s="290">
        <f>data!Z62</f>
        <v>0</v>
      </c>
      <c r="F108" s="290">
        <f>data!AA62</f>
        <v>0</v>
      </c>
      <c r="G108" s="290">
        <f>data!AB62</f>
        <v>480578</v>
      </c>
      <c r="H108" s="290">
        <f>data!AC62</f>
        <v>214036</v>
      </c>
      <c r="I108" s="290">
        <f>data!AD62</f>
        <v>0</v>
      </c>
    </row>
    <row r="109" spans="1:9" customFormat="1" ht="20.149999999999999" customHeight="1" x14ac:dyDescent="0.35">
      <c r="A109" s="289">
        <v>8</v>
      </c>
      <c r="B109" s="290" t="s">
        <v>264</v>
      </c>
      <c r="C109" s="290">
        <f>data!X63</f>
        <v>0</v>
      </c>
      <c r="D109" s="290">
        <f>data!Y63</f>
        <v>-26179</v>
      </c>
      <c r="E109" s="290">
        <f>data!Z63</f>
        <v>0</v>
      </c>
      <c r="F109" s="290">
        <f>data!AA63</f>
        <v>0</v>
      </c>
      <c r="G109" s="290">
        <f>data!AB63</f>
        <v>0</v>
      </c>
      <c r="H109" s="290">
        <f>data!AC63</f>
        <v>23104</v>
      </c>
      <c r="I109" s="290">
        <f>data!AD63</f>
        <v>0</v>
      </c>
    </row>
    <row r="110" spans="1:9" customFormat="1" ht="20.149999999999999" customHeight="1" x14ac:dyDescent="0.35">
      <c r="A110" s="289">
        <v>9</v>
      </c>
      <c r="B110" s="290" t="s">
        <v>265</v>
      </c>
      <c r="C110" s="290">
        <f>data!X64</f>
        <v>57377</v>
      </c>
      <c r="D110" s="290">
        <f>data!Y64</f>
        <v>65349</v>
      </c>
      <c r="E110" s="290">
        <f>data!Z64</f>
        <v>0</v>
      </c>
      <c r="F110" s="290">
        <f>data!AA64</f>
        <v>0</v>
      </c>
      <c r="G110" s="290">
        <f>data!AB64</f>
        <v>3621906</v>
      </c>
      <c r="H110" s="290">
        <f>data!AC64</f>
        <v>71116</v>
      </c>
      <c r="I110" s="290">
        <f>data!AD64</f>
        <v>0</v>
      </c>
    </row>
    <row r="111" spans="1:9" customFormat="1" ht="20.149999999999999" customHeight="1" x14ac:dyDescent="0.35">
      <c r="A111" s="289">
        <v>10</v>
      </c>
      <c r="B111" s="290" t="s">
        <v>524</v>
      </c>
      <c r="C111" s="290">
        <f>data!X65</f>
        <v>0</v>
      </c>
      <c r="D111" s="290">
        <f>data!Y65</f>
        <v>0</v>
      </c>
      <c r="E111" s="290">
        <f>data!Z65</f>
        <v>0</v>
      </c>
      <c r="F111" s="290">
        <f>data!AA65</f>
        <v>0</v>
      </c>
      <c r="G111" s="290">
        <f>data!AB65</f>
        <v>0</v>
      </c>
      <c r="H111" s="290">
        <f>data!AC65</f>
        <v>0</v>
      </c>
      <c r="I111" s="290">
        <f>data!AD65</f>
        <v>0</v>
      </c>
    </row>
    <row r="112" spans="1:9" customFormat="1" ht="20.149999999999999" customHeight="1" x14ac:dyDescent="0.35">
      <c r="A112" s="289">
        <v>11</v>
      </c>
      <c r="B112" s="290" t="s">
        <v>525</v>
      </c>
      <c r="C112" s="290">
        <f>data!X66</f>
        <v>0</v>
      </c>
      <c r="D112" s="290">
        <f>data!Y66</f>
        <v>729367</v>
      </c>
      <c r="E112" s="290">
        <f>data!Z66</f>
        <v>0</v>
      </c>
      <c r="F112" s="290">
        <f>data!AA66</f>
        <v>0</v>
      </c>
      <c r="G112" s="290">
        <f>data!AB66</f>
        <v>258874</v>
      </c>
      <c r="H112" s="290">
        <f>data!AC66</f>
        <v>46250</v>
      </c>
      <c r="I112" s="290">
        <f>data!AD66</f>
        <v>0</v>
      </c>
    </row>
    <row r="113" spans="1:9" customFormat="1" ht="20.149999999999999" customHeight="1" x14ac:dyDescent="0.35">
      <c r="A113" s="289">
        <v>12</v>
      </c>
      <c r="B113" s="290" t="s">
        <v>16</v>
      </c>
      <c r="C113" s="290">
        <f>data!X67</f>
        <v>46700</v>
      </c>
      <c r="D113" s="290">
        <f>data!Y67</f>
        <v>183737</v>
      </c>
      <c r="E113" s="290">
        <f>data!Z67</f>
        <v>0</v>
      </c>
      <c r="F113" s="290">
        <f>data!AA67</f>
        <v>0</v>
      </c>
      <c r="G113" s="290">
        <f>data!AB67</f>
        <v>57473</v>
      </c>
      <c r="H113" s="290">
        <f>data!AC67</f>
        <v>51000</v>
      </c>
      <c r="I113" s="290">
        <f>data!AD67</f>
        <v>0</v>
      </c>
    </row>
    <row r="114" spans="1:9" customFormat="1" ht="20.149999999999999" customHeight="1" x14ac:dyDescent="0.35">
      <c r="A114" s="289">
        <v>13</v>
      </c>
      <c r="B114" s="290" t="s">
        <v>994</v>
      </c>
      <c r="C114" s="290">
        <f>data!X68</f>
        <v>0</v>
      </c>
      <c r="D114" s="290">
        <f>data!Y68</f>
        <v>13896</v>
      </c>
      <c r="E114" s="290">
        <f>data!Z68</f>
        <v>0</v>
      </c>
      <c r="F114" s="290">
        <f>data!AA68</f>
        <v>0</v>
      </c>
      <c r="G114" s="290">
        <f>data!AB68</f>
        <v>-2575</v>
      </c>
      <c r="H114" s="290">
        <f>data!AC68</f>
        <v>9958</v>
      </c>
      <c r="I114" s="290">
        <f>data!AD68</f>
        <v>0</v>
      </c>
    </row>
    <row r="115" spans="1:9" customFormat="1" ht="20.149999999999999" customHeight="1" x14ac:dyDescent="0.35">
      <c r="A115" s="289">
        <v>14</v>
      </c>
      <c r="B115" s="290" t="s">
        <v>995</v>
      </c>
      <c r="C115" s="290">
        <f>data!X69</f>
        <v>68343</v>
      </c>
      <c r="D115" s="290">
        <f>data!Y69</f>
        <v>447196</v>
      </c>
      <c r="E115" s="290">
        <f>data!Z69</f>
        <v>0</v>
      </c>
      <c r="F115" s="290">
        <f>data!AA69</f>
        <v>0</v>
      </c>
      <c r="G115" s="290">
        <f>data!AB69</f>
        <v>8894</v>
      </c>
      <c r="H115" s="290">
        <f>data!AC69</f>
        <v>37090</v>
      </c>
      <c r="I115" s="290">
        <f>data!AD69</f>
        <v>0</v>
      </c>
    </row>
    <row r="116" spans="1:9" customFormat="1" ht="20.149999999999999" customHeight="1" x14ac:dyDescent="0.35">
      <c r="A116" s="289">
        <v>15</v>
      </c>
      <c r="B116" s="290" t="s">
        <v>284</v>
      </c>
      <c r="C116" s="290">
        <f>-data!X84</f>
        <v>0</v>
      </c>
      <c r="D116" s="290">
        <f>-data!Y84</f>
        <v>-2990</v>
      </c>
      <c r="E116" s="290">
        <f>-data!Z84</f>
        <v>0</v>
      </c>
      <c r="F116" s="290">
        <f>-data!AA84</f>
        <v>0</v>
      </c>
      <c r="G116" s="290">
        <f>-data!AB84</f>
        <v>-4769</v>
      </c>
      <c r="H116" s="290">
        <f>-data!AC84</f>
        <v>0</v>
      </c>
      <c r="I116" s="290">
        <f>-data!AD84</f>
        <v>0</v>
      </c>
    </row>
    <row r="117" spans="1:9" customFormat="1" ht="20.149999999999999" customHeight="1" x14ac:dyDescent="0.35">
      <c r="A117" s="289">
        <v>16</v>
      </c>
      <c r="B117" s="298" t="s">
        <v>996</v>
      </c>
      <c r="C117" s="290">
        <f>data!X85</f>
        <v>1389079</v>
      </c>
      <c r="D117" s="290">
        <f>data!Y85</f>
        <v>2881136</v>
      </c>
      <c r="E117" s="290">
        <f>data!Z85</f>
        <v>0</v>
      </c>
      <c r="F117" s="290">
        <f>data!AA85</f>
        <v>0</v>
      </c>
      <c r="G117" s="290">
        <f>data!AB85</f>
        <v>6332652</v>
      </c>
      <c r="H117" s="290">
        <f>data!AC85</f>
        <v>1304225</v>
      </c>
      <c r="I117" s="290">
        <f>data!AD85</f>
        <v>0</v>
      </c>
    </row>
    <row r="118" spans="1:9" customFormat="1" ht="20.149999999999999" customHeight="1" x14ac:dyDescent="0.35">
      <c r="A118" s="289">
        <v>17</v>
      </c>
      <c r="B118" s="290" t="s">
        <v>286</v>
      </c>
      <c r="C118" s="300"/>
      <c r="D118" s="300"/>
      <c r="E118" s="300"/>
      <c r="F118" s="300"/>
      <c r="G118" s="300"/>
      <c r="H118" s="300"/>
      <c r="I118" s="300"/>
    </row>
    <row r="119" spans="1:9" customFormat="1" ht="20.149999999999999" customHeight="1" x14ac:dyDescent="0.35">
      <c r="A119" s="289">
        <v>18</v>
      </c>
      <c r="B119" s="290" t="s">
        <v>997</v>
      </c>
      <c r="C119" s="298">
        <f>+data!M689</f>
        <v>2447897</v>
      </c>
      <c r="D119" s="298">
        <f>+data!M690</f>
        <v>1616624</v>
      </c>
      <c r="E119" s="298">
        <f>+data!M691</f>
        <v>0</v>
      </c>
      <c r="F119" s="298">
        <f>+data!M692</f>
        <v>0</v>
      </c>
      <c r="G119" s="298">
        <f>+data!M693</f>
        <v>2575521</v>
      </c>
      <c r="H119" s="298">
        <f>+data!M694</f>
        <v>636422</v>
      </c>
      <c r="I119" s="298">
        <f>+data!M695</f>
        <v>0</v>
      </c>
    </row>
    <row r="120" spans="1:9" customFormat="1" ht="20.149999999999999" customHeight="1" x14ac:dyDescent="0.35">
      <c r="A120" s="289">
        <v>19</v>
      </c>
      <c r="B120" s="298" t="s">
        <v>998</v>
      </c>
      <c r="C120" s="290">
        <f>data!X87</f>
        <v>1523482</v>
      </c>
      <c r="D120" s="290">
        <f>data!Y87</f>
        <v>385602</v>
      </c>
      <c r="E120" s="290">
        <f>data!Z87</f>
        <v>0</v>
      </c>
      <c r="F120" s="290">
        <f>data!AA87</f>
        <v>0</v>
      </c>
      <c r="G120" s="290">
        <f>data!AB87</f>
        <v>4169297</v>
      </c>
      <c r="H120" s="290">
        <f>data!AC87</f>
        <v>897048</v>
      </c>
      <c r="I120" s="290">
        <f>data!AD87</f>
        <v>0</v>
      </c>
    </row>
    <row r="121" spans="1:9" customFormat="1" ht="20.149999999999999" customHeight="1" x14ac:dyDescent="0.35">
      <c r="A121" s="289">
        <v>20</v>
      </c>
      <c r="B121" s="298" t="s">
        <v>999</v>
      </c>
      <c r="C121" s="290">
        <f>data!X88</f>
        <v>28736053</v>
      </c>
      <c r="D121" s="290">
        <f>data!Y88</f>
        <v>14115648</v>
      </c>
      <c r="E121" s="290">
        <f>data!Z88</f>
        <v>0</v>
      </c>
      <c r="F121" s="290">
        <f>data!AA88</f>
        <v>0</v>
      </c>
      <c r="G121" s="290">
        <f>data!AB88</f>
        <v>20209423</v>
      </c>
      <c r="H121" s="290">
        <f>data!AC88</f>
        <v>4764509</v>
      </c>
      <c r="I121" s="290">
        <f>data!AD88</f>
        <v>0</v>
      </c>
    </row>
    <row r="122" spans="1:9" customFormat="1" ht="20.149999999999999" customHeight="1" x14ac:dyDescent="0.35">
      <c r="A122" s="289">
        <v>21</v>
      </c>
      <c r="B122" s="298" t="s">
        <v>1000</v>
      </c>
      <c r="C122" s="290">
        <f>data!X89</f>
        <v>30259535</v>
      </c>
      <c r="D122" s="290">
        <f>data!Y89</f>
        <v>14501250</v>
      </c>
      <c r="E122" s="290">
        <f>data!Z89</f>
        <v>0</v>
      </c>
      <c r="F122" s="290">
        <f>data!AA89</f>
        <v>0</v>
      </c>
      <c r="G122" s="290">
        <f>data!AB89</f>
        <v>24378720</v>
      </c>
      <c r="H122" s="290">
        <f>data!AC89</f>
        <v>5661557</v>
      </c>
      <c r="I122" s="290">
        <f>data!AD89</f>
        <v>0</v>
      </c>
    </row>
    <row r="123" spans="1:9" customFormat="1" ht="20.149999999999999" customHeight="1" x14ac:dyDescent="0.35">
      <c r="A123" s="289" t="s">
        <v>1001</v>
      </c>
      <c r="B123" s="290"/>
      <c r="C123" s="300"/>
      <c r="D123" s="300"/>
      <c r="E123" s="300"/>
      <c r="F123" s="300"/>
      <c r="G123" s="300"/>
      <c r="H123" s="300"/>
      <c r="I123" s="300"/>
    </row>
    <row r="124" spans="1:9" customFormat="1" ht="20.149999999999999" customHeight="1" x14ac:dyDescent="0.35">
      <c r="A124" s="289">
        <v>22</v>
      </c>
      <c r="B124" s="290" t="s">
        <v>1002</v>
      </c>
      <c r="C124" s="290">
        <f>data!X90</f>
        <v>945</v>
      </c>
      <c r="D124" s="290">
        <f>data!Y90</f>
        <v>3718</v>
      </c>
      <c r="E124" s="290">
        <f>data!Z90</f>
        <v>0</v>
      </c>
      <c r="F124" s="290">
        <f>data!AA90</f>
        <v>0</v>
      </c>
      <c r="G124" s="290">
        <f>data!AB90</f>
        <v>1163</v>
      </c>
      <c r="H124" s="290">
        <f>data!AC90</f>
        <v>1032</v>
      </c>
      <c r="I124" s="290">
        <f>data!AD90</f>
        <v>0</v>
      </c>
    </row>
    <row r="125" spans="1:9" customFormat="1" ht="20.149999999999999" customHeight="1" x14ac:dyDescent="0.35">
      <c r="A125" s="289">
        <v>23</v>
      </c>
      <c r="B125" s="290" t="s">
        <v>1003</v>
      </c>
      <c r="C125" s="290">
        <f>data!X91</f>
        <v>0</v>
      </c>
      <c r="D125" s="290">
        <f>data!Y91</f>
        <v>0</v>
      </c>
      <c r="E125" s="290">
        <f>data!Z91</f>
        <v>0</v>
      </c>
      <c r="F125" s="290">
        <f>data!AA91</f>
        <v>0</v>
      </c>
      <c r="G125" s="290">
        <f>data!AB91</f>
        <v>0</v>
      </c>
      <c r="H125" s="290">
        <f>data!AC91</f>
        <v>0</v>
      </c>
      <c r="I125" s="290">
        <f>data!AD91</f>
        <v>0</v>
      </c>
    </row>
    <row r="126" spans="1:9" customFormat="1" ht="20.149999999999999" customHeight="1" x14ac:dyDescent="0.35">
      <c r="A126" s="289">
        <v>24</v>
      </c>
      <c r="B126" s="290" t="s">
        <v>1004</v>
      </c>
      <c r="C126" s="290">
        <f>data!X92</f>
        <v>675</v>
      </c>
      <c r="D126" s="290">
        <f>data!Y92</f>
        <v>2663</v>
      </c>
      <c r="E126" s="290">
        <f>data!Z92</f>
        <v>0</v>
      </c>
      <c r="F126" s="290">
        <f>data!AA92</f>
        <v>0</v>
      </c>
      <c r="G126" s="290">
        <f>data!AB92</f>
        <v>984.46</v>
      </c>
      <c r="H126" s="290">
        <f>data!AC92</f>
        <v>738.35</v>
      </c>
      <c r="I126" s="290">
        <f>data!AD92</f>
        <v>0</v>
      </c>
    </row>
    <row r="127" spans="1:9" customFormat="1" ht="20.149999999999999" customHeight="1" x14ac:dyDescent="0.35">
      <c r="A127" s="289">
        <v>25</v>
      </c>
      <c r="B127" s="290" t="s">
        <v>1005</v>
      </c>
      <c r="C127" s="290">
        <f>data!X93</f>
        <v>12926</v>
      </c>
      <c r="D127" s="290">
        <f>data!Y93</f>
        <v>50870</v>
      </c>
      <c r="E127" s="290">
        <f>data!Z93</f>
        <v>0</v>
      </c>
      <c r="F127" s="290">
        <f>data!AA93</f>
        <v>0</v>
      </c>
      <c r="G127" s="290">
        <f>data!AB93</f>
        <v>0</v>
      </c>
      <c r="H127" s="290">
        <f>data!AC93</f>
        <v>16331</v>
      </c>
      <c r="I127" s="290">
        <f>data!AD93</f>
        <v>0</v>
      </c>
    </row>
    <row r="128" spans="1:9" customFormat="1" ht="20.149999999999999" customHeight="1" x14ac:dyDescent="0.35">
      <c r="A128" s="289">
        <v>26</v>
      </c>
      <c r="B128" s="290" t="s">
        <v>294</v>
      </c>
      <c r="C128" s="297">
        <f>data!X94</f>
        <v>0</v>
      </c>
      <c r="D128" s="297">
        <f>data!Y94</f>
        <v>0.01</v>
      </c>
      <c r="E128" s="297">
        <f>data!Z94</f>
        <v>0</v>
      </c>
      <c r="F128" s="297">
        <f>data!AA94</f>
        <v>0</v>
      </c>
      <c r="G128" s="297">
        <f>data!AB94</f>
        <v>0</v>
      </c>
      <c r="H128" s="297">
        <f>data!AC94</f>
        <v>0.84</v>
      </c>
      <c r="I128" s="297">
        <f>data!AD94</f>
        <v>0</v>
      </c>
    </row>
    <row r="129" spans="1:14" customFormat="1" ht="20.149999999999999" customHeight="1" x14ac:dyDescent="0.35">
      <c r="A129" s="283" t="s">
        <v>987</v>
      </c>
      <c r="B129" s="284"/>
      <c r="C129" s="284"/>
      <c r="D129" s="284"/>
      <c r="E129" s="284"/>
      <c r="F129" s="284"/>
      <c r="G129" s="284"/>
      <c r="H129" s="284"/>
      <c r="I129" s="283"/>
    </row>
    <row r="130" spans="1:14" customFormat="1" ht="20.149999999999999" customHeight="1" x14ac:dyDescent="0.35">
      <c r="D130" s="285"/>
      <c r="I130" s="286" t="s">
        <v>1018</v>
      </c>
    </row>
    <row r="131" spans="1:14" customFormat="1" ht="20.149999999999999" customHeight="1" x14ac:dyDescent="0.35">
      <c r="A131" s="285"/>
    </row>
    <row r="132" spans="1:14" customFormat="1" ht="20.149999999999999" customHeight="1" x14ac:dyDescent="0.35">
      <c r="A132" s="287" t="str">
        <f>"Hospital: "&amp;data!C98</f>
        <v>Hospital: Kittitas Valley Healthcare</v>
      </c>
      <c r="G132" s="288"/>
      <c r="H132" s="287" t="str">
        <f>"FYE: "&amp;data!C96</f>
        <v>FYE: 12/31/2023</v>
      </c>
    </row>
    <row r="133" spans="1:14" customFormat="1" ht="20.149999999999999" customHeight="1" x14ac:dyDescent="0.35">
      <c r="A133" s="289">
        <v>1</v>
      </c>
      <c r="B133" s="290" t="s">
        <v>236</v>
      </c>
      <c r="C133" s="292" t="s">
        <v>64</v>
      </c>
      <c r="D133" s="292" t="s">
        <v>65</v>
      </c>
      <c r="E133" s="292" t="s">
        <v>66</v>
      </c>
      <c r="F133" s="292" t="s">
        <v>67</v>
      </c>
      <c r="G133" s="292" t="s">
        <v>68</v>
      </c>
      <c r="H133" s="292" t="s">
        <v>69</v>
      </c>
      <c r="I133" s="292" t="s">
        <v>70</v>
      </c>
    </row>
    <row r="134" spans="1:14" customFormat="1" ht="20.149999999999999" customHeight="1" x14ac:dyDescent="0.35">
      <c r="A134" s="293">
        <v>2</v>
      </c>
      <c r="B134" s="294" t="s">
        <v>989</v>
      </c>
      <c r="C134" s="296" t="s">
        <v>122</v>
      </c>
      <c r="D134" s="296" t="s">
        <v>123</v>
      </c>
      <c r="E134" s="296" t="s">
        <v>145</v>
      </c>
      <c r="F134" s="296"/>
      <c r="G134" s="296" t="s">
        <v>1019</v>
      </c>
      <c r="H134" s="296"/>
      <c r="I134" s="296" t="s">
        <v>149</v>
      </c>
    </row>
    <row r="135" spans="1:14" customFormat="1" ht="20.149999999999999" customHeight="1" x14ac:dyDescent="0.35">
      <c r="A135" s="293"/>
      <c r="B135" s="294"/>
      <c r="C135" s="296" t="s">
        <v>199</v>
      </c>
      <c r="D135" s="296" t="s">
        <v>206</v>
      </c>
      <c r="E135" s="296" t="s">
        <v>198</v>
      </c>
      <c r="F135" s="296" t="s">
        <v>146</v>
      </c>
      <c r="G135" s="296" t="s">
        <v>207</v>
      </c>
      <c r="H135" s="296" t="s">
        <v>148</v>
      </c>
      <c r="I135" s="296" t="s">
        <v>199</v>
      </c>
    </row>
    <row r="136" spans="1:14" customFormat="1" ht="20.149999999999999" customHeight="1" x14ac:dyDescent="0.35">
      <c r="A136" s="289">
        <v>3</v>
      </c>
      <c r="B136" s="290" t="s">
        <v>993</v>
      </c>
      <c r="C136" s="292" t="s">
        <v>253</v>
      </c>
      <c r="D136" s="292" t="s">
        <v>255</v>
      </c>
      <c r="E136" s="292" t="s">
        <v>255</v>
      </c>
      <c r="F136" s="292" t="s">
        <v>256</v>
      </c>
      <c r="G136" s="291" t="s">
        <v>1020</v>
      </c>
      <c r="H136" s="292" t="s">
        <v>255</v>
      </c>
      <c r="I136" s="292" t="s">
        <v>253</v>
      </c>
    </row>
    <row r="137" spans="1:14" customFormat="1" ht="20.149999999999999" customHeight="1" x14ac:dyDescent="0.35">
      <c r="A137" s="289">
        <v>4</v>
      </c>
      <c r="B137" s="290" t="s">
        <v>261</v>
      </c>
      <c r="C137" s="290">
        <f>data!AE59</f>
        <v>14431</v>
      </c>
      <c r="D137" s="290">
        <f>data!AF59</f>
        <v>0</v>
      </c>
      <c r="E137" s="290">
        <f>data!AG59</f>
        <v>17212</v>
      </c>
      <c r="F137" s="290">
        <f>data!AH59</f>
        <v>0</v>
      </c>
      <c r="G137" s="290">
        <f>data!AI59</f>
        <v>0</v>
      </c>
      <c r="H137" s="290">
        <f>data!AJ59</f>
        <v>86142</v>
      </c>
      <c r="I137" s="290">
        <f>data!AK59</f>
        <v>2466</v>
      </c>
      <c r="K137" s="301"/>
      <c r="L137" s="303"/>
      <c r="M137" s="303"/>
      <c r="N137" s="303"/>
    </row>
    <row r="138" spans="1:14" customFormat="1" ht="20.149999999999999" customHeight="1" x14ac:dyDescent="0.35">
      <c r="A138" s="289">
        <v>5</v>
      </c>
      <c r="B138" s="290" t="s">
        <v>262</v>
      </c>
      <c r="C138" s="297">
        <f>data!AE60</f>
        <v>3.46</v>
      </c>
      <c r="D138" s="297">
        <f>data!AF60</f>
        <v>0</v>
      </c>
      <c r="E138" s="297">
        <f>data!AG60</f>
        <v>28.74</v>
      </c>
      <c r="F138" s="297">
        <f>data!AH60</f>
        <v>0</v>
      </c>
      <c r="G138" s="297">
        <f>data!AI60</f>
        <v>0</v>
      </c>
      <c r="H138" s="297">
        <f>data!AJ60</f>
        <v>193.77</v>
      </c>
      <c r="I138" s="297">
        <f>data!AK60</f>
        <v>0</v>
      </c>
    </row>
    <row r="139" spans="1:14" customFormat="1" ht="20.149999999999999" customHeight="1" x14ac:dyDescent="0.35">
      <c r="A139" s="289">
        <v>6</v>
      </c>
      <c r="B139" s="290" t="s">
        <v>263</v>
      </c>
      <c r="C139" s="290">
        <f>data!AE61</f>
        <v>274137</v>
      </c>
      <c r="D139" s="290">
        <f>data!AF61</f>
        <v>0</v>
      </c>
      <c r="E139" s="290">
        <f>data!AG61</f>
        <v>4674691</v>
      </c>
      <c r="F139" s="290">
        <f>data!AH61</f>
        <v>0</v>
      </c>
      <c r="G139" s="290">
        <f>data!AI61</f>
        <v>0</v>
      </c>
      <c r="H139" s="290">
        <f>data!AJ61</f>
        <v>20807639</v>
      </c>
      <c r="I139" s="290">
        <f>data!AK61</f>
        <v>0</v>
      </c>
    </row>
    <row r="140" spans="1:14" customFormat="1" ht="20.149999999999999" customHeight="1" x14ac:dyDescent="0.35">
      <c r="A140" s="289">
        <v>7</v>
      </c>
      <c r="B140" s="290" t="s">
        <v>11</v>
      </c>
      <c r="C140" s="290">
        <f>data!AE62</f>
        <v>68894</v>
      </c>
      <c r="D140" s="290">
        <f>data!AF62</f>
        <v>0</v>
      </c>
      <c r="E140" s="290">
        <f>data!AG62</f>
        <v>1174809</v>
      </c>
      <c r="F140" s="290">
        <f>data!AH62</f>
        <v>0</v>
      </c>
      <c r="G140" s="290">
        <f>data!AI62</f>
        <v>0</v>
      </c>
      <c r="H140" s="290">
        <f>data!AJ62</f>
        <v>5229223</v>
      </c>
      <c r="I140" s="290">
        <f>data!AK62</f>
        <v>0</v>
      </c>
    </row>
    <row r="141" spans="1:14" customFormat="1" ht="20.149999999999999" customHeight="1" x14ac:dyDescent="0.35">
      <c r="A141" s="289">
        <v>8</v>
      </c>
      <c r="B141" s="290" t="s">
        <v>264</v>
      </c>
      <c r="C141" s="290">
        <f>data!AE63</f>
        <v>0</v>
      </c>
      <c r="D141" s="290">
        <f>data!AF63</f>
        <v>0</v>
      </c>
      <c r="E141" s="290">
        <f>data!AG63</f>
        <v>1203307</v>
      </c>
      <c r="F141" s="290">
        <f>data!AH63</f>
        <v>0</v>
      </c>
      <c r="G141" s="290">
        <f>data!AI63</f>
        <v>0</v>
      </c>
      <c r="H141" s="290">
        <f>data!AJ63</f>
        <v>2357308</v>
      </c>
      <c r="I141" s="290">
        <f>data!AK63</f>
        <v>0</v>
      </c>
    </row>
    <row r="142" spans="1:14" customFormat="1" ht="20.149999999999999" customHeight="1" x14ac:dyDescent="0.35">
      <c r="A142" s="289">
        <v>9</v>
      </c>
      <c r="B142" s="290" t="s">
        <v>265</v>
      </c>
      <c r="C142" s="290">
        <f>data!AE64</f>
        <v>17585</v>
      </c>
      <c r="D142" s="290">
        <f>data!AF64</f>
        <v>0</v>
      </c>
      <c r="E142" s="290">
        <f>data!AG64</f>
        <v>353735</v>
      </c>
      <c r="F142" s="290">
        <f>data!AH64</f>
        <v>0</v>
      </c>
      <c r="G142" s="290">
        <f>data!AI64</f>
        <v>0</v>
      </c>
      <c r="H142" s="290">
        <f>data!AJ64</f>
        <v>734747</v>
      </c>
      <c r="I142" s="290">
        <f>data!AK64</f>
        <v>11929</v>
      </c>
    </row>
    <row r="143" spans="1:14" customFormat="1" ht="20.149999999999999" customHeight="1" x14ac:dyDescent="0.35">
      <c r="A143" s="289">
        <v>10</v>
      </c>
      <c r="B143" s="290" t="s">
        <v>524</v>
      </c>
      <c r="C143" s="290">
        <f>data!AE65</f>
        <v>0</v>
      </c>
      <c r="D143" s="290">
        <f>data!AF65</f>
        <v>0</v>
      </c>
      <c r="E143" s="290">
        <f>data!AG65</f>
        <v>0</v>
      </c>
      <c r="F143" s="290">
        <f>data!AH65</f>
        <v>0</v>
      </c>
      <c r="G143" s="290">
        <f>data!AI65</f>
        <v>0</v>
      </c>
      <c r="H143" s="290">
        <f>data!AJ65</f>
        <v>255070</v>
      </c>
      <c r="I143" s="290">
        <f>data!AK65</f>
        <v>0</v>
      </c>
    </row>
    <row r="144" spans="1:14" customFormat="1" ht="20.149999999999999" customHeight="1" x14ac:dyDescent="0.35">
      <c r="A144" s="289">
        <v>11</v>
      </c>
      <c r="B144" s="290" t="s">
        <v>525</v>
      </c>
      <c r="C144" s="290">
        <f>data!AE66</f>
        <v>1044439</v>
      </c>
      <c r="D144" s="290">
        <f>data!AF66</f>
        <v>0</v>
      </c>
      <c r="E144" s="290">
        <f>data!AG66</f>
        <v>1155771</v>
      </c>
      <c r="F144" s="290">
        <f>data!AH66</f>
        <v>0</v>
      </c>
      <c r="G144" s="290">
        <f>data!AI66</f>
        <v>0</v>
      </c>
      <c r="H144" s="290">
        <f>data!AJ66</f>
        <v>1655135</v>
      </c>
      <c r="I144" s="290">
        <f>data!AK66</f>
        <v>217741</v>
      </c>
    </row>
    <row r="145" spans="1:9" customFormat="1" ht="20.149999999999999" customHeight="1" x14ac:dyDescent="0.35">
      <c r="A145" s="289">
        <v>12</v>
      </c>
      <c r="B145" s="290" t="s">
        <v>16</v>
      </c>
      <c r="C145" s="290">
        <f>data!AE67</f>
        <v>0</v>
      </c>
      <c r="D145" s="290">
        <f>data!AF67</f>
        <v>0</v>
      </c>
      <c r="E145" s="290">
        <f>data!AG67</f>
        <v>254998</v>
      </c>
      <c r="F145" s="290">
        <f>data!AH67</f>
        <v>0</v>
      </c>
      <c r="G145" s="290">
        <f>data!AI67</f>
        <v>0</v>
      </c>
      <c r="H145" s="290">
        <f>data!AJ67</f>
        <v>2400490</v>
      </c>
      <c r="I145" s="290">
        <f>data!AK67</f>
        <v>0</v>
      </c>
    </row>
    <row r="146" spans="1:9" customFormat="1" ht="20.149999999999999" customHeight="1" x14ac:dyDescent="0.35">
      <c r="A146" s="289">
        <v>13</v>
      </c>
      <c r="B146" s="290" t="s">
        <v>994</v>
      </c>
      <c r="C146" s="290">
        <f>data!AE68</f>
        <v>0</v>
      </c>
      <c r="D146" s="290">
        <f>data!AF68</f>
        <v>0</v>
      </c>
      <c r="E146" s="290">
        <f>data!AG68</f>
        <v>0</v>
      </c>
      <c r="F146" s="290">
        <f>data!AH68</f>
        <v>0</v>
      </c>
      <c r="G146" s="290">
        <f>data!AI68</f>
        <v>0</v>
      </c>
      <c r="H146" s="290">
        <f>data!AJ68</f>
        <v>16402</v>
      </c>
      <c r="I146" s="290">
        <f>data!AK68</f>
        <v>0</v>
      </c>
    </row>
    <row r="147" spans="1:9" customFormat="1" ht="20.149999999999999" customHeight="1" x14ac:dyDescent="0.35">
      <c r="A147" s="289">
        <v>14</v>
      </c>
      <c r="B147" s="290" t="s">
        <v>995</v>
      </c>
      <c r="C147" s="290">
        <f>data!AE69</f>
        <v>13049</v>
      </c>
      <c r="D147" s="290">
        <f>data!AF69</f>
        <v>0</v>
      </c>
      <c r="E147" s="290">
        <f>data!AG69</f>
        <v>106004</v>
      </c>
      <c r="F147" s="290">
        <f>data!AH69</f>
        <v>0</v>
      </c>
      <c r="G147" s="290">
        <f>data!AI69</f>
        <v>0</v>
      </c>
      <c r="H147" s="290">
        <f>data!AJ69</f>
        <v>849682</v>
      </c>
      <c r="I147" s="290">
        <f>data!AK69</f>
        <v>473</v>
      </c>
    </row>
    <row r="148" spans="1:9" customFormat="1" ht="20.149999999999999" customHeight="1" x14ac:dyDescent="0.35">
      <c r="A148" s="289">
        <v>15</v>
      </c>
      <c r="B148" s="290" t="s">
        <v>284</v>
      </c>
      <c r="C148" s="290">
        <f>-data!AE84</f>
        <v>0</v>
      </c>
      <c r="D148" s="290">
        <f>-data!AF84</f>
        <v>0</v>
      </c>
      <c r="E148" s="290">
        <f>-data!AG84</f>
        <v>0</v>
      </c>
      <c r="F148" s="290">
        <f>-data!AH84</f>
        <v>0</v>
      </c>
      <c r="G148" s="290">
        <f>-data!AI84</f>
        <v>0</v>
      </c>
      <c r="H148" s="290">
        <f>-data!AJ84</f>
        <v>-230216</v>
      </c>
      <c r="I148" s="290">
        <f>-data!AK84</f>
        <v>0</v>
      </c>
    </row>
    <row r="149" spans="1:9" customFormat="1" ht="20.149999999999999" customHeight="1" x14ac:dyDescent="0.35">
      <c r="A149" s="289">
        <v>16</v>
      </c>
      <c r="B149" s="298" t="s">
        <v>996</v>
      </c>
      <c r="C149" s="290">
        <f>data!AE85</f>
        <v>1418104</v>
      </c>
      <c r="D149" s="290">
        <f>data!AF85</f>
        <v>0</v>
      </c>
      <c r="E149" s="290">
        <f>data!AG85</f>
        <v>8923315</v>
      </c>
      <c r="F149" s="290">
        <f>data!AH85</f>
        <v>0</v>
      </c>
      <c r="G149" s="290">
        <f>data!AI85</f>
        <v>0</v>
      </c>
      <c r="H149" s="290">
        <f>data!AJ85</f>
        <v>34075480</v>
      </c>
      <c r="I149" s="290">
        <f>data!AK85</f>
        <v>230143</v>
      </c>
    </row>
    <row r="150" spans="1:9" customFormat="1" ht="20.149999999999999" customHeight="1" x14ac:dyDescent="0.35">
      <c r="A150" s="289">
        <v>17</v>
      </c>
      <c r="B150" s="290" t="s">
        <v>286</v>
      </c>
      <c r="C150" s="300"/>
      <c r="D150" s="300"/>
      <c r="E150" s="300"/>
      <c r="F150" s="300"/>
      <c r="G150" s="300"/>
      <c r="H150" s="300"/>
      <c r="I150" s="300"/>
    </row>
    <row r="151" spans="1:9" customFormat="1" ht="20.149999999999999" customHeight="1" x14ac:dyDescent="0.35">
      <c r="A151" s="289">
        <v>18</v>
      </c>
      <c r="B151" s="290" t="s">
        <v>997</v>
      </c>
      <c r="C151" s="298">
        <f>+data!M696</f>
        <v>543496</v>
      </c>
      <c r="D151" s="298">
        <f>+data!M697</f>
        <v>0</v>
      </c>
      <c r="E151" s="298">
        <f>+data!M698</f>
        <v>3627936</v>
      </c>
      <c r="F151" s="298">
        <f>+data!M699</f>
        <v>0</v>
      </c>
      <c r="G151" s="298">
        <f>+data!M700</f>
        <v>0</v>
      </c>
      <c r="H151" s="298">
        <f>+data!M701</f>
        <v>9521475</v>
      </c>
      <c r="I151" s="298">
        <f>+data!M702</f>
        <v>107152</v>
      </c>
    </row>
    <row r="152" spans="1:9" customFormat="1" ht="20.149999999999999" customHeight="1" x14ac:dyDescent="0.35">
      <c r="A152" s="289">
        <v>19</v>
      </c>
      <c r="B152" s="298" t="s">
        <v>998</v>
      </c>
      <c r="C152" s="290">
        <f>data!AE87</f>
        <v>174755</v>
      </c>
      <c r="D152" s="290">
        <f>data!AF87</f>
        <v>0</v>
      </c>
      <c r="E152" s="290">
        <f>data!AG87</f>
        <v>525347</v>
      </c>
      <c r="F152" s="290">
        <f>data!AH87</f>
        <v>0</v>
      </c>
      <c r="G152" s="290">
        <f>data!AI87</f>
        <v>0</v>
      </c>
      <c r="H152" s="290">
        <f>data!AJ87</f>
        <v>1385392</v>
      </c>
      <c r="I152" s="290">
        <f>data!AK87</f>
        <v>58923</v>
      </c>
    </row>
    <row r="153" spans="1:9" customFormat="1" ht="20.149999999999999" customHeight="1" x14ac:dyDescent="0.35">
      <c r="A153" s="289">
        <v>20</v>
      </c>
      <c r="B153" s="298" t="s">
        <v>999</v>
      </c>
      <c r="C153" s="290">
        <f>data!AE88</f>
        <v>4020011</v>
      </c>
      <c r="D153" s="290">
        <f>data!AF88</f>
        <v>0</v>
      </c>
      <c r="E153" s="290">
        <f>data!AG88</f>
        <v>27176928</v>
      </c>
      <c r="F153" s="290">
        <f>data!AH88</f>
        <v>0</v>
      </c>
      <c r="G153" s="290">
        <f>data!AI88</f>
        <v>0</v>
      </c>
      <c r="H153" s="290">
        <f>data!AJ88</f>
        <v>33036349</v>
      </c>
      <c r="I153" s="290">
        <f>data!AK88</f>
        <v>690368</v>
      </c>
    </row>
    <row r="154" spans="1:9" customFormat="1" ht="20.149999999999999" customHeight="1" x14ac:dyDescent="0.35">
      <c r="A154" s="289">
        <v>21</v>
      </c>
      <c r="B154" s="298" t="s">
        <v>1000</v>
      </c>
      <c r="C154" s="290">
        <f>data!AE89</f>
        <v>4194766</v>
      </c>
      <c r="D154" s="290">
        <f>data!AF89</f>
        <v>0</v>
      </c>
      <c r="E154" s="290">
        <f>data!AG89</f>
        <v>27702275</v>
      </c>
      <c r="F154" s="290">
        <f>data!AH89</f>
        <v>0</v>
      </c>
      <c r="G154" s="290">
        <f>data!AI89</f>
        <v>0</v>
      </c>
      <c r="H154" s="290">
        <f>data!AJ89</f>
        <v>34421741</v>
      </c>
      <c r="I154" s="290">
        <f>data!AK89</f>
        <v>749291</v>
      </c>
    </row>
    <row r="155" spans="1:9" customFormat="1" ht="20.149999999999999" customHeight="1" x14ac:dyDescent="0.35">
      <c r="A155" s="289" t="s">
        <v>1001</v>
      </c>
      <c r="B155" s="290"/>
      <c r="C155" s="300"/>
      <c r="D155" s="300"/>
      <c r="E155" s="300"/>
      <c r="F155" s="300"/>
      <c r="G155" s="300"/>
      <c r="H155" s="300"/>
      <c r="I155" s="300"/>
    </row>
    <row r="156" spans="1:9" customFormat="1" ht="20.149999999999999" customHeight="1" x14ac:dyDescent="0.35">
      <c r="A156" s="289">
        <v>22</v>
      </c>
      <c r="B156" s="290" t="s">
        <v>1002</v>
      </c>
      <c r="C156" s="290">
        <f>data!AE90</f>
        <v>0</v>
      </c>
      <c r="D156" s="290">
        <f>data!AF90</f>
        <v>0</v>
      </c>
      <c r="E156" s="290">
        <f>data!AG90</f>
        <v>5160</v>
      </c>
      <c r="F156" s="290">
        <f>data!AH90</f>
        <v>0</v>
      </c>
      <c r="G156" s="290">
        <f>data!AI90</f>
        <v>0</v>
      </c>
      <c r="H156" s="290">
        <f>data!AJ90</f>
        <v>48575</v>
      </c>
      <c r="I156" s="290">
        <f>data!AK90</f>
        <v>0</v>
      </c>
    </row>
    <row r="157" spans="1:9" customFormat="1" ht="20.149999999999999" customHeight="1" x14ac:dyDescent="0.35">
      <c r="A157" s="289">
        <v>23</v>
      </c>
      <c r="B157" s="290" t="s">
        <v>1003</v>
      </c>
      <c r="C157" s="290">
        <f>data!AE91</f>
        <v>0</v>
      </c>
      <c r="D157" s="290">
        <f>data!AF91</f>
        <v>0</v>
      </c>
      <c r="E157" s="290">
        <f>data!AG91</f>
        <v>687</v>
      </c>
      <c r="F157" s="290">
        <f>data!AH91</f>
        <v>0</v>
      </c>
      <c r="G157" s="290">
        <f>data!AI91</f>
        <v>0</v>
      </c>
      <c r="H157" s="290">
        <f>data!AJ91</f>
        <v>0</v>
      </c>
      <c r="I157" s="290">
        <f>data!AK91</f>
        <v>0</v>
      </c>
    </row>
    <row r="158" spans="1:9" customFormat="1" ht="20.149999999999999" customHeight="1" x14ac:dyDescent="0.35">
      <c r="A158" s="289">
        <v>24</v>
      </c>
      <c r="B158" s="290" t="s">
        <v>1004</v>
      </c>
      <c r="C158" s="290">
        <f>data!AE92</f>
        <v>5755.32</v>
      </c>
      <c r="D158" s="290">
        <f>data!AF92</f>
        <v>0</v>
      </c>
      <c r="E158" s="290">
        <f>data!AG92</f>
        <v>3696.47</v>
      </c>
      <c r="F158" s="290">
        <f>data!AH92</f>
        <v>0</v>
      </c>
      <c r="G158" s="290">
        <f>data!AI92</f>
        <v>0</v>
      </c>
      <c r="H158" s="290">
        <f>data!AJ92</f>
        <v>40855.18</v>
      </c>
      <c r="I158" s="290">
        <f>data!AK92</f>
        <v>1486.16</v>
      </c>
    </row>
    <row r="159" spans="1:9" customFormat="1" ht="20.149999999999999" customHeight="1" x14ac:dyDescent="0.35">
      <c r="A159" s="289">
        <v>25</v>
      </c>
      <c r="B159" s="290" t="s">
        <v>1005</v>
      </c>
      <c r="C159" s="290">
        <f>data!AE93</f>
        <v>6805</v>
      </c>
      <c r="D159" s="290">
        <f>data!AF93</f>
        <v>0</v>
      </c>
      <c r="E159" s="290">
        <f>data!AG93</f>
        <v>68837</v>
      </c>
      <c r="F159" s="290">
        <f>data!AH93</f>
        <v>0</v>
      </c>
      <c r="G159" s="290">
        <f>data!AI93</f>
        <v>0</v>
      </c>
      <c r="H159" s="290">
        <f>data!AJ93</f>
        <v>23681</v>
      </c>
      <c r="I159" s="290">
        <f>data!AK93</f>
        <v>4083</v>
      </c>
    </row>
    <row r="160" spans="1:9" customFormat="1" ht="20.149999999999999" customHeight="1" x14ac:dyDescent="0.35">
      <c r="A160" s="289">
        <v>26</v>
      </c>
      <c r="B160" s="290" t="s">
        <v>294</v>
      </c>
      <c r="C160" s="297">
        <f>data!AE94</f>
        <v>0</v>
      </c>
      <c r="D160" s="297">
        <f>data!AF94</f>
        <v>0</v>
      </c>
      <c r="E160" s="297">
        <f>data!AG94</f>
        <v>22.93</v>
      </c>
      <c r="F160" s="297">
        <f>data!AH94</f>
        <v>0</v>
      </c>
      <c r="G160" s="297">
        <f>data!AI94</f>
        <v>0</v>
      </c>
      <c r="H160" s="297">
        <f>data!AJ94</f>
        <v>28.23</v>
      </c>
      <c r="I160" s="297">
        <f>data!AK94</f>
        <v>0</v>
      </c>
    </row>
    <row r="161" spans="1:9" customFormat="1" ht="20.149999999999999" customHeight="1" x14ac:dyDescent="0.35">
      <c r="A161" s="283" t="s">
        <v>987</v>
      </c>
      <c r="B161" s="284"/>
      <c r="C161" s="284"/>
      <c r="D161" s="284"/>
      <c r="E161" s="284"/>
      <c r="F161" s="284"/>
      <c r="G161" s="284"/>
      <c r="H161" s="284"/>
      <c r="I161" s="283"/>
    </row>
    <row r="162" spans="1:9" customFormat="1" ht="20.149999999999999" customHeight="1" x14ac:dyDescent="0.35">
      <c r="D162" s="285"/>
      <c r="I162" s="286" t="s">
        <v>1021</v>
      </c>
    </row>
    <row r="163" spans="1:9" customFormat="1" ht="20.149999999999999" customHeight="1" x14ac:dyDescent="0.35">
      <c r="A163" s="285"/>
    </row>
    <row r="164" spans="1:9" customFormat="1" ht="20.149999999999999" customHeight="1" x14ac:dyDescent="0.35">
      <c r="A164" s="287" t="str">
        <f>"Hospital: "&amp;data!C98</f>
        <v>Hospital: Kittitas Valley Healthcare</v>
      </c>
      <c r="G164" s="288"/>
      <c r="H164" s="287" t="str">
        <f>"FYE: "&amp;data!C96</f>
        <v>FYE: 12/31/2023</v>
      </c>
    </row>
    <row r="165" spans="1:9" customFormat="1" ht="20.149999999999999" customHeight="1" x14ac:dyDescent="0.35">
      <c r="A165" s="289">
        <v>1</v>
      </c>
      <c r="B165" s="290" t="s">
        <v>236</v>
      </c>
      <c r="C165" s="292" t="s">
        <v>71</v>
      </c>
      <c r="D165" s="292" t="s">
        <v>72</v>
      </c>
      <c r="E165" s="292" t="s">
        <v>73</v>
      </c>
      <c r="F165" s="292" t="s">
        <v>74</v>
      </c>
      <c r="G165" s="292" t="s">
        <v>75</v>
      </c>
      <c r="H165" s="292" t="s">
        <v>76</v>
      </c>
      <c r="I165" s="292" t="s">
        <v>77</v>
      </c>
    </row>
    <row r="166" spans="1:9" customFormat="1" ht="20.149999999999999" customHeight="1" x14ac:dyDescent="0.35">
      <c r="A166" s="293">
        <v>2</v>
      </c>
      <c r="B166" s="294" t="s">
        <v>989</v>
      </c>
      <c r="C166" s="296" t="s">
        <v>150</v>
      </c>
      <c r="D166" s="296" t="s">
        <v>151</v>
      </c>
      <c r="E166" s="296" t="s">
        <v>137</v>
      </c>
      <c r="F166" s="296" t="s">
        <v>152</v>
      </c>
      <c r="G166" s="296" t="s">
        <v>1022</v>
      </c>
      <c r="H166" s="296" t="s">
        <v>154</v>
      </c>
      <c r="I166" s="296" t="s">
        <v>155</v>
      </c>
    </row>
    <row r="167" spans="1:9" customFormat="1" ht="20.149999999999999" customHeight="1" x14ac:dyDescent="0.35">
      <c r="A167" s="293"/>
      <c r="B167" s="294"/>
      <c r="C167" s="296" t="s">
        <v>199</v>
      </c>
      <c r="D167" s="296" t="s">
        <v>199</v>
      </c>
      <c r="E167" s="296" t="s">
        <v>1023</v>
      </c>
      <c r="F167" s="296" t="s">
        <v>209</v>
      </c>
      <c r="G167" s="296" t="s">
        <v>148</v>
      </c>
      <c r="H167" s="295" t="s">
        <v>1024</v>
      </c>
      <c r="I167" s="296" t="s">
        <v>196</v>
      </c>
    </row>
    <row r="168" spans="1:9" customFormat="1" ht="20.149999999999999" customHeight="1" x14ac:dyDescent="0.35">
      <c r="A168" s="289">
        <v>3</v>
      </c>
      <c r="B168" s="290" t="s">
        <v>993</v>
      </c>
      <c r="C168" s="292" t="s">
        <v>253</v>
      </c>
      <c r="D168" s="292" t="s">
        <v>253</v>
      </c>
      <c r="E168" s="292" t="s">
        <v>244</v>
      </c>
      <c r="F168" s="292" t="s">
        <v>254</v>
      </c>
      <c r="G168" s="292" t="s">
        <v>255</v>
      </c>
      <c r="H168" s="292" t="s">
        <v>256</v>
      </c>
      <c r="I168" s="292" t="s">
        <v>255</v>
      </c>
    </row>
    <row r="169" spans="1:9" customFormat="1" ht="20.149999999999999" customHeight="1" x14ac:dyDescent="0.35">
      <c r="A169" s="289">
        <v>4</v>
      </c>
      <c r="B169" s="290" t="s">
        <v>261</v>
      </c>
      <c r="C169" s="290">
        <f>data!AL59</f>
        <v>2068</v>
      </c>
      <c r="D169" s="290">
        <f>data!AM59</f>
        <v>0</v>
      </c>
      <c r="E169" s="290">
        <f>data!AN59</f>
        <v>0</v>
      </c>
      <c r="F169" s="290">
        <f>data!AO59</f>
        <v>30960</v>
      </c>
      <c r="G169" s="290">
        <f>data!AP59</f>
        <v>0</v>
      </c>
      <c r="H169" s="290">
        <f>data!AQ59</f>
        <v>0</v>
      </c>
      <c r="I169" s="290">
        <f>data!AR59</f>
        <v>14742</v>
      </c>
    </row>
    <row r="170" spans="1:9" customFormat="1" ht="20.149999999999999" customHeight="1" x14ac:dyDescent="0.35">
      <c r="A170" s="289">
        <v>5</v>
      </c>
      <c r="B170" s="290" t="s">
        <v>262</v>
      </c>
      <c r="C170" s="297">
        <f>data!AL60</f>
        <v>0.69</v>
      </c>
      <c r="D170" s="297">
        <f>data!AM60</f>
        <v>0</v>
      </c>
      <c r="E170" s="297">
        <f>data!AN60</f>
        <v>0</v>
      </c>
      <c r="F170" s="297">
        <f>data!AO60</f>
        <v>7.29</v>
      </c>
      <c r="G170" s="297">
        <f>data!AP60</f>
        <v>0</v>
      </c>
      <c r="H170" s="297">
        <f>data!AQ60</f>
        <v>0</v>
      </c>
      <c r="I170" s="297">
        <f>data!AR60</f>
        <v>20.89</v>
      </c>
    </row>
    <row r="171" spans="1:9" customFormat="1" ht="20.149999999999999" customHeight="1" x14ac:dyDescent="0.35">
      <c r="A171" s="289">
        <v>6</v>
      </c>
      <c r="B171" s="290" t="s">
        <v>263</v>
      </c>
      <c r="C171" s="290">
        <f>data!AL61</f>
        <v>65123</v>
      </c>
      <c r="D171" s="290">
        <f>data!AM61</f>
        <v>0</v>
      </c>
      <c r="E171" s="290">
        <f>data!AN61</f>
        <v>0</v>
      </c>
      <c r="F171" s="290">
        <f>data!AO61</f>
        <v>677953</v>
      </c>
      <c r="G171" s="290">
        <f>data!AP61</f>
        <v>0</v>
      </c>
      <c r="H171" s="290">
        <f>data!AQ61</f>
        <v>0</v>
      </c>
      <c r="I171" s="290">
        <f>data!AR61</f>
        <v>2011672</v>
      </c>
    </row>
    <row r="172" spans="1:9" customFormat="1" ht="20.149999999999999" customHeight="1" x14ac:dyDescent="0.35">
      <c r="A172" s="289">
        <v>7</v>
      </c>
      <c r="B172" s="290" t="s">
        <v>11</v>
      </c>
      <c r="C172" s="290">
        <f>data!AL62</f>
        <v>16366</v>
      </c>
      <c r="D172" s="290">
        <f>data!AM62</f>
        <v>0</v>
      </c>
      <c r="E172" s="290">
        <f>data!AN62</f>
        <v>0</v>
      </c>
      <c r="F172" s="290">
        <f>data!AO62</f>
        <v>170378</v>
      </c>
      <c r="G172" s="290">
        <f>data!AP62</f>
        <v>0</v>
      </c>
      <c r="H172" s="290">
        <f>data!AQ62</f>
        <v>0</v>
      </c>
      <c r="I172" s="290">
        <f>data!AR62</f>
        <v>505559</v>
      </c>
    </row>
    <row r="173" spans="1:9" customFormat="1" ht="20.149999999999999" customHeight="1" x14ac:dyDescent="0.35">
      <c r="A173" s="289">
        <v>8</v>
      </c>
      <c r="B173" s="290" t="s">
        <v>264</v>
      </c>
      <c r="C173" s="290">
        <f>data!AL63</f>
        <v>5120</v>
      </c>
      <c r="D173" s="290">
        <f>data!AM63</f>
        <v>0</v>
      </c>
      <c r="E173" s="290">
        <f>data!AN63</f>
        <v>0</v>
      </c>
      <c r="F173" s="290">
        <f>data!AO63</f>
        <v>289326</v>
      </c>
      <c r="G173" s="290">
        <f>data!AP63</f>
        <v>0</v>
      </c>
      <c r="H173" s="290">
        <f>data!AQ63</f>
        <v>0</v>
      </c>
      <c r="I173" s="290">
        <f>data!AR63</f>
        <v>0</v>
      </c>
    </row>
    <row r="174" spans="1:9" customFormat="1" ht="20.149999999999999" customHeight="1" x14ac:dyDescent="0.35">
      <c r="A174" s="289">
        <v>9</v>
      </c>
      <c r="B174" s="290" t="s">
        <v>265</v>
      </c>
      <c r="C174" s="290">
        <f>data!AL64</f>
        <v>3734</v>
      </c>
      <c r="D174" s="290">
        <f>data!AM64</f>
        <v>0</v>
      </c>
      <c r="E174" s="290">
        <f>data!AN64</f>
        <v>0</v>
      </c>
      <c r="F174" s="290">
        <f>data!AO64</f>
        <v>46608</v>
      </c>
      <c r="G174" s="290">
        <f>data!AP64</f>
        <v>0</v>
      </c>
      <c r="H174" s="290">
        <f>data!AQ64</f>
        <v>0</v>
      </c>
      <c r="I174" s="290">
        <f>data!AR64</f>
        <v>130925</v>
      </c>
    </row>
    <row r="175" spans="1:9" customFormat="1" ht="20.149999999999999" customHeight="1" x14ac:dyDescent="0.35">
      <c r="A175" s="289">
        <v>10</v>
      </c>
      <c r="B175" s="290" t="s">
        <v>524</v>
      </c>
      <c r="C175" s="290">
        <f>data!AL65</f>
        <v>0</v>
      </c>
      <c r="D175" s="290">
        <f>data!AM65</f>
        <v>0</v>
      </c>
      <c r="E175" s="290">
        <f>data!AN65</f>
        <v>0</v>
      </c>
      <c r="F175" s="290">
        <f>data!AO65</f>
        <v>0</v>
      </c>
      <c r="G175" s="290">
        <f>data!AP65</f>
        <v>0</v>
      </c>
      <c r="H175" s="290">
        <f>data!AQ65</f>
        <v>0</v>
      </c>
      <c r="I175" s="290">
        <f>data!AR65</f>
        <v>0</v>
      </c>
    </row>
    <row r="176" spans="1:9" customFormat="1" ht="20.149999999999999" customHeight="1" x14ac:dyDescent="0.35">
      <c r="A176" s="289">
        <v>11</v>
      </c>
      <c r="B176" s="290" t="s">
        <v>525</v>
      </c>
      <c r="C176" s="290">
        <f>data!AL66</f>
        <v>189179</v>
      </c>
      <c r="D176" s="290">
        <f>data!AM66</f>
        <v>0</v>
      </c>
      <c r="E176" s="290">
        <f>data!AN66</f>
        <v>0</v>
      </c>
      <c r="F176" s="290">
        <f>data!AO66</f>
        <v>206848</v>
      </c>
      <c r="G176" s="290">
        <f>data!AP66</f>
        <v>0</v>
      </c>
      <c r="H176" s="290">
        <f>data!AQ66</f>
        <v>0</v>
      </c>
      <c r="I176" s="290">
        <f>data!AR66</f>
        <v>468894</v>
      </c>
    </row>
    <row r="177" spans="1:9" customFormat="1" ht="20.149999999999999" customHeight="1" x14ac:dyDescent="0.35">
      <c r="A177" s="289">
        <v>12</v>
      </c>
      <c r="B177" s="290" t="s">
        <v>16</v>
      </c>
      <c r="C177" s="290">
        <f>data!AL67</f>
        <v>0</v>
      </c>
      <c r="D177" s="290">
        <f>data!AM67</f>
        <v>0</v>
      </c>
      <c r="E177" s="290">
        <f>data!AN67</f>
        <v>0</v>
      </c>
      <c r="F177" s="290">
        <f>data!AO67</f>
        <v>200094</v>
      </c>
      <c r="G177" s="290">
        <f>data!AP67</f>
        <v>0</v>
      </c>
      <c r="H177" s="290">
        <f>data!AQ67</f>
        <v>0</v>
      </c>
      <c r="I177" s="290">
        <f>data!AR67</f>
        <v>68889</v>
      </c>
    </row>
    <row r="178" spans="1:9" customFormat="1" ht="20.149999999999999" customHeight="1" x14ac:dyDescent="0.35">
      <c r="A178" s="289">
        <v>13</v>
      </c>
      <c r="B178" s="290" t="s">
        <v>994</v>
      </c>
      <c r="C178" s="290">
        <f>data!AL68</f>
        <v>0</v>
      </c>
      <c r="D178" s="290">
        <f>data!AM68</f>
        <v>0</v>
      </c>
      <c r="E178" s="290">
        <f>data!AN68</f>
        <v>0</v>
      </c>
      <c r="F178" s="290">
        <f>data!AO68</f>
        <v>0</v>
      </c>
      <c r="G178" s="290">
        <f>data!AP68</f>
        <v>0</v>
      </c>
      <c r="H178" s="290">
        <f>data!AQ68</f>
        <v>0</v>
      </c>
      <c r="I178" s="290">
        <f>data!AR68</f>
        <v>55817</v>
      </c>
    </row>
    <row r="179" spans="1:9" customFormat="1" ht="20.149999999999999" customHeight="1" x14ac:dyDescent="0.35">
      <c r="A179" s="289">
        <v>14</v>
      </c>
      <c r="B179" s="290" t="s">
        <v>995</v>
      </c>
      <c r="C179" s="290">
        <f>data!AL69</f>
        <v>2184</v>
      </c>
      <c r="D179" s="290">
        <f>data!AM69</f>
        <v>0</v>
      </c>
      <c r="E179" s="290">
        <f>data!AN69</f>
        <v>0</v>
      </c>
      <c r="F179" s="290">
        <f>data!AO69</f>
        <v>8164</v>
      </c>
      <c r="G179" s="290">
        <f>data!AP69</f>
        <v>0</v>
      </c>
      <c r="H179" s="290">
        <f>data!AQ69</f>
        <v>0</v>
      </c>
      <c r="I179" s="290">
        <f>data!AR69</f>
        <v>89877</v>
      </c>
    </row>
    <row r="180" spans="1:9" customFormat="1" ht="20.149999999999999" customHeight="1" x14ac:dyDescent="0.35">
      <c r="A180" s="289">
        <v>15</v>
      </c>
      <c r="B180" s="290" t="s">
        <v>284</v>
      </c>
      <c r="C180" s="290">
        <f>-data!AL84</f>
        <v>0</v>
      </c>
      <c r="D180" s="290">
        <f>-data!AM84</f>
        <v>0</v>
      </c>
      <c r="E180" s="290">
        <f>-data!AN84</f>
        <v>0</v>
      </c>
      <c r="F180" s="290">
        <f>-data!AO84</f>
        <v>0</v>
      </c>
      <c r="G180" s="290">
        <f>-data!AP84</f>
        <v>0</v>
      </c>
      <c r="H180" s="290">
        <f>-data!AQ84</f>
        <v>0</v>
      </c>
      <c r="I180" s="290">
        <f>-data!AR84</f>
        <v>0</v>
      </c>
    </row>
    <row r="181" spans="1:9" customFormat="1" ht="20.149999999999999" customHeight="1" x14ac:dyDescent="0.35">
      <c r="A181" s="289">
        <v>16</v>
      </c>
      <c r="B181" s="298" t="s">
        <v>996</v>
      </c>
      <c r="C181" s="290">
        <f>data!AL85</f>
        <v>281706</v>
      </c>
      <c r="D181" s="290">
        <f>data!AM85</f>
        <v>0</v>
      </c>
      <c r="E181" s="290">
        <f>data!AN85</f>
        <v>0</v>
      </c>
      <c r="F181" s="290">
        <f>data!AO85</f>
        <v>1599371</v>
      </c>
      <c r="G181" s="290">
        <f>data!AP85</f>
        <v>0</v>
      </c>
      <c r="H181" s="290">
        <f>data!AQ85</f>
        <v>0</v>
      </c>
      <c r="I181" s="290">
        <f>data!AR85</f>
        <v>3331633</v>
      </c>
    </row>
    <row r="182" spans="1:9" customFormat="1" ht="20.149999999999999" customHeight="1" x14ac:dyDescent="0.35">
      <c r="A182" s="289">
        <v>17</v>
      </c>
      <c r="B182" s="290" t="s">
        <v>286</v>
      </c>
      <c r="C182" s="300"/>
      <c r="D182" s="300"/>
      <c r="E182" s="300"/>
      <c r="F182" s="300"/>
      <c r="G182" s="300"/>
      <c r="H182" s="300"/>
      <c r="I182" s="300"/>
    </row>
    <row r="183" spans="1:9" customFormat="1" ht="20.149999999999999" customHeight="1" x14ac:dyDescent="0.35">
      <c r="A183" s="289">
        <v>18</v>
      </c>
      <c r="B183" s="290" t="s">
        <v>997</v>
      </c>
      <c r="C183" s="298">
        <f>+data!M703</f>
        <v>90396</v>
      </c>
      <c r="D183" s="298">
        <f>+data!M704</f>
        <v>0</v>
      </c>
      <c r="E183" s="298">
        <f>+data!M705</f>
        <v>0</v>
      </c>
      <c r="F183" s="298">
        <f>+data!M706</f>
        <v>1310619</v>
      </c>
      <c r="G183" s="298">
        <f>+data!M707</f>
        <v>0</v>
      </c>
      <c r="H183" s="298">
        <f>+data!M708</f>
        <v>0</v>
      </c>
      <c r="I183" s="298">
        <f>+data!M709</f>
        <v>812512</v>
      </c>
    </row>
    <row r="184" spans="1:9" customFormat="1" ht="20.149999999999999" customHeight="1" x14ac:dyDescent="0.35">
      <c r="A184" s="289">
        <v>19</v>
      </c>
      <c r="B184" s="298" t="s">
        <v>998</v>
      </c>
      <c r="C184" s="290">
        <f>data!AL87</f>
        <v>32790</v>
      </c>
      <c r="D184" s="290">
        <f>data!AM87</f>
        <v>0</v>
      </c>
      <c r="E184" s="290">
        <f>data!AN87</f>
        <v>0</v>
      </c>
      <c r="F184" s="290">
        <f>data!AO87</f>
        <v>63905</v>
      </c>
      <c r="G184" s="290">
        <f>data!AP87</f>
        <v>0</v>
      </c>
      <c r="H184" s="290">
        <f>data!AQ87</f>
        <v>0</v>
      </c>
      <c r="I184" s="290">
        <f>data!AR87</f>
        <v>0</v>
      </c>
    </row>
    <row r="185" spans="1:9" customFormat="1" ht="20.149999999999999" customHeight="1" x14ac:dyDescent="0.35">
      <c r="A185" s="289">
        <v>20</v>
      </c>
      <c r="B185" s="298" t="s">
        <v>999</v>
      </c>
      <c r="C185" s="290">
        <f>data!AL88</f>
        <v>626949</v>
      </c>
      <c r="D185" s="290">
        <f>data!AM88</f>
        <v>0</v>
      </c>
      <c r="E185" s="290">
        <f>data!AN88</f>
        <v>0</v>
      </c>
      <c r="F185" s="290">
        <f>data!AO88</f>
        <v>5836012</v>
      </c>
      <c r="G185" s="290">
        <f>data!AP88</f>
        <v>0</v>
      </c>
      <c r="H185" s="290">
        <f>data!AQ88</f>
        <v>0</v>
      </c>
      <c r="I185" s="290">
        <f>data!AR88</f>
        <v>3080197</v>
      </c>
    </row>
    <row r="186" spans="1:9" customFormat="1" ht="20.149999999999999" customHeight="1" x14ac:dyDescent="0.35">
      <c r="A186" s="289">
        <v>21</v>
      </c>
      <c r="B186" s="298" t="s">
        <v>1000</v>
      </c>
      <c r="C186" s="290">
        <f>data!AL89</f>
        <v>659739</v>
      </c>
      <c r="D186" s="290">
        <f>data!AM89</f>
        <v>0</v>
      </c>
      <c r="E186" s="290">
        <f>data!AN89</f>
        <v>0</v>
      </c>
      <c r="F186" s="290">
        <f>data!AO89</f>
        <v>5899917</v>
      </c>
      <c r="G186" s="290">
        <f>data!AP89</f>
        <v>0</v>
      </c>
      <c r="H186" s="290">
        <f>data!AQ89</f>
        <v>0</v>
      </c>
      <c r="I186" s="290">
        <f>data!AR89</f>
        <v>3080197</v>
      </c>
    </row>
    <row r="187" spans="1:9" customFormat="1" ht="20.149999999999999" customHeight="1" x14ac:dyDescent="0.35">
      <c r="A187" s="289" t="s">
        <v>1001</v>
      </c>
      <c r="B187" s="290"/>
      <c r="C187" s="300"/>
      <c r="D187" s="300"/>
      <c r="E187" s="300"/>
      <c r="F187" s="300"/>
      <c r="G187" s="300"/>
      <c r="H187" s="300"/>
      <c r="I187" s="300"/>
    </row>
    <row r="188" spans="1:9" customFormat="1" ht="20.149999999999999" customHeight="1" x14ac:dyDescent="0.35">
      <c r="A188" s="289">
        <v>22</v>
      </c>
      <c r="B188" s="290" t="s">
        <v>1002</v>
      </c>
      <c r="C188" s="290">
        <f>data!AL90</f>
        <v>0</v>
      </c>
      <c r="D188" s="290">
        <f>data!AM90</f>
        <v>0</v>
      </c>
      <c r="E188" s="290">
        <f>data!AN90</f>
        <v>0</v>
      </c>
      <c r="F188" s="290">
        <f>data!AO90</f>
        <v>4049</v>
      </c>
      <c r="G188" s="290">
        <f>data!AP90</f>
        <v>0</v>
      </c>
      <c r="H188" s="290">
        <f>data!AQ90</f>
        <v>0</v>
      </c>
      <c r="I188" s="290">
        <f>data!AR90</f>
        <v>1394</v>
      </c>
    </row>
    <row r="189" spans="1:9" customFormat="1" ht="20.149999999999999" customHeight="1" x14ac:dyDescent="0.35">
      <c r="A189" s="289">
        <v>23</v>
      </c>
      <c r="B189" s="290" t="s">
        <v>1003</v>
      </c>
      <c r="C189" s="290">
        <f>data!AL91</f>
        <v>0</v>
      </c>
      <c r="D189" s="290">
        <f>data!AM91</f>
        <v>0</v>
      </c>
      <c r="E189" s="290">
        <f>data!AN91</f>
        <v>0</v>
      </c>
      <c r="F189" s="290">
        <f>data!AO91</f>
        <v>3069</v>
      </c>
      <c r="G189" s="290">
        <f>data!AP91</f>
        <v>0</v>
      </c>
      <c r="H189" s="290">
        <f>data!AQ91</f>
        <v>0</v>
      </c>
      <c r="I189" s="290">
        <f>data!AR91</f>
        <v>0</v>
      </c>
    </row>
    <row r="190" spans="1:9" customFormat="1" ht="20.149999999999999" customHeight="1" x14ac:dyDescent="0.35">
      <c r="A190" s="289">
        <v>24</v>
      </c>
      <c r="B190" s="290" t="s">
        <v>1004</v>
      </c>
      <c r="C190" s="290">
        <f>data!AL92</f>
        <v>989.2</v>
      </c>
      <c r="D190" s="290">
        <f>data!AM92</f>
        <v>0</v>
      </c>
      <c r="E190" s="290">
        <f>data!AN92</f>
        <v>0</v>
      </c>
      <c r="F190" s="290">
        <f>data!AO92</f>
        <v>2900</v>
      </c>
      <c r="G190" s="290">
        <f>data!AP92</f>
        <v>0</v>
      </c>
      <c r="H190" s="290">
        <f>data!AQ92</f>
        <v>0</v>
      </c>
      <c r="I190" s="290">
        <f>data!AR92</f>
        <v>993.93</v>
      </c>
    </row>
    <row r="191" spans="1:9" customFormat="1" ht="20.149999999999999" customHeight="1" x14ac:dyDescent="0.35">
      <c r="A191" s="289">
        <v>25</v>
      </c>
      <c r="B191" s="290" t="s">
        <v>1005</v>
      </c>
      <c r="C191" s="290">
        <f>data!AL93</f>
        <v>0</v>
      </c>
      <c r="D191" s="290">
        <f>data!AM93</f>
        <v>0</v>
      </c>
      <c r="E191" s="290">
        <f>data!AN93</f>
        <v>0</v>
      </c>
      <c r="F191" s="290">
        <f>data!AO93</f>
        <v>26325</v>
      </c>
      <c r="G191" s="290">
        <f>data!AP93</f>
        <v>0</v>
      </c>
      <c r="H191" s="290">
        <f>data!AQ93</f>
        <v>0</v>
      </c>
      <c r="I191" s="290">
        <f>data!AR93</f>
        <v>3266</v>
      </c>
    </row>
    <row r="192" spans="1:9" customFormat="1" ht="20.149999999999999" customHeight="1" x14ac:dyDescent="0.35">
      <c r="A192" s="289">
        <v>26</v>
      </c>
      <c r="B192" s="290" t="s">
        <v>294</v>
      </c>
      <c r="C192" s="297">
        <f>data!AL94</f>
        <v>0</v>
      </c>
      <c r="D192" s="297">
        <f>data!AM94</f>
        <v>0</v>
      </c>
      <c r="E192" s="297">
        <f>data!AN94</f>
        <v>0</v>
      </c>
      <c r="F192" s="297">
        <f>data!AO94</f>
        <v>7.27</v>
      </c>
      <c r="G192" s="297">
        <f>data!AP94</f>
        <v>0</v>
      </c>
      <c r="H192" s="297">
        <f>data!AQ94</f>
        <v>0</v>
      </c>
      <c r="I192" s="297">
        <f>data!AR94</f>
        <v>10.84</v>
      </c>
    </row>
    <row r="193" spans="1:9" customFormat="1" ht="20.149999999999999" customHeight="1" x14ac:dyDescent="0.35">
      <c r="A193" s="283" t="s">
        <v>987</v>
      </c>
      <c r="B193" s="284"/>
      <c r="C193" s="284"/>
      <c r="D193" s="284"/>
      <c r="E193" s="284"/>
      <c r="F193" s="284"/>
      <c r="G193" s="284"/>
      <c r="H193" s="284"/>
      <c r="I193" s="283"/>
    </row>
    <row r="194" spans="1:9" customFormat="1" ht="20.149999999999999" customHeight="1" x14ac:dyDescent="0.35">
      <c r="D194" s="285"/>
      <c r="I194" s="286" t="s">
        <v>1025</v>
      </c>
    </row>
    <row r="195" spans="1:9" customFormat="1" ht="20.149999999999999" customHeight="1" x14ac:dyDescent="0.35">
      <c r="A195" s="285"/>
    </row>
    <row r="196" spans="1:9" customFormat="1" ht="20.149999999999999" customHeight="1" x14ac:dyDescent="0.35">
      <c r="A196" s="287" t="str">
        <f>"Hospital: "&amp;data!C98</f>
        <v>Hospital: Kittitas Valley Healthcare</v>
      </c>
      <c r="G196" s="288"/>
      <c r="H196" s="287" t="str">
        <f>"FYE: "&amp;data!C96</f>
        <v>FYE: 12/31/2023</v>
      </c>
    </row>
    <row r="197" spans="1:9" customFormat="1" ht="20.149999999999999" customHeight="1" x14ac:dyDescent="0.35">
      <c r="A197" s="289">
        <v>1</v>
      </c>
      <c r="B197" s="290" t="s">
        <v>236</v>
      </c>
      <c r="C197" s="292" t="s">
        <v>78</v>
      </c>
      <c r="D197" s="292" t="s">
        <v>79</v>
      </c>
      <c r="E197" s="292" t="s">
        <v>80</v>
      </c>
      <c r="F197" s="292" t="s">
        <v>81</v>
      </c>
      <c r="G197" s="292" t="s">
        <v>82</v>
      </c>
      <c r="H197" s="292" t="s">
        <v>83</v>
      </c>
      <c r="I197" s="292" t="s">
        <v>84</v>
      </c>
    </row>
    <row r="198" spans="1:9" customFormat="1" ht="20.149999999999999" customHeight="1" x14ac:dyDescent="0.35">
      <c r="A198" s="293">
        <v>2</v>
      </c>
      <c r="B198" s="294" t="s">
        <v>989</v>
      </c>
      <c r="C198" s="296"/>
      <c r="D198" s="296" t="s">
        <v>157</v>
      </c>
      <c r="E198" s="296" t="s">
        <v>158</v>
      </c>
      <c r="F198" s="296" t="s">
        <v>159</v>
      </c>
      <c r="G198" s="296" t="s">
        <v>1026</v>
      </c>
      <c r="H198" s="296" t="s">
        <v>161</v>
      </c>
      <c r="I198" s="296"/>
    </row>
    <row r="199" spans="1:9" customFormat="1" ht="20.149999999999999" customHeight="1" x14ac:dyDescent="0.35">
      <c r="A199" s="293"/>
      <c r="B199" s="294"/>
      <c r="C199" s="296" t="s">
        <v>156</v>
      </c>
      <c r="D199" s="296" t="s">
        <v>258</v>
      </c>
      <c r="E199" s="296" t="s">
        <v>1027</v>
      </c>
      <c r="F199" s="296" t="s">
        <v>213</v>
      </c>
      <c r="G199" s="296" t="s">
        <v>228</v>
      </c>
      <c r="H199" s="296" t="s">
        <v>215</v>
      </c>
      <c r="I199" s="296" t="s">
        <v>162</v>
      </c>
    </row>
    <row r="200" spans="1:9" customFormat="1" ht="20.149999999999999" customHeight="1" x14ac:dyDescent="0.35">
      <c r="A200" s="289">
        <v>3</v>
      </c>
      <c r="B200" s="290" t="s">
        <v>993</v>
      </c>
      <c r="C200" s="292" t="s">
        <v>253</v>
      </c>
      <c r="D200" s="292" t="s">
        <v>258</v>
      </c>
      <c r="E200" s="292" t="s">
        <v>255</v>
      </c>
      <c r="F200" s="302"/>
      <c r="G200" s="302"/>
      <c r="H200" s="302"/>
      <c r="I200" s="292" t="s">
        <v>259</v>
      </c>
    </row>
    <row r="201" spans="1:9" customFormat="1" ht="20.149999999999999" customHeight="1" x14ac:dyDescent="0.35">
      <c r="A201" s="289">
        <v>4</v>
      </c>
      <c r="B201" s="290" t="s">
        <v>261</v>
      </c>
      <c r="C201" s="290">
        <f>data!AS59</f>
        <v>0</v>
      </c>
      <c r="D201" s="290">
        <f>data!AT59</f>
        <v>0</v>
      </c>
      <c r="E201" s="290">
        <f>data!AU59</f>
        <v>0</v>
      </c>
      <c r="F201" s="302"/>
      <c r="G201" s="302"/>
      <c r="H201" s="302"/>
      <c r="I201" s="290">
        <f>data!AY59</f>
        <v>14485</v>
      </c>
    </row>
    <row r="202" spans="1:9" customFormat="1" ht="20.149999999999999" customHeight="1" x14ac:dyDescent="0.35">
      <c r="A202" s="289">
        <v>5</v>
      </c>
      <c r="B202" s="290" t="s">
        <v>262</v>
      </c>
      <c r="C202" s="297">
        <f>data!AS60</f>
        <v>0</v>
      </c>
      <c r="D202" s="297">
        <f>data!AT60</f>
        <v>0</v>
      </c>
      <c r="E202" s="297">
        <f>data!AU60</f>
        <v>0</v>
      </c>
      <c r="F202" s="297">
        <f>data!AV60</f>
        <v>0</v>
      </c>
      <c r="G202" s="297">
        <f>data!AW60</f>
        <v>0</v>
      </c>
      <c r="H202" s="297">
        <f>data!AX60</f>
        <v>0</v>
      </c>
      <c r="I202" s="297">
        <f>data!AY60</f>
        <v>13.41</v>
      </c>
    </row>
    <row r="203" spans="1:9" customFormat="1" ht="20.149999999999999" customHeight="1" x14ac:dyDescent="0.35">
      <c r="A203" s="289">
        <v>6</v>
      </c>
      <c r="B203" s="290" t="s">
        <v>263</v>
      </c>
      <c r="C203" s="290">
        <f>data!AS61</f>
        <v>0</v>
      </c>
      <c r="D203" s="290">
        <f>data!AT61</f>
        <v>0</v>
      </c>
      <c r="E203" s="290">
        <f>data!AU61</f>
        <v>0</v>
      </c>
      <c r="F203" s="290">
        <f>data!AV61</f>
        <v>0</v>
      </c>
      <c r="G203" s="290">
        <f>data!AW61</f>
        <v>0</v>
      </c>
      <c r="H203" s="290">
        <f>data!AX61</f>
        <v>0</v>
      </c>
      <c r="I203" s="290">
        <f>data!AY61</f>
        <v>761633</v>
      </c>
    </row>
    <row r="204" spans="1:9" customFormat="1" ht="20.149999999999999" customHeight="1" x14ac:dyDescent="0.35">
      <c r="A204" s="289">
        <v>7</v>
      </c>
      <c r="B204" s="290" t="s">
        <v>11</v>
      </c>
      <c r="C204" s="290">
        <f>data!AS62</f>
        <v>0</v>
      </c>
      <c r="D204" s="290">
        <f>data!AT62</f>
        <v>0</v>
      </c>
      <c r="E204" s="290">
        <f>data!AU62</f>
        <v>0</v>
      </c>
      <c r="F204" s="290">
        <f>data!AV62</f>
        <v>0</v>
      </c>
      <c r="G204" s="290">
        <f>data!AW62</f>
        <v>0</v>
      </c>
      <c r="H204" s="290">
        <f>data!AX62</f>
        <v>0</v>
      </c>
      <c r="I204" s="290">
        <f>data!AY62</f>
        <v>191408</v>
      </c>
    </row>
    <row r="205" spans="1:9" customFormat="1" ht="20.149999999999999" customHeight="1" x14ac:dyDescent="0.35">
      <c r="A205" s="289">
        <v>8</v>
      </c>
      <c r="B205" s="290" t="s">
        <v>264</v>
      </c>
      <c r="C205" s="290">
        <f>data!AS63</f>
        <v>0</v>
      </c>
      <c r="D205" s="290">
        <f>data!AT63</f>
        <v>0</v>
      </c>
      <c r="E205" s="290">
        <f>data!AU63</f>
        <v>0</v>
      </c>
      <c r="F205" s="290">
        <f>data!AV63</f>
        <v>0</v>
      </c>
      <c r="G205" s="290">
        <f>data!AW63</f>
        <v>0</v>
      </c>
      <c r="H205" s="290">
        <f>data!AX63</f>
        <v>0</v>
      </c>
      <c r="I205" s="290">
        <f>data!AY63</f>
        <v>216</v>
      </c>
    </row>
    <row r="206" spans="1:9" customFormat="1" ht="20.149999999999999" customHeight="1" x14ac:dyDescent="0.35">
      <c r="A206" s="289">
        <v>9</v>
      </c>
      <c r="B206" s="290" t="s">
        <v>265</v>
      </c>
      <c r="C206" s="290">
        <f>data!AS64</f>
        <v>0</v>
      </c>
      <c r="D206" s="290">
        <f>data!AT64</f>
        <v>0</v>
      </c>
      <c r="E206" s="290">
        <f>data!AU64</f>
        <v>0</v>
      </c>
      <c r="F206" s="290">
        <f>data!AV64</f>
        <v>0</v>
      </c>
      <c r="G206" s="290">
        <f>data!AW64</f>
        <v>0</v>
      </c>
      <c r="H206" s="290">
        <f>data!AX64</f>
        <v>0</v>
      </c>
      <c r="I206" s="290">
        <f>data!AY64</f>
        <v>411676</v>
      </c>
    </row>
    <row r="207" spans="1:9" customFormat="1" ht="20.149999999999999" customHeight="1" x14ac:dyDescent="0.35">
      <c r="A207" s="289">
        <v>10</v>
      </c>
      <c r="B207" s="290" t="s">
        <v>524</v>
      </c>
      <c r="C207" s="290">
        <f>data!AS65</f>
        <v>0</v>
      </c>
      <c r="D207" s="290">
        <f>data!AT65</f>
        <v>0</v>
      </c>
      <c r="E207" s="290">
        <f>data!AU65</f>
        <v>0</v>
      </c>
      <c r="F207" s="290">
        <f>data!AV65</f>
        <v>0</v>
      </c>
      <c r="G207" s="290">
        <f>data!AW65</f>
        <v>0</v>
      </c>
      <c r="H207" s="290">
        <f>data!AX65</f>
        <v>0</v>
      </c>
      <c r="I207" s="290">
        <f>data!AY65</f>
        <v>0</v>
      </c>
    </row>
    <row r="208" spans="1:9" customFormat="1" ht="20.149999999999999" customHeight="1" x14ac:dyDescent="0.35">
      <c r="A208" s="289">
        <v>11</v>
      </c>
      <c r="B208" s="290" t="s">
        <v>525</v>
      </c>
      <c r="C208" s="290">
        <f>data!AS66</f>
        <v>0</v>
      </c>
      <c r="D208" s="290">
        <f>data!AT66</f>
        <v>0</v>
      </c>
      <c r="E208" s="290">
        <f>data!AU66</f>
        <v>0</v>
      </c>
      <c r="F208" s="290">
        <f>data!AV66</f>
        <v>0</v>
      </c>
      <c r="G208" s="290">
        <f>data!AW66</f>
        <v>0</v>
      </c>
      <c r="H208" s="290">
        <f>data!AX66</f>
        <v>0</v>
      </c>
      <c r="I208" s="290">
        <f>data!AY66</f>
        <v>5655</v>
      </c>
    </row>
    <row r="209" spans="1:9" customFormat="1" ht="20.149999999999999" customHeight="1" x14ac:dyDescent="0.35">
      <c r="A209" s="289">
        <v>12</v>
      </c>
      <c r="B209" s="290" t="s">
        <v>16</v>
      </c>
      <c r="C209" s="290">
        <f>data!AS67</f>
        <v>0</v>
      </c>
      <c r="D209" s="290">
        <f>data!AT67</f>
        <v>0</v>
      </c>
      <c r="E209" s="290">
        <f>data!AU67</f>
        <v>0</v>
      </c>
      <c r="F209" s="290">
        <f>data!AV67</f>
        <v>0</v>
      </c>
      <c r="G209" s="290">
        <f>data!AW67</f>
        <v>0</v>
      </c>
      <c r="H209" s="290">
        <f>data!AX67</f>
        <v>0</v>
      </c>
      <c r="I209" s="290">
        <f>data!AY67</f>
        <v>131107</v>
      </c>
    </row>
    <row r="210" spans="1:9" customFormat="1" ht="20.149999999999999" customHeight="1" x14ac:dyDescent="0.35">
      <c r="A210" s="289">
        <v>13</v>
      </c>
      <c r="B210" s="290" t="s">
        <v>994</v>
      </c>
      <c r="C210" s="290">
        <f>data!AS68</f>
        <v>0</v>
      </c>
      <c r="D210" s="290">
        <f>data!AT68</f>
        <v>0</v>
      </c>
      <c r="E210" s="290">
        <f>data!AU68</f>
        <v>0</v>
      </c>
      <c r="F210" s="290">
        <f>data!AV68</f>
        <v>0</v>
      </c>
      <c r="G210" s="290">
        <f>data!AW68</f>
        <v>0</v>
      </c>
      <c r="H210" s="290">
        <f>data!AX68</f>
        <v>0</v>
      </c>
      <c r="I210" s="290">
        <f>data!AY68</f>
        <v>1567</v>
      </c>
    </row>
    <row r="211" spans="1:9" customFormat="1" ht="20.149999999999999" customHeight="1" x14ac:dyDescent="0.35">
      <c r="A211" s="289">
        <v>14</v>
      </c>
      <c r="B211" s="290" t="s">
        <v>995</v>
      </c>
      <c r="C211" s="290">
        <f>data!AS69</f>
        <v>0</v>
      </c>
      <c r="D211" s="290">
        <f>data!AT69</f>
        <v>0</v>
      </c>
      <c r="E211" s="290">
        <f>data!AU69</f>
        <v>0</v>
      </c>
      <c r="F211" s="290">
        <f>data!AV69</f>
        <v>0</v>
      </c>
      <c r="G211" s="290">
        <f>data!AW69</f>
        <v>0</v>
      </c>
      <c r="H211" s="290">
        <f>data!AX69</f>
        <v>0</v>
      </c>
      <c r="I211" s="290">
        <f>data!AY69</f>
        <v>28103</v>
      </c>
    </row>
    <row r="212" spans="1:9" customFormat="1" ht="20.149999999999999" customHeight="1" x14ac:dyDescent="0.35">
      <c r="A212" s="289">
        <v>15</v>
      </c>
      <c r="B212" s="290" t="s">
        <v>284</v>
      </c>
      <c r="C212" s="290">
        <f>-data!AS84</f>
        <v>0</v>
      </c>
      <c r="D212" s="290">
        <f>-data!AT84</f>
        <v>0</v>
      </c>
      <c r="E212" s="290">
        <f>-data!AU84</f>
        <v>0</v>
      </c>
      <c r="F212" s="290">
        <f>-data!AV84</f>
        <v>0</v>
      </c>
      <c r="G212" s="290">
        <f>-data!AW84</f>
        <v>0</v>
      </c>
      <c r="H212" s="290">
        <f>-data!AX84</f>
        <v>0</v>
      </c>
      <c r="I212" s="290">
        <f>-data!AY84</f>
        <v>-390678</v>
      </c>
    </row>
    <row r="213" spans="1:9" customFormat="1" ht="20.149999999999999" customHeight="1" x14ac:dyDescent="0.35">
      <c r="A213" s="289">
        <v>16</v>
      </c>
      <c r="B213" s="298" t="s">
        <v>996</v>
      </c>
      <c r="C213" s="290">
        <f>data!AS85</f>
        <v>0</v>
      </c>
      <c r="D213" s="290">
        <f>data!AT85</f>
        <v>0</v>
      </c>
      <c r="E213" s="290">
        <f>data!AU85</f>
        <v>0</v>
      </c>
      <c r="F213" s="290">
        <f>data!AV85</f>
        <v>0</v>
      </c>
      <c r="G213" s="290">
        <f>data!AW85</f>
        <v>0</v>
      </c>
      <c r="H213" s="290">
        <f>data!AX85</f>
        <v>0</v>
      </c>
      <c r="I213" s="290">
        <f>data!AY85</f>
        <v>1140687</v>
      </c>
    </row>
    <row r="214" spans="1:9" customFormat="1" ht="20.149999999999999" customHeight="1" x14ac:dyDescent="0.35">
      <c r="A214" s="289">
        <v>17</v>
      </c>
      <c r="B214" s="290" t="s">
        <v>286</v>
      </c>
      <c r="C214" s="300"/>
      <c r="D214" s="300"/>
      <c r="E214" s="300"/>
      <c r="F214" s="300"/>
      <c r="G214" s="300"/>
      <c r="H214" s="300"/>
      <c r="I214" s="300"/>
    </row>
    <row r="215" spans="1:9" customFormat="1" ht="20.149999999999999" customHeight="1" x14ac:dyDescent="0.35">
      <c r="A215" s="289">
        <v>18</v>
      </c>
      <c r="B215" s="290" t="s">
        <v>997</v>
      </c>
      <c r="C215" s="298">
        <f>+data!M710</f>
        <v>0</v>
      </c>
      <c r="D215" s="298">
        <f>+data!M711</f>
        <v>0</v>
      </c>
      <c r="E215" s="298">
        <f>+data!M712</f>
        <v>0</v>
      </c>
      <c r="F215" s="298">
        <f>+data!M713</f>
        <v>0</v>
      </c>
      <c r="G215" s="304"/>
      <c r="H215" s="290"/>
      <c r="I215" s="290"/>
    </row>
    <row r="216" spans="1:9" customFormat="1" ht="20.149999999999999" customHeight="1" x14ac:dyDescent="0.35">
      <c r="A216" s="289">
        <v>19</v>
      </c>
      <c r="B216" s="298" t="s">
        <v>998</v>
      </c>
      <c r="C216" s="290">
        <f>data!AS87</f>
        <v>0</v>
      </c>
      <c r="D216" s="290">
        <f>data!AT87</f>
        <v>0</v>
      </c>
      <c r="E216" s="290">
        <f>data!AU87</f>
        <v>0</v>
      </c>
      <c r="F216" s="290">
        <f>data!AV87</f>
        <v>0</v>
      </c>
      <c r="G216" s="305" t="str">
        <f>IF(data!AW87&gt;0,data!AW87,"")</f>
        <v>x</v>
      </c>
      <c r="H216" s="305" t="str">
        <f>IF(data!AX87&gt;0,data!AX87,"")</f>
        <v>x</v>
      </c>
      <c r="I216" s="305" t="str">
        <f>IF(data!AY87&gt;0,data!AY87,"")</f>
        <v>x</v>
      </c>
    </row>
    <row r="217" spans="1:9" customFormat="1" ht="20.149999999999999" customHeight="1" x14ac:dyDescent="0.35">
      <c r="A217" s="289">
        <v>20</v>
      </c>
      <c r="B217" s="298" t="s">
        <v>999</v>
      </c>
      <c r="C217" s="290">
        <f>data!AS88</f>
        <v>0</v>
      </c>
      <c r="D217" s="290">
        <f>data!AT88</f>
        <v>0</v>
      </c>
      <c r="E217" s="290">
        <f>data!AU88</f>
        <v>0</v>
      </c>
      <c r="F217" s="290">
        <f>data!AV88</f>
        <v>0</v>
      </c>
      <c r="G217" s="305" t="str">
        <f>IF(data!AW88&gt;0,data!AW88,"")</f>
        <v>x</v>
      </c>
      <c r="H217" s="305" t="str">
        <f>IF(data!AX88&gt;0,data!AX88,"")</f>
        <v>x</v>
      </c>
      <c r="I217" s="305" t="str">
        <f>IF(data!AY88&gt;0,data!AY88,"")</f>
        <v>x</v>
      </c>
    </row>
    <row r="218" spans="1:9" customFormat="1" ht="20.149999999999999" customHeight="1" x14ac:dyDescent="0.35">
      <c r="A218" s="289">
        <v>21</v>
      </c>
      <c r="B218" s="298" t="s">
        <v>1000</v>
      </c>
      <c r="C218" s="290">
        <f>data!AS89</f>
        <v>0</v>
      </c>
      <c r="D218" s="290">
        <f>data!AT89</f>
        <v>0</v>
      </c>
      <c r="E218" s="290">
        <f>data!AU89</f>
        <v>0</v>
      </c>
      <c r="F218" s="290">
        <f>data!AV89</f>
        <v>0</v>
      </c>
      <c r="G218" s="305" t="str">
        <f>IF(data!AW89&gt;0,data!AW89,"")</f>
        <v>x</v>
      </c>
      <c r="H218" s="305" t="str">
        <f>IF(data!AX89&gt;0,data!AX89,"")</f>
        <v>x</v>
      </c>
      <c r="I218" s="305" t="str">
        <f>IF(data!AY89&gt;0,data!AY89,"")</f>
        <v>x</v>
      </c>
    </row>
    <row r="219" spans="1:9" customFormat="1" ht="20.149999999999999" customHeight="1" x14ac:dyDescent="0.35">
      <c r="A219" s="289" t="s">
        <v>1001</v>
      </c>
      <c r="B219" s="290"/>
      <c r="C219" s="300"/>
      <c r="D219" s="300"/>
      <c r="E219" s="300"/>
      <c r="F219" s="300"/>
      <c r="G219" s="300"/>
      <c r="H219" s="300"/>
      <c r="I219" s="300"/>
    </row>
    <row r="220" spans="1:9" customFormat="1" ht="20.149999999999999" customHeight="1" x14ac:dyDescent="0.35">
      <c r="A220" s="289">
        <v>22</v>
      </c>
      <c r="B220" s="290" t="s">
        <v>1002</v>
      </c>
      <c r="C220" s="290">
        <f>data!AS90</f>
        <v>0</v>
      </c>
      <c r="D220" s="290">
        <f>data!AT90</f>
        <v>0</v>
      </c>
      <c r="E220" s="290">
        <f>data!AU90</f>
        <v>0</v>
      </c>
      <c r="F220" s="290">
        <f>data!AV90</f>
        <v>0</v>
      </c>
      <c r="G220" s="290">
        <f>data!AW90</f>
        <v>0</v>
      </c>
      <c r="H220" s="290">
        <f>data!AX90</f>
        <v>0</v>
      </c>
      <c r="I220" s="290">
        <f>data!AY90</f>
        <v>2653</v>
      </c>
    </row>
    <row r="221" spans="1:9" customFormat="1" ht="20.149999999999999" customHeight="1" x14ac:dyDescent="0.35">
      <c r="A221" s="289">
        <v>23</v>
      </c>
      <c r="B221" s="290" t="s">
        <v>1003</v>
      </c>
      <c r="C221" s="290">
        <f>data!AS91</f>
        <v>0</v>
      </c>
      <c r="D221" s="290">
        <f>data!AT91</f>
        <v>0</v>
      </c>
      <c r="E221" s="290">
        <f>data!AU91</f>
        <v>0</v>
      </c>
      <c r="F221" s="290">
        <f>data!AV91</f>
        <v>0</v>
      </c>
      <c r="G221" s="290">
        <f>data!AW91</f>
        <v>0</v>
      </c>
      <c r="H221" s="305" t="str">
        <f>IF(data!AX91&gt;0,data!AX91,"")</f>
        <v>x</v>
      </c>
      <c r="I221" s="305" t="str">
        <f>IF(data!AY91&gt;0,data!AY91,"")</f>
        <v>x</v>
      </c>
    </row>
    <row r="222" spans="1:9" customFormat="1" ht="20.149999999999999" customHeight="1" x14ac:dyDescent="0.35">
      <c r="A222" s="289">
        <v>24</v>
      </c>
      <c r="B222" s="290" t="s">
        <v>1004</v>
      </c>
      <c r="C222" s="290">
        <f>data!AS92</f>
        <v>0</v>
      </c>
      <c r="D222" s="290">
        <f>data!AT92</f>
        <v>0</v>
      </c>
      <c r="E222" s="290">
        <f>data!AU92</f>
        <v>0</v>
      </c>
      <c r="F222" s="290">
        <f>data!AV92</f>
        <v>0</v>
      </c>
      <c r="G222" s="290">
        <f>data!AW92</f>
        <v>0</v>
      </c>
      <c r="H222" s="305" t="str">
        <f>IF(data!AX92&gt;0,data!AX92,"")</f>
        <v>x</v>
      </c>
      <c r="I222" s="305" t="str">
        <f>IF(data!AY92&gt;0,data!AY92,"")</f>
        <v>x</v>
      </c>
    </row>
    <row r="223" spans="1:9" customFormat="1" ht="20.149999999999999" customHeight="1" x14ac:dyDescent="0.35">
      <c r="A223" s="289">
        <v>25</v>
      </c>
      <c r="B223" s="290" t="s">
        <v>1005</v>
      </c>
      <c r="C223" s="290">
        <f>data!AS93</f>
        <v>0</v>
      </c>
      <c r="D223" s="290">
        <f>data!AT93</f>
        <v>0</v>
      </c>
      <c r="E223" s="290">
        <f>data!AU93</f>
        <v>0</v>
      </c>
      <c r="F223" s="290">
        <f>data!AV93</f>
        <v>0</v>
      </c>
      <c r="G223" s="290">
        <f>data!AW93</f>
        <v>0</v>
      </c>
      <c r="H223" s="305" t="str">
        <f>IF(data!AX93&gt;0,data!AX93,"")</f>
        <v>x</v>
      </c>
      <c r="I223" s="305" t="str">
        <f>IF(data!AY93&gt;0,data!AY93,"")</f>
        <v>x</v>
      </c>
    </row>
    <row r="224" spans="1:9" customFormat="1" ht="20.149999999999999" customHeight="1" x14ac:dyDescent="0.35">
      <c r="A224" s="289">
        <v>26</v>
      </c>
      <c r="B224" s="290" t="s">
        <v>294</v>
      </c>
      <c r="C224" s="297">
        <f>data!AS94</f>
        <v>0</v>
      </c>
      <c r="D224" s="297">
        <f>data!AT94</f>
        <v>0</v>
      </c>
      <c r="E224" s="297">
        <f>data!AU94</f>
        <v>0</v>
      </c>
      <c r="F224" s="297">
        <f>data!AV94</f>
        <v>0</v>
      </c>
      <c r="G224" s="305" t="str">
        <f>IF(data!AW94&gt;0,data!AW94,"")</f>
        <v>x</v>
      </c>
      <c r="H224" s="305" t="str">
        <f>IF(data!AX94&gt;0,data!AX94,"")</f>
        <v>x</v>
      </c>
      <c r="I224" s="305" t="str">
        <f>IF(data!AY94&gt;0,data!AY94,"")</f>
        <v>x</v>
      </c>
    </row>
    <row r="225" spans="1:9" customFormat="1" ht="20.149999999999999" customHeight="1" x14ac:dyDescent="0.35">
      <c r="A225" s="283" t="s">
        <v>987</v>
      </c>
      <c r="B225" s="284"/>
      <c r="C225" s="284"/>
      <c r="D225" s="284"/>
      <c r="E225" s="284"/>
      <c r="F225" s="284"/>
      <c r="G225" s="284"/>
      <c r="H225" s="284"/>
      <c r="I225" s="283"/>
    </row>
    <row r="226" spans="1:9" customFormat="1" ht="20.149999999999999" customHeight="1" x14ac:dyDescent="0.35">
      <c r="D226" s="285"/>
      <c r="I226" s="286" t="s">
        <v>1028</v>
      </c>
    </row>
    <row r="227" spans="1:9" customFormat="1" ht="20.149999999999999" customHeight="1" x14ac:dyDescent="0.35">
      <c r="A227" s="285"/>
    </row>
    <row r="228" spans="1:9" customFormat="1" ht="20.149999999999999" customHeight="1" x14ac:dyDescent="0.35">
      <c r="A228" s="287" t="str">
        <f>"Hospital: "&amp;data!C98</f>
        <v>Hospital: Kittitas Valley Healthcare</v>
      </c>
      <c r="G228" s="288"/>
      <c r="H228" s="287" t="str">
        <f>"FYE: "&amp;data!C96</f>
        <v>FYE: 12/31/2023</v>
      </c>
    </row>
    <row r="229" spans="1:9" customFormat="1" ht="20.149999999999999" customHeight="1" x14ac:dyDescent="0.35">
      <c r="A229" s="289">
        <v>1</v>
      </c>
      <c r="B229" s="290" t="s">
        <v>236</v>
      </c>
      <c r="C229" s="292" t="s">
        <v>85</v>
      </c>
      <c r="D229" s="292" t="s">
        <v>86</v>
      </c>
      <c r="E229" s="292" t="s">
        <v>87</v>
      </c>
      <c r="F229" s="292" t="s">
        <v>88</v>
      </c>
      <c r="G229" s="292" t="s">
        <v>89</v>
      </c>
      <c r="H229" s="292" t="s">
        <v>90</v>
      </c>
      <c r="I229" s="292" t="s">
        <v>91</v>
      </c>
    </row>
    <row r="230" spans="1:9" customFormat="1" ht="20.149999999999999" customHeight="1" x14ac:dyDescent="0.35">
      <c r="A230" s="293">
        <v>2</v>
      </c>
      <c r="B230" s="294" t="s">
        <v>989</v>
      </c>
      <c r="C230" s="296"/>
      <c r="D230" s="296" t="s">
        <v>164</v>
      </c>
      <c r="E230" s="296" t="s">
        <v>165</v>
      </c>
      <c r="F230" s="296" t="s">
        <v>134</v>
      </c>
      <c r="G230" s="296"/>
      <c r="H230" s="296"/>
      <c r="I230" s="296"/>
    </row>
    <row r="231" spans="1:9" customFormat="1" ht="20.149999999999999" customHeight="1" x14ac:dyDescent="0.35">
      <c r="A231" s="293"/>
      <c r="B231" s="294"/>
      <c r="C231" s="296" t="s">
        <v>163</v>
      </c>
      <c r="D231" s="296" t="s">
        <v>216</v>
      </c>
      <c r="E231" s="296" t="s">
        <v>1029</v>
      </c>
      <c r="F231" s="296" t="s">
        <v>1030</v>
      </c>
      <c r="G231" s="296" t="s">
        <v>166</v>
      </c>
      <c r="H231" s="296" t="s">
        <v>167</v>
      </c>
      <c r="I231" s="296" t="s">
        <v>168</v>
      </c>
    </row>
    <row r="232" spans="1:9" customFormat="1" ht="20.149999999999999" customHeight="1" x14ac:dyDescent="0.35">
      <c r="A232" s="289">
        <v>3</v>
      </c>
      <c r="B232" s="290" t="s">
        <v>993</v>
      </c>
      <c r="C232" s="292" t="s">
        <v>1031</v>
      </c>
      <c r="D232" s="292" t="s">
        <v>1032</v>
      </c>
      <c r="E232" s="302"/>
      <c r="F232" s="302"/>
      <c r="G232" s="302"/>
      <c r="H232" s="292" t="s">
        <v>260</v>
      </c>
      <c r="I232" s="302"/>
    </row>
    <row r="233" spans="1:9" customFormat="1" ht="20.149999999999999" customHeight="1" x14ac:dyDescent="0.35">
      <c r="A233" s="289">
        <v>4</v>
      </c>
      <c r="B233" s="290" t="s">
        <v>261</v>
      </c>
      <c r="C233" s="290">
        <f>data!AZ59</f>
        <v>0</v>
      </c>
      <c r="D233" s="290">
        <f>data!BA59</f>
        <v>0</v>
      </c>
      <c r="E233" s="302"/>
      <c r="F233" s="302"/>
      <c r="G233" s="302"/>
      <c r="H233" s="290">
        <f>data!BE59</f>
        <v>145989</v>
      </c>
      <c r="I233" s="302"/>
    </row>
    <row r="234" spans="1:9" customFormat="1" ht="20.149999999999999" customHeight="1" x14ac:dyDescent="0.35">
      <c r="A234" s="289">
        <v>5</v>
      </c>
      <c r="B234" s="290" t="s">
        <v>262</v>
      </c>
      <c r="C234" s="297">
        <f>data!AZ60</f>
        <v>0</v>
      </c>
      <c r="D234" s="297">
        <f>data!BA60</f>
        <v>3.1</v>
      </c>
      <c r="E234" s="297">
        <f>data!BB60</f>
        <v>1.84</v>
      </c>
      <c r="F234" s="297">
        <f>data!BC60</f>
        <v>0</v>
      </c>
      <c r="G234" s="297">
        <f>data!BD60</f>
        <v>5.75</v>
      </c>
      <c r="H234" s="297">
        <f>data!BE60</f>
        <v>9.5</v>
      </c>
      <c r="I234" s="297">
        <f>data!BF60</f>
        <v>24.25</v>
      </c>
    </row>
    <row r="235" spans="1:9" customFormat="1" ht="20.149999999999999" customHeight="1" x14ac:dyDescent="0.35">
      <c r="A235" s="289">
        <v>6</v>
      </c>
      <c r="B235" s="290" t="s">
        <v>263</v>
      </c>
      <c r="C235" s="290">
        <f>data!AZ61</f>
        <v>0</v>
      </c>
      <c r="D235" s="290">
        <f>data!BA61</f>
        <v>166697</v>
      </c>
      <c r="E235" s="290">
        <f>data!BB61</f>
        <v>151462</v>
      </c>
      <c r="F235" s="290">
        <f>data!BC61</f>
        <v>0</v>
      </c>
      <c r="G235" s="290">
        <f>data!BD61</f>
        <v>320060</v>
      </c>
      <c r="H235" s="290">
        <f>data!BE61</f>
        <v>749670</v>
      </c>
      <c r="I235" s="290">
        <f>data!BF61</f>
        <v>1135398</v>
      </c>
    </row>
    <row r="236" spans="1:9" customFormat="1" ht="20.149999999999999" customHeight="1" x14ac:dyDescent="0.35">
      <c r="A236" s="289">
        <v>7</v>
      </c>
      <c r="B236" s="290" t="s">
        <v>11</v>
      </c>
      <c r="C236" s="290">
        <f>data!AZ62</f>
        <v>0</v>
      </c>
      <c r="D236" s="290">
        <f>data!BA62</f>
        <v>41893</v>
      </c>
      <c r="E236" s="290">
        <f>data!BB62</f>
        <v>38064</v>
      </c>
      <c r="F236" s="290">
        <f>data!BC62</f>
        <v>0</v>
      </c>
      <c r="G236" s="290">
        <f>data!BD62</f>
        <v>80435</v>
      </c>
      <c r="H236" s="290">
        <f>data!BE62</f>
        <v>188402</v>
      </c>
      <c r="I236" s="290">
        <f>data!BF62</f>
        <v>285340</v>
      </c>
    </row>
    <row r="237" spans="1:9" customFormat="1" ht="20.149999999999999" customHeight="1" x14ac:dyDescent="0.35">
      <c r="A237" s="289">
        <v>8</v>
      </c>
      <c r="B237" s="290" t="s">
        <v>264</v>
      </c>
      <c r="C237" s="290">
        <f>data!AZ63</f>
        <v>0</v>
      </c>
      <c r="D237" s="290">
        <f>data!BA63</f>
        <v>0</v>
      </c>
      <c r="E237" s="290">
        <f>data!BB63</f>
        <v>0</v>
      </c>
      <c r="F237" s="290">
        <f>data!BC63</f>
        <v>0</v>
      </c>
      <c r="G237" s="290">
        <f>data!BD63</f>
        <v>0</v>
      </c>
      <c r="H237" s="290">
        <f>data!BE63</f>
        <v>8</v>
      </c>
      <c r="I237" s="290">
        <f>data!BF63</f>
        <v>0</v>
      </c>
    </row>
    <row r="238" spans="1:9" customFormat="1" ht="20.149999999999999" customHeight="1" x14ac:dyDescent="0.35">
      <c r="A238" s="289">
        <v>9</v>
      </c>
      <c r="B238" s="290" t="s">
        <v>265</v>
      </c>
      <c r="C238" s="290">
        <f>data!AZ64</f>
        <v>0</v>
      </c>
      <c r="D238" s="290">
        <f>data!BA64</f>
        <v>10</v>
      </c>
      <c r="E238" s="290">
        <f>data!BB64</f>
        <v>302</v>
      </c>
      <c r="F238" s="290">
        <f>data!BC64</f>
        <v>0</v>
      </c>
      <c r="G238" s="290">
        <f>data!BD64</f>
        <v>-13186</v>
      </c>
      <c r="H238" s="290">
        <f>data!BE64</f>
        <v>66923</v>
      </c>
      <c r="I238" s="290">
        <f>data!BF64</f>
        <v>317652</v>
      </c>
    </row>
    <row r="239" spans="1:9" customFormat="1" ht="20.149999999999999" customHeight="1" x14ac:dyDescent="0.35">
      <c r="A239" s="289">
        <v>10</v>
      </c>
      <c r="B239" s="290" t="s">
        <v>524</v>
      </c>
      <c r="C239" s="290">
        <f>data!AZ65</f>
        <v>0</v>
      </c>
      <c r="D239" s="290">
        <f>data!BA65</f>
        <v>0</v>
      </c>
      <c r="E239" s="290">
        <f>data!BB65</f>
        <v>0</v>
      </c>
      <c r="F239" s="290">
        <f>data!BC65</f>
        <v>0</v>
      </c>
      <c r="G239" s="290">
        <f>data!BD65</f>
        <v>0</v>
      </c>
      <c r="H239" s="290">
        <f>data!BE65</f>
        <v>677458</v>
      </c>
      <c r="I239" s="290">
        <f>data!BF65</f>
        <v>0</v>
      </c>
    </row>
    <row r="240" spans="1:9" customFormat="1" ht="20.149999999999999" customHeight="1" x14ac:dyDescent="0.35">
      <c r="A240" s="289">
        <v>11</v>
      </c>
      <c r="B240" s="290" t="s">
        <v>525</v>
      </c>
      <c r="C240" s="290">
        <f>data!AZ66</f>
        <v>0</v>
      </c>
      <c r="D240" s="290">
        <f>data!BA66</f>
        <v>5256</v>
      </c>
      <c r="E240" s="290">
        <f>data!BB66</f>
        <v>7467</v>
      </c>
      <c r="F240" s="290">
        <f>data!BC66</f>
        <v>0</v>
      </c>
      <c r="G240" s="290">
        <f>data!BD66</f>
        <v>169239</v>
      </c>
      <c r="H240" s="290">
        <f>data!BE66</f>
        <v>450224</v>
      </c>
      <c r="I240" s="290">
        <f>data!BF66</f>
        <v>60583</v>
      </c>
    </row>
    <row r="241" spans="1:9" customFormat="1" ht="20.149999999999999" customHeight="1" x14ac:dyDescent="0.35">
      <c r="A241" s="289">
        <v>12</v>
      </c>
      <c r="B241" s="290" t="s">
        <v>16</v>
      </c>
      <c r="C241" s="290">
        <f>data!AZ67</f>
        <v>84604</v>
      </c>
      <c r="D241" s="290">
        <f>data!BA67</f>
        <v>42253</v>
      </c>
      <c r="E241" s="290">
        <f>data!BB67</f>
        <v>10674</v>
      </c>
      <c r="F241" s="290">
        <f>data!BC67</f>
        <v>0</v>
      </c>
      <c r="G241" s="290">
        <f>data!BD67</f>
        <v>154976</v>
      </c>
      <c r="H241" s="290">
        <f>data!BE67</f>
        <v>175978</v>
      </c>
      <c r="I241" s="290">
        <f>data!BF67</f>
        <v>16950</v>
      </c>
    </row>
    <row r="242" spans="1:9" customFormat="1" ht="20.149999999999999" customHeight="1" x14ac:dyDescent="0.35">
      <c r="A242" s="289">
        <v>13</v>
      </c>
      <c r="B242" s="290" t="s">
        <v>994</v>
      </c>
      <c r="C242" s="290">
        <f>data!AZ68</f>
        <v>0</v>
      </c>
      <c r="D242" s="290">
        <f>data!BA68</f>
        <v>0</v>
      </c>
      <c r="E242" s="290">
        <f>data!BB68</f>
        <v>0</v>
      </c>
      <c r="F242" s="290">
        <f>data!BC68</f>
        <v>0</v>
      </c>
      <c r="G242" s="290">
        <f>data!BD68</f>
        <v>0</v>
      </c>
      <c r="H242" s="290">
        <f>data!BE68</f>
        <v>3637</v>
      </c>
      <c r="I242" s="290">
        <f>data!BF68</f>
        <v>0</v>
      </c>
    </row>
    <row r="243" spans="1:9" customFormat="1" ht="20.149999999999999" customHeight="1" x14ac:dyDescent="0.35">
      <c r="A243" s="289">
        <v>14</v>
      </c>
      <c r="B243" s="290" t="s">
        <v>995</v>
      </c>
      <c r="C243" s="290">
        <f>data!AZ69</f>
        <v>0</v>
      </c>
      <c r="D243" s="290">
        <f>data!BA69</f>
        <v>2595</v>
      </c>
      <c r="E243" s="290">
        <f>data!BB69</f>
        <v>69</v>
      </c>
      <c r="F243" s="290">
        <f>data!BC69</f>
        <v>0</v>
      </c>
      <c r="G243" s="290">
        <f>data!BD69</f>
        <v>140051</v>
      </c>
      <c r="H243" s="290">
        <f>data!BE69</f>
        <v>831334</v>
      </c>
      <c r="I243" s="290">
        <f>data!BF69</f>
        <v>11692</v>
      </c>
    </row>
    <row r="244" spans="1:9" customFormat="1" ht="20.149999999999999" customHeight="1" x14ac:dyDescent="0.35">
      <c r="A244" s="289">
        <v>15</v>
      </c>
      <c r="B244" s="290" t="s">
        <v>284</v>
      </c>
      <c r="C244" s="290">
        <f>-data!AZ84</f>
        <v>0</v>
      </c>
      <c r="D244" s="290">
        <f>-data!BA84</f>
        <v>0</v>
      </c>
      <c r="E244" s="290">
        <f>-data!BB84</f>
        <v>0</v>
      </c>
      <c r="F244" s="290">
        <f>-data!BC84</f>
        <v>0</v>
      </c>
      <c r="G244" s="290">
        <f>-data!BD84</f>
        <v>0</v>
      </c>
      <c r="H244" s="290">
        <f>-data!BE84</f>
        <v>0</v>
      </c>
      <c r="I244" s="290">
        <f>-data!BF84</f>
        <v>0</v>
      </c>
    </row>
    <row r="245" spans="1:9" customFormat="1" ht="20.149999999999999" customHeight="1" x14ac:dyDescent="0.35">
      <c r="A245" s="289">
        <v>16</v>
      </c>
      <c r="B245" s="298" t="s">
        <v>996</v>
      </c>
      <c r="C245" s="290">
        <f>data!AZ85</f>
        <v>84604</v>
      </c>
      <c r="D245" s="290">
        <f>data!BA85</f>
        <v>258704</v>
      </c>
      <c r="E245" s="290">
        <f>data!BB85</f>
        <v>208038</v>
      </c>
      <c r="F245" s="290">
        <f>data!BC85</f>
        <v>0</v>
      </c>
      <c r="G245" s="290">
        <f>data!BD85</f>
        <v>851575</v>
      </c>
      <c r="H245" s="290">
        <f>data!BE85</f>
        <v>3143634</v>
      </c>
      <c r="I245" s="290">
        <f>data!BF85</f>
        <v>1827615</v>
      </c>
    </row>
    <row r="246" spans="1:9" customFormat="1" ht="20.149999999999999" customHeight="1" x14ac:dyDescent="0.35">
      <c r="A246" s="289">
        <v>17</v>
      </c>
      <c r="B246" s="290" t="s">
        <v>286</v>
      </c>
      <c r="C246" s="300"/>
      <c r="D246" s="300"/>
      <c r="E246" s="300"/>
      <c r="F246" s="300"/>
      <c r="G246" s="300"/>
      <c r="H246" s="300"/>
      <c r="I246" s="300"/>
    </row>
    <row r="247" spans="1:9" customFormat="1" ht="20.149999999999999" customHeight="1" x14ac:dyDescent="0.35">
      <c r="A247" s="289">
        <v>18</v>
      </c>
      <c r="B247" s="290" t="s">
        <v>997</v>
      </c>
      <c r="C247" s="290"/>
      <c r="D247" s="290"/>
      <c r="E247" s="290"/>
      <c r="F247" s="290"/>
      <c r="G247" s="290"/>
      <c r="H247" s="290"/>
      <c r="I247" s="290"/>
    </row>
    <row r="248" spans="1:9" customFormat="1" ht="20.149999999999999" customHeight="1" x14ac:dyDescent="0.35">
      <c r="A248" s="289">
        <v>19</v>
      </c>
      <c r="B248" s="298" t="s">
        <v>998</v>
      </c>
      <c r="C248" s="305" t="str">
        <f>IF(data!AZ87&gt;0,data!AZ87,"")</f>
        <v>x</v>
      </c>
      <c r="D248" s="305" t="str">
        <f>IF(data!BA87&gt;0,data!BA87,"")</f>
        <v>x</v>
      </c>
      <c r="E248" s="305" t="str">
        <f>IF(data!BB87&gt;0,data!BB87,"")</f>
        <v>x</v>
      </c>
      <c r="F248" s="305" t="str">
        <f>IF(data!BC87&gt;0,data!BC87,"")</f>
        <v>x</v>
      </c>
      <c r="G248" s="305" t="str">
        <f>IF(data!BD87&gt;0,data!BD87,"")</f>
        <v>x</v>
      </c>
      <c r="H248" s="305" t="str">
        <f>IF(data!BE87&gt;0,data!BE87,"")</f>
        <v>x</v>
      </c>
      <c r="I248" s="305" t="str">
        <f>IF(data!BF87&gt;0,data!BF87,"")</f>
        <v>x</v>
      </c>
    </row>
    <row r="249" spans="1:9" customFormat="1" ht="20.149999999999999" customHeight="1" x14ac:dyDescent="0.35">
      <c r="A249" s="289">
        <v>20</v>
      </c>
      <c r="B249" s="298" t="s">
        <v>999</v>
      </c>
      <c r="C249" s="305" t="str">
        <f>IF(data!AZ88&gt;0,data!AZ88,"")</f>
        <v>x</v>
      </c>
      <c r="D249" s="305" t="str">
        <f>IF(data!BA88&gt;0,data!BA88,"")</f>
        <v>x</v>
      </c>
      <c r="E249" s="305" t="str">
        <f>IF(data!BB88&gt;0,data!BB88,"")</f>
        <v>x</v>
      </c>
      <c r="F249" s="305" t="str">
        <f>IF(data!BC88&gt;0,data!BC88,"")</f>
        <v>x</v>
      </c>
      <c r="G249" s="305" t="str">
        <f>IF(data!BD88&gt;0,data!BD88,"")</f>
        <v>x</v>
      </c>
      <c r="H249" s="305" t="str">
        <f>IF(data!BE88&gt;0,data!BE88,"")</f>
        <v>x</v>
      </c>
      <c r="I249" s="305" t="str">
        <f>IF(data!BF88&gt;0,data!BF88,"")</f>
        <v>x</v>
      </c>
    </row>
    <row r="250" spans="1:9" customFormat="1" ht="20.149999999999999" customHeight="1" x14ac:dyDescent="0.35">
      <c r="A250" s="289">
        <v>21</v>
      </c>
      <c r="B250" s="298" t="s">
        <v>1000</v>
      </c>
      <c r="C250" s="305" t="str">
        <f>IF(data!AZ89&gt;0,data!AZ89,"")</f>
        <v>x</v>
      </c>
      <c r="D250" s="305" t="str">
        <f>IF(data!BA89&gt;0,data!BA89,"")</f>
        <v>x</v>
      </c>
      <c r="E250" s="305" t="str">
        <f>IF(data!BB89&gt;0,data!BB89,"")</f>
        <v>x</v>
      </c>
      <c r="F250" s="305" t="str">
        <f>IF(data!BC89&gt;0,data!BC89,"")</f>
        <v>x</v>
      </c>
      <c r="G250" s="305" t="str">
        <f>IF(data!BD89&gt;0,data!BD89,"")</f>
        <v>x</v>
      </c>
      <c r="H250" s="305" t="str">
        <f>IF(data!BE89&gt;0,data!BE89,"")</f>
        <v>x</v>
      </c>
      <c r="I250" s="305" t="str">
        <f>IF(data!BF89&gt;0,data!BF89,"")</f>
        <v>x</v>
      </c>
    </row>
    <row r="251" spans="1:9" customFormat="1" ht="20.149999999999999" customHeight="1" x14ac:dyDescent="0.35">
      <c r="A251" s="289" t="s">
        <v>1001</v>
      </c>
      <c r="B251" s="290"/>
      <c r="C251" s="300"/>
      <c r="D251" s="300"/>
      <c r="E251" s="300"/>
      <c r="F251" s="300"/>
      <c r="G251" s="300"/>
      <c r="H251" s="300"/>
      <c r="I251" s="300"/>
    </row>
    <row r="252" spans="1:9" customFormat="1" ht="20.149999999999999" customHeight="1" x14ac:dyDescent="0.35">
      <c r="A252" s="289">
        <v>22</v>
      </c>
      <c r="B252" s="290" t="s">
        <v>1002</v>
      </c>
      <c r="C252" s="306">
        <f>data!AZ90</f>
        <v>1712</v>
      </c>
      <c r="D252" s="306">
        <f>data!BA90</f>
        <v>855</v>
      </c>
      <c r="E252" s="306">
        <f>data!BB90</f>
        <v>216</v>
      </c>
      <c r="F252" s="306">
        <f>data!BC90</f>
        <v>0</v>
      </c>
      <c r="G252" s="306">
        <f>data!BD90</f>
        <v>3136</v>
      </c>
      <c r="H252" s="306">
        <f>data!BE90</f>
        <v>3561</v>
      </c>
      <c r="I252" s="306">
        <f>data!BF90</f>
        <v>343</v>
      </c>
    </row>
    <row r="253" spans="1:9" customFormat="1" ht="20.149999999999999" customHeight="1" x14ac:dyDescent="0.35">
      <c r="A253" s="289">
        <v>23</v>
      </c>
      <c r="B253" s="290" t="s">
        <v>1003</v>
      </c>
      <c r="C253" s="306">
        <f>data!AZ91</f>
        <v>0</v>
      </c>
      <c r="D253" s="306">
        <f>data!BA91</f>
        <v>0</v>
      </c>
      <c r="E253" s="306">
        <f>data!BB91</f>
        <v>0</v>
      </c>
      <c r="F253" s="306">
        <f>data!BC91</f>
        <v>0</v>
      </c>
      <c r="G253" s="305" t="str">
        <f>IF(data!BD91&gt;0,data!BD91,"")</f>
        <v>x</v>
      </c>
      <c r="H253" s="305" t="str">
        <f>IF(data!BE91&gt;0,data!BE91,"")</f>
        <v>x</v>
      </c>
      <c r="I253" s="306">
        <f>data!BF91</f>
        <v>0</v>
      </c>
    </row>
    <row r="254" spans="1:9" customFormat="1" ht="20.149999999999999" customHeight="1" x14ac:dyDescent="0.35">
      <c r="A254" s="289">
        <v>24</v>
      </c>
      <c r="B254" s="290" t="s">
        <v>1004</v>
      </c>
      <c r="C254" s="305" t="str">
        <f>IF(data!AZ92&gt;0,data!AZ92,"")</f>
        <v>x</v>
      </c>
      <c r="D254" s="306">
        <f>data!BA92</f>
        <v>0</v>
      </c>
      <c r="E254" s="306">
        <f>data!BB92</f>
        <v>156.19</v>
      </c>
      <c r="F254" s="306">
        <f>data!BC92</f>
        <v>0</v>
      </c>
      <c r="G254" s="305" t="str">
        <f>IF(data!BD92&gt;0,data!BD92,"")</f>
        <v>x</v>
      </c>
      <c r="H254" s="305" t="str">
        <f>IF(data!BE92&gt;0,data!BE92,"")</f>
        <v>x</v>
      </c>
      <c r="I254" s="305" t="str">
        <f>IF(data!BF92&gt;0,data!BF92,"")</f>
        <v>x</v>
      </c>
    </row>
    <row r="255" spans="1:9" customFormat="1" ht="20.149999999999999" customHeight="1" x14ac:dyDescent="0.35">
      <c r="A255" s="289">
        <v>25</v>
      </c>
      <c r="B255" s="290" t="s">
        <v>1005</v>
      </c>
      <c r="C255" s="305" t="str">
        <f>IF(data!AZ93&gt;0,data!AZ93,"")</f>
        <v>x</v>
      </c>
      <c r="D255" s="305" t="str">
        <f>IF(data!BA93&gt;0,data!BA93,"")</f>
        <v>x</v>
      </c>
      <c r="E255" s="306">
        <f>data!BB93</f>
        <v>0</v>
      </c>
      <c r="F255" s="306">
        <f>data!BC93</f>
        <v>0</v>
      </c>
      <c r="G255" s="305" t="str">
        <f>IF(data!BD93&gt;0,data!BD93,"")</f>
        <v>x</v>
      </c>
      <c r="H255" s="305" t="str">
        <f>IF(data!BE93&gt;0,data!BE93,"")</f>
        <v>x</v>
      </c>
      <c r="I255" s="305" t="str">
        <f>IF(data!BF93&gt;0,data!BF93,"")</f>
        <v>x</v>
      </c>
    </row>
    <row r="256" spans="1:9" customFormat="1" ht="20.149999999999999" customHeight="1" x14ac:dyDescent="0.35">
      <c r="A256" s="289">
        <v>26</v>
      </c>
      <c r="B256" s="290" t="s">
        <v>294</v>
      </c>
      <c r="C256" s="305" t="str">
        <f>IF(data!AZ94&gt;0,data!AZ94,"")</f>
        <v>x</v>
      </c>
      <c r="D256" s="305" t="str">
        <f>IF(data!BA94&gt;0,data!BA94,"")</f>
        <v>x</v>
      </c>
      <c r="E256" s="305" t="str">
        <f>IF(data!BB94&gt;0,data!BB94,"")</f>
        <v>x</v>
      </c>
      <c r="F256" s="305" t="str">
        <f>IF(data!BC94&gt;0,data!BC94,"")</f>
        <v>x</v>
      </c>
      <c r="G256" s="305" t="str">
        <f>IF(data!BD94&gt;0,data!BD94,"")</f>
        <v>x</v>
      </c>
      <c r="H256" s="305" t="str">
        <f>IF(data!BE94&gt;0,data!BE94,"")</f>
        <v>x</v>
      </c>
      <c r="I256" s="305" t="str">
        <f>IF(data!BF94&gt;0,data!BF94,"")</f>
        <v>x</v>
      </c>
    </row>
    <row r="257" spans="1:9" customFormat="1" ht="20.149999999999999" customHeight="1" x14ac:dyDescent="0.35">
      <c r="A257" s="283" t="s">
        <v>987</v>
      </c>
      <c r="B257" s="284"/>
      <c r="C257" s="284"/>
      <c r="D257" s="284"/>
      <c r="E257" s="284"/>
      <c r="F257" s="284"/>
      <c r="G257" s="284"/>
      <c r="H257" s="284"/>
      <c r="I257" s="283"/>
    </row>
    <row r="258" spans="1:9" customFormat="1" ht="20.149999999999999" customHeight="1" x14ac:dyDescent="0.35">
      <c r="D258" s="285"/>
      <c r="I258" s="286" t="s">
        <v>1033</v>
      </c>
    </row>
    <row r="259" spans="1:9" customFormat="1" ht="20.149999999999999" customHeight="1" x14ac:dyDescent="0.35">
      <c r="A259" s="285"/>
    </row>
    <row r="260" spans="1:9" customFormat="1" ht="20.149999999999999" customHeight="1" x14ac:dyDescent="0.35">
      <c r="A260" s="287" t="str">
        <f>"Hospital: "&amp;data!C98</f>
        <v>Hospital: Kittitas Valley Healthcare</v>
      </c>
      <c r="G260" s="288"/>
      <c r="H260" s="287" t="str">
        <f>"FYE: "&amp;data!C96</f>
        <v>FYE: 12/31/2023</v>
      </c>
    </row>
    <row r="261" spans="1:9" customFormat="1" ht="20.149999999999999" customHeight="1" x14ac:dyDescent="0.35">
      <c r="A261" s="289">
        <v>1</v>
      </c>
      <c r="B261" s="290" t="s">
        <v>236</v>
      </c>
      <c r="C261" s="292" t="s">
        <v>92</v>
      </c>
      <c r="D261" s="292" t="s">
        <v>93</v>
      </c>
      <c r="E261" s="292" t="s">
        <v>94</v>
      </c>
      <c r="F261" s="292" t="s">
        <v>95</v>
      </c>
      <c r="G261" s="292" t="s">
        <v>96</v>
      </c>
      <c r="H261" s="292" t="s">
        <v>97</v>
      </c>
      <c r="I261" s="292" t="s">
        <v>98</v>
      </c>
    </row>
    <row r="262" spans="1:9" customFormat="1" ht="20.149999999999999" customHeight="1" x14ac:dyDescent="0.35">
      <c r="A262" s="293">
        <v>2</v>
      </c>
      <c r="B262" s="294" t="s">
        <v>989</v>
      </c>
      <c r="C262" s="296" t="s">
        <v>1034</v>
      </c>
      <c r="D262" s="296" t="s">
        <v>170</v>
      </c>
      <c r="E262" s="296" t="s">
        <v>171</v>
      </c>
      <c r="F262" s="296"/>
      <c r="G262" s="296" t="s">
        <v>173</v>
      </c>
      <c r="H262" s="296"/>
      <c r="I262" s="296" t="s">
        <v>159</v>
      </c>
    </row>
    <row r="263" spans="1:9" customFormat="1" ht="20.149999999999999" customHeight="1" x14ac:dyDescent="0.35">
      <c r="A263" s="293"/>
      <c r="B263" s="294"/>
      <c r="C263" s="296" t="s">
        <v>1035</v>
      </c>
      <c r="D263" s="296" t="s">
        <v>217</v>
      </c>
      <c r="E263" s="296" t="s">
        <v>196</v>
      </c>
      <c r="F263" s="296" t="s">
        <v>172</v>
      </c>
      <c r="G263" s="296" t="s">
        <v>218</v>
      </c>
      <c r="H263" s="296" t="s">
        <v>174</v>
      </c>
      <c r="I263" s="296" t="s">
        <v>1036</v>
      </c>
    </row>
    <row r="264" spans="1:9" customFormat="1" ht="20.149999999999999" customHeight="1" x14ac:dyDescent="0.35">
      <c r="A264" s="289">
        <v>3</v>
      </c>
      <c r="B264" s="290" t="s">
        <v>993</v>
      </c>
      <c r="C264" s="302"/>
      <c r="D264" s="302"/>
      <c r="E264" s="302"/>
      <c r="F264" s="302"/>
      <c r="G264" s="302"/>
      <c r="H264" s="302"/>
      <c r="I264" s="302"/>
    </row>
    <row r="265" spans="1:9" customFormat="1" ht="20.149999999999999" customHeight="1" x14ac:dyDescent="0.35">
      <c r="A265" s="289">
        <v>4</v>
      </c>
      <c r="B265" s="290" t="s">
        <v>261</v>
      </c>
      <c r="C265" s="302"/>
      <c r="D265" s="302"/>
      <c r="E265" s="302"/>
      <c r="F265" s="302"/>
      <c r="G265" s="302"/>
      <c r="H265" s="302"/>
      <c r="I265" s="302"/>
    </row>
    <row r="266" spans="1:9" customFormat="1" ht="20.149999999999999" customHeight="1" x14ac:dyDescent="0.35">
      <c r="A266" s="289">
        <v>5</v>
      </c>
      <c r="B266" s="290" t="s">
        <v>262</v>
      </c>
      <c r="C266" s="297">
        <f>data!BG60</f>
        <v>0</v>
      </c>
      <c r="D266" s="297">
        <f>data!BH60</f>
        <v>18.8</v>
      </c>
      <c r="E266" s="297">
        <f>data!BI60</f>
        <v>0</v>
      </c>
      <c r="F266" s="297">
        <f>data!BJ60</f>
        <v>8.02</v>
      </c>
      <c r="G266" s="297">
        <f>data!BK60</f>
        <v>41.02</v>
      </c>
      <c r="H266" s="297">
        <f>data!BL60</f>
        <v>0</v>
      </c>
      <c r="I266" s="297">
        <f>data!BM60</f>
        <v>0</v>
      </c>
    </row>
    <row r="267" spans="1:9" customFormat="1" ht="20.149999999999999" customHeight="1" x14ac:dyDescent="0.35">
      <c r="A267" s="289">
        <v>6</v>
      </c>
      <c r="B267" s="290" t="s">
        <v>263</v>
      </c>
      <c r="C267" s="290">
        <f>data!BG61</f>
        <v>0</v>
      </c>
      <c r="D267" s="290">
        <f>data!BH61</f>
        <v>1992398</v>
      </c>
      <c r="E267" s="290">
        <f>data!BI61</f>
        <v>0</v>
      </c>
      <c r="F267" s="290">
        <f>data!BJ61</f>
        <v>727548</v>
      </c>
      <c r="G267" s="290">
        <f>data!BK61</f>
        <v>2375716</v>
      </c>
      <c r="H267" s="290">
        <f>data!BL61</f>
        <v>0</v>
      </c>
      <c r="I267" s="290">
        <f>data!BM61</f>
        <v>0</v>
      </c>
    </row>
    <row r="268" spans="1:9" customFormat="1" ht="20.149999999999999" customHeight="1" x14ac:dyDescent="0.35">
      <c r="A268" s="289">
        <v>7</v>
      </c>
      <c r="B268" s="290" t="s">
        <v>11</v>
      </c>
      <c r="C268" s="290">
        <f>data!BG62</f>
        <v>0</v>
      </c>
      <c r="D268" s="290">
        <f>data!BH62</f>
        <v>500715</v>
      </c>
      <c r="E268" s="290">
        <f>data!BI62</f>
        <v>0</v>
      </c>
      <c r="F268" s="290">
        <f>data!BJ62</f>
        <v>182842</v>
      </c>
      <c r="G268" s="290">
        <f>data!BK62</f>
        <v>597047</v>
      </c>
      <c r="H268" s="290">
        <f>data!BL62</f>
        <v>0</v>
      </c>
      <c r="I268" s="290">
        <f>data!BM62</f>
        <v>0</v>
      </c>
    </row>
    <row r="269" spans="1:9" customFormat="1" ht="20.149999999999999" customHeight="1" x14ac:dyDescent="0.35">
      <c r="A269" s="289">
        <v>8</v>
      </c>
      <c r="B269" s="290" t="s">
        <v>264</v>
      </c>
      <c r="C269" s="290">
        <f>data!BG63</f>
        <v>0</v>
      </c>
      <c r="D269" s="290">
        <f>data!BH63</f>
        <v>0</v>
      </c>
      <c r="E269" s="290">
        <f>data!BI63</f>
        <v>0</v>
      </c>
      <c r="F269" s="290">
        <f>data!BJ63</f>
        <v>89652</v>
      </c>
      <c r="G269" s="290">
        <f>data!BK63</f>
        <v>15600</v>
      </c>
      <c r="H269" s="290">
        <f>data!BL63</f>
        <v>0</v>
      </c>
      <c r="I269" s="290">
        <f>data!BM63</f>
        <v>0</v>
      </c>
    </row>
    <row r="270" spans="1:9" customFormat="1" ht="20.149999999999999" customHeight="1" x14ac:dyDescent="0.35">
      <c r="A270" s="289">
        <v>9</v>
      </c>
      <c r="B270" s="290" t="s">
        <v>265</v>
      </c>
      <c r="C270" s="290">
        <f>data!BG64</f>
        <v>0</v>
      </c>
      <c r="D270" s="290">
        <f>data!BH64</f>
        <v>473437</v>
      </c>
      <c r="E270" s="290">
        <f>data!BI64</f>
        <v>0</v>
      </c>
      <c r="F270" s="290">
        <f>data!BJ64</f>
        <v>10177</v>
      </c>
      <c r="G270" s="290">
        <f>data!BK64</f>
        <v>30398</v>
      </c>
      <c r="H270" s="290">
        <f>data!BL64</f>
        <v>0</v>
      </c>
      <c r="I270" s="290">
        <f>data!BM64</f>
        <v>0</v>
      </c>
    </row>
    <row r="271" spans="1:9" customFormat="1" ht="20.149999999999999" customHeight="1" x14ac:dyDescent="0.35">
      <c r="A271" s="289">
        <v>10</v>
      </c>
      <c r="B271" s="290" t="s">
        <v>524</v>
      </c>
      <c r="C271" s="290">
        <f>data!BG65</f>
        <v>0</v>
      </c>
      <c r="D271" s="290">
        <f>data!BH65</f>
        <v>421181</v>
      </c>
      <c r="E271" s="290">
        <f>data!BI65</f>
        <v>0</v>
      </c>
      <c r="F271" s="290">
        <f>data!BJ65</f>
        <v>0</v>
      </c>
      <c r="G271" s="290">
        <f>data!BK65</f>
        <v>0</v>
      </c>
      <c r="H271" s="290">
        <f>data!BL65</f>
        <v>0</v>
      </c>
      <c r="I271" s="290">
        <f>data!BM65</f>
        <v>0</v>
      </c>
    </row>
    <row r="272" spans="1:9" customFormat="1" ht="20.149999999999999" customHeight="1" x14ac:dyDescent="0.35">
      <c r="A272" s="289">
        <v>11</v>
      </c>
      <c r="B272" s="290" t="s">
        <v>525</v>
      </c>
      <c r="C272" s="290">
        <f>data!BG66</f>
        <v>0</v>
      </c>
      <c r="D272" s="290">
        <f>data!BH66</f>
        <v>2289371</v>
      </c>
      <c r="E272" s="290">
        <f>data!BI66</f>
        <v>0</v>
      </c>
      <c r="F272" s="290">
        <f>data!BJ66</f>
        <v>352920</v>
      </c>
      <c r="G272" s="290">
        <f>data!BK66</f>
        <v>978260</v>
      </c>
      <c r="H272" s="290">
        <f>data!BL66</f>
        <v>0</v>
      </c>
      <c r="I272" s="290">
        <f>data!BM66</f>
        <v>0</v>
      </c>
    </row>
    <row r="273" spans="1:9" customFormat="1" ht="20.149999999999999" customHeight="1" x14ac:dyDescent="0.35">
      <c r="A273" s="289">
        <v>12</v>
      </c>
      <c r="B273" s="290" t="s">
        <v>16</v>
      </c>
      <c r="C273" s="290">
        <f>data!BG67</f>
        <v>0</v>
      </c>
      <c r="D273" s="290">
        <f>data!BH67</f>
        <v>170789</v>
      </c>
      <c r="E273" s="290">
        <f>data!BI67</f>
        <v>24907</v>
      </c>
      <c r="F273" s="290">
        <f>data!BJ67</f>
        <v>0</v>
      </c>
      <c r="G273" s="290">
        <f>data!BK67</f>
        <v>334314</v>
      </c>
      <c r="H273" s="290">
        <f>data!BL67</f>
        <v>0</v>
      </c>
      <c r="I273" s="290">
        <f>data!BM67</f>
        <v>0</v>
      </c>
    </row>
    <row r="274" spans="1:9" customFormat="1" ht="20.149999999999999" customHeight="1" x14ac:dyDescent="0.35">
      <c r="A274" s="289">
        <v>13</v>
      </c>
      <c r="B274" s="290" t="s">
        <v>994</v>
      </c>
      <c r="C274" s="290">
        <f>data!BG68</f>
        <v>0</v>
      </c>
      <c r="D274" s="290">
        <f>data!BH68</f>
        <v>0</v>
      </c>
      <c r="E274" s="290">
        <f>data!BI68</f>
        <v>0</v>
      </c>
      <c r="F274" s="290">
        <f>data!BJ68</f>
        <v>0</v>
      </c>
      <c r="G274" s="290">
        <f>data!BK68</f>
        <v>6322</v>
      </c>
      <c r="H274" s="290">
        <f>data!BL68</f>
        <v>0</v>
      </c>
      <c r="I274" s="290">
        <f>data!BM68</f>
        <v>0</v>
      </c>
    </row>
    <row r="275" spans="1:9" customFormat="1" ht="20.149999999999999" customHeight="1" x14ac:dyDescent="0.35">
      <c r="A275" s="289">
        <v>14</v>
      </c>
      <c r="B275" s="290" t="s">
        <v>995</v>
      </c>
      <c r="C275" s="290">
        <f>data!BG69</f>
        <v>0</v>
      </c>
      <c r="D275" s="290">
        <f>data!BH69</f>
        <v>189778</v>
      </c>
      <c r="E275" s="290">
        <f>data!BI69</f>
        <v>0</v>
      </c>
      <c r="F275" s="290">
        <f>data!BJ69</f>
        <v>6911</v>
      </c>
      <c r="G275" s="290">
        <f>data!BK69</f>
        <v>9524</v>
      </c>
      <c r="H275" s="290">
        <f>data!BL69</f>
        <v>0</v>
      </c>
      <c r="I275" s="290">
        <f>data!BM69</f>
        <v>0</v>
      </c>
    </row>
    <row r="276" spans="1:9" customFormat="1" ht="20.149999999999999" customHeight="1" x14ac:dyDescent="0.35">
      <c r="A276" s="289">
        <v>15</v>
      </c>
      <c r="B276" s="290" t="s">
        <v>284</v>
      </c>
      <c r="C276" s="290">
        <f>-data!BG84</f>
        <v>0</v>
      </c>
      <c r="D276" s="290">
        <f>-data!BH84</f>
        <v>-30119</v>
      </c>
      <c r="E276" s="290">
        <f>-data!BI84</f>
        <v>0</v>
      </c>
      <c r="F276" s="290">
        <f>-data!BJ84</f>
        <v>0</v>
      </c>
      <c r="G276" s="290">
        <f>-data!BK84</f>
        <v>-5552</v>
      </c>
      <c r="H276" s="290">
        <f>-data!BL84</f>
        <v>0</v>
      </c>
      <c r="I276" s="290">
        <f>-data!BM84</f>
        <v>0</v>
      </c>
    </row>
    <row r="277" spans="1:9" customFormat="1" ht="20.149999999999999" customHeight="1" x14ac:dyDescent="0.35">
      <c r="A277" s="289">
        <v>16</v>
      </c>
      <c r="B277" s="298" t="s">
        <v>996</v>
      </c>
      <c r="C277" s="290">
        <f>data!BG85</f>
        <v>0</v>
      </c>
      <c r="D277" s="290">
        <f>data!BH85</f>
        <v>6007550</v>
      </c>
      <c r="E277" s="290">
        <f>data!BI85</f>
        <v>24907</v>
      </c>
      <c r="F277" s="290">
        <f>data!BJ85</f>
        <v>1370050</v>
      </c>
      <c r="G277" s="290">
        <f>data!BK85</f>
        <v>4341629</v>
      </c>
      <c r="H277" s="290">
        <f>data!BL85</f>
        <v>0</v>
      </c>
      <c r="I277" s="290">
        <f>data!BM85</f>
        <v>0</v>
      </c>
    </row>
    <row r="278" spans="1:9" customFormat="1" ht="20.149999999999999" customHeight="1" x14ac:dyDescent="0.35">
      <c r="A278" s="289">
        <v>17</v>
      </c>
      <c r="B278" s="290" t="s">
        <v>286</v>
      </c>
      <c r="C278" s="300"/>
      <c r="D278" s="300"/>
      <c r="E278" s="300"/>
      <c r="F278" s="300"/>
      <c r="G278" s="300"/>
      <c r="H278" s="300"/>
      <c r="I278" s="300"/>
    </row>
    <row r="279" spans="1:9" customFormat="1" ht="20.149999999999999" customHeight="1" x14ac:dyDescent="0.35">
      <c r="A279" s="289">
        <v>18</v>
      </c>
      <c r="B279" s="290" t="s">
        <v>997</v>
      </c>
      <c r="C279" s="290"/>
      <c r="D279" s="290"/>
      <c r="E279" s="290"/>
      <c r="F279" s="290"/>
      <c r="G279" s="290"/>
      <c r="H279" s="290"/>
      <c r="I279" s="290"/>
    </row>
    <row r="280" spans="1:9" customFormat="1" ht="20.149999999999999" customHeight="1" x14ac:dyDescent="0.35">
      <c r="A280" s="289">
        <v>19</v>
      </c>
      <c r="B280" s="298" t="s">
        <v>998</v>
      </c>
      <c r="C280" s="305" t="str">
        <f>IF(data!BG87&gt;0,data!BG87,"")</f>
        <v>x</v>
      </c>
      <c r="D280" s="305" t="str">
        <f>IF(data!BH87&gt;0,data!BH87,"")</f>
        <v>x</v>
      </c>
      <c r="E280" s="305" t="str">
        <f>IF(data!BI87&gt;0,data!BI87,"")</f>
        <v>x</v>
      </c>
      <c r="F280" s="305" t="str">
        <f>IF(data!BJ87&gt;0,data!BJ87,"")</f>
        <v>x</v>
      </c>
      <c r="G280" s="305" t="str">
        <f>IF(data!BK87&gt;0,data!BK87,"")</f>
        <v>x</v>
      </c>
      <c r="H280" s="305" t="str">
        <f>IF(data!BL87&gt;0,data!BL87,"")</f>
        <v>x</v>
      </c>
      <c r="I280" s="305" t="str">
        <f>IF(data!BM87&gt;0,data!BM87,"")</f>
        <v>x</v>
      </c>
    </row>
    <row r="281" spans="1:9" customFormat="1" ht="20.149999999999999" customHeight="1" x14ac:dyDescent="0.35">
      <c r="A281" s="289">
        <v>20</v>
      </c>
      <c r="B281" s="298" t="s">
        <v>999</v>
      </c>
      <c r="C281" s="305" t="str">
        <f>IF(data!BG88&gt;0,data!BG88,"")</f>
        <v>x</v>
      </c>
      <c r="D281" s="305" t="str">
        <f>IF(data!BH88&gt;0,data!BH88,"")</f>
        <v>x</v>
      </c>
      <c r="E281" s="305" t="str">
        <f>IF(data!BI88&gt;0,data!BI88,"")</f>
        <v>x</v>
      </c>
      <c r="F281" s="305" t="str">
        <f>IF(data!BJ88&gt;0,data!BJ88,"")</f>
        <v>x</v>
      </c>
      <c r="G281" s="305" t="str">
        <f>IF(data!BK88&gt;0,data!BK88,"")</f>
        <v>x</v>
      </c>
      <c r="H281" s="305" t="str">
        <f>IF(data!BL88&gt;0,data!BL88,"")</f>
        <v>x</v>
      </c>
      <c r="I281" s="305" t="str">
        <f>IF(data!BM88&gt;0,data!BM88,"")</f>
        <v>x</v>
      </c>
    </row>
    <row r="282" spans="1:9" customFormat="1" ht="20.149999999999999" customHeight="1" x14ac:dyDescent="0.35">
      <c r="A282" s="289">
        <v>21</v>
      </c>
      <c r="B282" s="298" t="s">
        <v>1000</v>
      </c>
      <c r="C282" s="305" t="str">
        <f>IF(data!BG89&gt;0,data!BG89,"")</f>
        <v>x</v>
      </c>
      <c r="D282" s="305" t="str">
        <f>IF(data!BH89&gt;0,data!BH89,"")</f>
        <v>x</v>
      </c>
      <c r="E282" s="305" t="str">
        <f>IF(data!BI89&gt;0,data!BI89,"")</f>
        <v>x</v>
      </c>
      <c r="F282" s="305" t="str">
        <f>IF(data!BJ89&gt;0,data!BJ89,"")</f>
        <v>x</v>
      </c>
      <c r="G282" s="305" t="str">
        <f>IF(data!BK89&gt;0,data!BK89,"")</f>
        <v>x</v>
      </c>
      <c r="H282" s="305" t="str">
        <f>IF(data!BL89&gt;0,data!BL89,"")</f>
        <v>x</v>
      </c>
      <c r="I282" s="305" t="str">
        <f>IF(data!BM89&gt;0,data!BM89,"")</f>
        <v>x</v>
      </c>
    </row>
    <row r="283" spans="1:9" customFormat="1" ht="20.149999999999999" customHeight="1" x14ac:dyDescent="0.35">
      <c r="A283" s="289" t="s">
        <v>1001</v>
      </c>
      <c r="B283" s="290"/>
      <c r="C283" s="307"/>
      <c r="D283" s="307"/>
      <c r="E283" s="307"/>
      <c r="F283" s="307"/>
      <c r="G283" s="307"/>
      <c r="H283" s="307"/>
      <c r="I283" s="307"/>
    </row>
    <row r="284" spans="1:9" customFormat="1" ht="20.149999999999999" customHeight="1" x14ac:dyDescent="0.35">
      <c r="A284" s="289">
        <v>22</v>
      </c>
      <c r="B284" s="290" t="s">
        <v>1002</v>
      </c>
      <c r="C284" s="306">
        <f>data!BG90</f>
        <v>0</v>
      </c>
      <c r="D284" s="306">
        <f>data!BH90</f>
        <v>3456</v>
      </c>
      <c r="E284" s="306">
        <f>data!BI90</f>
        <v>504</v>
      </c>
      <c r="F284" s="306">
        <f>data!BJ90</f>
        <v>0</v>
      </c>
      <c r="G284" s="306">
        <f>data!BK90</f>
        <v>6765</v>
      </c>
      <c r="H284" s="306">
        <f>data!BL90</f>
        <v>0</v>
      </c>
      <c r="I284" s="306">
        <f>data!BM90</f>
        <v>0</v>
      </c>
    </row>
    <row r="285" spans="1:9" customFormat="1" ht="20.149999999999999" customHeight="1" x14ac:dyDescent="0.35">
      <c r="A285" s="289">
        <v>23</v>
      </c>
      <c r="B285" s="290" t="s">
        <v>1003</v>
      </c>
      <c r="C285" s="305" t="str">
        <f>IF(data!BG91&gt;0,data!BG91,"")</f>
        <v>x</v>
      </c>
      <c r="D285" s="306">
        <f>data!BH91</f>
        <v>0</v>
      </c>
      <c r="E285" s="306">
        <f>data!BI91</f>
        <v>0</v>
      </c>
      <c r="F285" s="305" t="str">
        <f>IF(data!BJ91&gt;0,data!BJ91,"")</f>
        <v>x</v>
      </c>
      <c r="G285" s="306">
        <f>data!BK91</f>
        <v>0</v>
      </c>
      <c r="H285" s="306">
        <f>data!BL91</f>
        <v>0</v>
      </c>
      <c r="I285" s="306">
        <f>data!BM91</f>
        <v>0</v>
      </c>
    </row>
    <row r="286" spans="1:9" customFormat="1" ht="20.149999999999999" customHeight="1" x14ac:dyDescent="0.35">
      <c r="A286" s="289">
        <v>24</v>
      </c>
      <c r="B286" s="290" t="s">
        <v>1004</v>
      </c>
      <c r="C286" s="305" t="str">
        <f>IF(data!BG92&gt;0,data!BG92,"")</f>
        <v>x</v>
      </c>
      <c r="D286" s="306">
        <f>data!BH92</f>
        <v>0</v>
      </c>
      <c r="E286" s="306">
        <f>data!BI92</f>
        <v>0</v>
      </c>
      <c r="F286" s="305" t="str">
        <f>IF(data!BJ92&gt;0,data!BJ92,"")</f>
        <v>x</v>
      </c>
      <c r="G286" s="306">
        <f>data!BK92</f>
        <v>0</v>
      </c>
      <c r="H286" s="306">
        <f>data!BL92</f>
        <v>0</v>
      </c>
      <c r="I286" s="306">
        <f>data!BM92</f>
        <v>0</v>
      </c>
    </row>
    <row r="287" spans="1:9" customFormat="1" ht="20.149999999999999" customHeight="1" x14ac:dyDescent="0.35">
      <c r="A287" s="289">
        <v>25</v>
      </c>
      <c r="B287" s="290" t="s">
        <v>1005</v>
      </c>
      <c r="C287" s="305" t="str">
        <f>IF(data!BG93&gt;0,data!BG93,"")</f>
        <v>x</v>
      </c>
      <c r="D287" s="306">
        <f>data!BH93</f>
        <v>0</v>
      </c>
      <c r="E287" s="306">
        <f>data!BI93</f>
        <v>0</v>
      </c>
      <c r="F287" s="305" t="str">
        <f>IF(data!BJ93&gt;0,data!BJ93,"")</f>
        <v>x</v>
      </c>
      <c r="G287" s="306">
        <f>data!BK93</f>
        <v>0</v>
      </c>
      <c r="H287" s="306">
        <f>data!BL93</f>
        <v>0</v>
      </c>
      <c r="I287" s="306">
        <f>data!BM93</f>
        <v>0</v>
      </c>
    </row>
    <row r="288" spans="1:9" customFormat="1" ht="20.149999999999999" customHeight="1" x14ac:dyDescent="0.35">
      <c r="A288" s="289">
        <v>26</v>
      </c>
      <c r="B288" s="290" t="s">
        <v>294</v>
      </c>
      <c r="C288" s="305" t="str">
        <f>IF(data!BG94&gt;0,data!BG94,"")</f>
        <v>x</v>
      </c>
      <c r="D288" s="305" t="str">
        <f>IF(data!BH94&gt;0,data!BH94,"")</f>
        <v>x</v>
      </c>
      <c r="E288" s="305" t="str">
        <f>IF(data!BI94&gt;0,data!BI94,"")</f>
        <v>x</v>
      </c>
      <c r="F288" s="305" t="str">
        <f>IF(data!BJ94&gt;0,data!BJ94,"")</f>
        <v>x</v>
      </c>
      <c r="G288" s="305" t="str">
        <f>IF(data!BK94&gt;0,data!BK94,"")</f>
        <v>x</v>
      </c>
      <c r="H288" s="305" t="str">
        <f>IF(data!BL94&gt;0,data!BL94,"")</f>
        <v>x</v>
      </c>
      <c r="I288" s="305" t="str">
        <f>IF(data!BM94&gt;0,data!BM94,"")</f>
        <v>x</v>
      </c>
    </row>
    <row r="289" spans="1:9" customFormat="1" ht="20.149999999999999" customHeight="1" x14ac:dyDescent="0.35">
      <c r="A289" s="283" t="s">
        <v>987</v>
      </c>
      <c r="B289" s="284"/>
      <c r="C289" s="284"/>
      <c r="D289" s="284"/>
      <c r="E289" s="284"/>
      <c r="F289" s="284"/>
      <c r="G289" s="284"/>
      <c r="H289" s="284"/>
      <c r="I289" s="283"/>
    </row>
    <row r="290" spans="1:9" customFormat="1" ht="20.149999999999999" customHeight="1" x14ac:dyDescent="0.35">
      <c r="D290" s="285"/>
      <c r="I290" s="286" t="s">
        <v>1037</v>
      </c>
    </row>
    <row r="291" spans="1:9" customFormat="1" ht="20.149999999999999" customHeight="1" x14ac:dyDescent="0.35">
      <c r="A291" s="285"/>
    </row>
    <row r="292" spans="1:9" customFormat="1" ht="20.149999999999999" customHeight="1" x14ac:dyDescent="0.35">
      <c r="A292" s="287" t="str">
        <f>"Hospital: "&amp;data!C98</f>
        <v>Hospital: Kittitas Valley Healthcare</v>
      </c>
      <c r="G292" s="288"/>
      <c r="H292" s="287" t="str">
        <f>"FYE: "&amp;data!C96</f>
        <v>FYE: 12/31/2023</v>
      </c>
    </row>
    <row r="293" spans="1:9" customFormat="1" ht="20.149999999999999" customHeight="1" x14ac:dyDescent="0.35">
      <c r="A293" s="289">
        <v>1</v>
      </c>
      <c r="B293" s="290" t="s">
        <v>236</v>
      </c>
      <c r="C293" s="292" t="s">
        <v>99</v>
      </c>
      <c r="D293" s="292" t="s">
        <v>100</v>
      </c>
      <c r="E293" s="292" t="s">
        <v>101</v>
      </c>
      <c r="F293" s="292" t="s">
        <v>102</v>
      </c>
      <c r="G293" s="292" t="s">
        <v>103</v>
      </c>
      <c r="H293" s="292" t="s">
        <v>104</v>
      </c>
      <c r="I293" s="292" t="s">
        <v>105</v>
      </c>
    </row>
    <row r="294" spans="1:9" customFormat="1" ht="20.149999999999999" customHeight="1" x14ac:dyDescent="0.35">
      <c r="A294" s="293">
        <v>2</v>
      </c>
      <c r="B294" s="294" t="s">
        <v>989</v>
      </c>
      <c r="C294" s="296" t="s">
        <v>175</v>
      </c>
      <c r="D294" s="296" t="s">
        <v>176</v>
      </c>
      <c r="E294" s="296" t="s">
        <v>177</v>
      </c>
      <c r="F294" s="296" t="s">
        <v>178</v>
      </c>
      <c r="G294" s="296"/>
      <c r="H294" s="296" t="s">
        <v>180</v>
      </c>
      <c r="I294" s="296" t="s">
        <v>181</v>
      </c>
    </row>
    <row r="295" spans="1:9" customFormat="1" ht="20.149999999999999" customHeight="1" x14ac:dyDescent="0.35">
      <c r="A295" s="293"/>
      <c r="B295" s="294"/>
      <c r="C295" s="296" t="s">
        <v>1038</v>
      </c>
      <c r="D295" s="296" t="s">
        <v>221</v>
      </c>
      <c r="E295" s="296" t="s">
        <v>222</v>
      </c>
      <c r="F295" s="296" t="s">
        <v>223</v>
      </c>
      <c r="G295" s="296" t="s">
        <v>179</v>
      </c>
      <c r="H295" s="296" t="s">
        <v>224</v>
      </c>
      <c r="I295" s="296" t="s">
        <v>196</v>
      </c>
    </row>
    <row r="296" spans="1:9" customFormat="1" ht="20.149999999999999" customHeight="1" x14ac:dyDescent="0.35">
      <c r="A296" s="289">
        <v>3</v>
      </c>
      <c r="B296" s="290" t="s">
        <v>993</v>
      </c>
      <c r="C296" s="302"/>
      <c r="D296" s="302"/>
      <c r="E296" s="302"/>
      <c r="F296" s="302"/>
      <c r="G296" s="302"/>
      <c r="H296" s="302"/>
      <c r="I296" s="302"/>
    </row>
    <row r="297" spans="1:9" customFormat="1" ht="20.149999999999999" customHeight="1" x14ac:dyDescent="0.35">
      <c r="A297" s="289">
        <v>4</v>
      </c>
      <c r="B297" s="290" t="s">
        <v>261</v>
      </c>
      <c r="C297" s="302"/>
      <c r="D297" s="302"/>
      <c r="E297" s="302"/>
      <c r="F297" s="302"/>
      <c r="G297" s="302"/>
      <c r="H297" s="302"/>
      <c r="I297" s="302"/>
    </row>
    <row r="298" spans="1:9" customFormat="1" ht="20.149999999999999" customHeight="1" x14ac:dyDescent="0.35">
      <c r="A298" s="289">
        <v>5</v>
      </c>
      <c r="B298" s="290" t="s">
        <v>262</v>
      </c>
      <c r="C298" s="297">
        <f>data!BN60</f>
        <v>7.16</v>
      </c>
      <c r="D298" s="297">
        <f>data!BO60</f>
        <v>2.0299999999999998</v>
      </c>
      <c r="E298" s="297">
        <f>data!BP60</f>
        <v>4.2</v>
      </c>
      <c r="F298" s="297">
        <f>data!BQ60</f>
        <v>0</v>
      </c>
      <c r="G298" s="297">
        <f>data!BR60</f>
        <v>7.1</v>
      </c>
      <c r="H298" s="297">
        <f>data!BS60</f>
        <v>0</v>
      </c>
      <c r="I298" s="297">
        <f>data!BT60</f>
        <v>0</v>
      </c>
    </row>
    <row r="299" spans="1:9" customFormat="1" ht="20.149999999999999" customHeight="1" x14ac:dyDescent="0.35">
      <c r="A299" s="289">
        <v>6</v>
      </c>
      <c r="B299" s="290" t="s">
        <v>263</v>
      </c>
      <c r="C299" s="290">
        <f>data!BN61</f>
        <v>1315419</v>
      </c>
      <c r="D299" s="290">
        <f>data!BO61</f>
        <v>226104</v>
      </c>
      <c r="E299" s="290">
        <f>data!BP61</f>
        <v>392531</v>
      </c>
      <c r="F299" s="290">
        <f>data!BQ61</f>
        <v>0</v>
      </c>
      <c r="G299" s="290">
        <f>data!BR61</f>
        <v>625941</v>
      </c>
      <c r="H299" s="290">
        <f>data!BS61</f>
        <v>0</v>
      </c>
      <c r="I299" s="290">
        <f>data!BT61</f>
        <v>0</v>
      </c>
    </row>
    <row r="300" spans="1:9" customFormat="1" ht="20.149999999999999" customHeight="1" x14ac:dyDescent="0.35">
      <c r="A300" s="289">
        <v>7</v>
      </c>
      <c r="B300" s="290" t="s">
        <v>11</v>
      </c>
      <c r="C300" s="290">
        <f>data!BN62</f>
        <v>330581</v>
      </c>
      <c r="D300" s="290">
        <f>data!BO62</f>
        <v>56823</v>
      </c>
      <c r="E300" s="290">
        <f>data!BP62</f>
        <v>98648</v>
      </c>
      <c r="F300" s="290">
        <f>data!BQ62</f>
        <v>0</v>
      </c>
      <c r="G300" s="290">
        <f>data!BR62</f>
        <v>157307</v>
      </c>
      <c r="H300" s="290">
        <f>data!BS62</f>
        <v>0</v>
      </c>
      <c r="I300" s="290">
        <f>data!BT62</f>
        <v>0</v>
      </c>
    </row>
    <row r="301" spans="1:9" customFormat="1" ht="20.149999999999999" customHeight="1" x14ac:dyDescent="0.35">
      <c r="A301" s="289">
        <v>8</v>
      </c>
      <c r="B301" s="290" t="s">
        <v>264</v>
      </c>
      <c r="C301" s="290">
        <f>data!BN63</f>
        <v>141385</v>
      </c>
      <c r="D301" s="290">
        <f>data!BO63</f>
        <v>0</v>
      </c>
      <c r="E301" s="290">
        <f>data!BP63</f>
        <v>0</v>
      </c>
      <c r="F301" s="290">
        <f>data!BQ63</f>
        <v>0</v>
      </c>
      <c r="G301" s="290">
        <f>data!BR63</f>
        <v>24548</v>
      </c>
      <c r="H301" s="290">
        <f>data!BS63</f>
        <v>0</v>
      </c>
      <c r="I301" s="290">
        <f>data!BT63</f>
        <v>0</v>
      </c>
    </row>
    <row r="302" spans="1:9" customFormat="1" ht="20.149999999999999" customHeight="1" x14ac:dyDescent="0.35">
      <c r="A302" s="289">
        <v>9</v>
      </c>
      <c r="B302" s="290" t="s">
        <v>265</v>
      </c>
      <c r="C302" s="290">
        <f>data!BN64</f>
        <v>13840</v>
      </c>
      <c r="D302" s="290">
        <f>data!BO64</f>
        <v>13141</v>
      </c>
      <c r="E302" s="290">
        <f>data!BP64</f>
        <v>22551</v>
      </c>
      <c r="F302" s="290">
        <f>data!BQ64</f>
        <v>0</v>
      </c>
      <c r="G302" s="290">
        <f>data!BR64</f>
        <v>13888</v>
      </c>
      <c r="H302" s="290">
        <f>data!BS64</f>
        <v>0</v>
      </c>
      <c r="I302" s="290">
        <f>data!BT64</f>
        <v>0</v>
      </c>
    </row>
    <row r="303" spans="1:9" customFormat="1" ht="20.149999999999999" customHeight="1" x14ac:dyDescent="0.35">
      <c r="A303" s="289">
        <v>10</v>
      </c>
      <c r="B303" s="290" t="s">
        <v>524</v>
      </c>
      <c r="C303" s="290">
        <f>data!BN65</f>
        <v>-1</v>
      </c>
      <c r="D303" s="290">
        <f>data!BO65</f>
        <v>0</v>
      </c>
      <c r="E303" s="290">
        <f>data!BP65</f>
        <v>0</v>
      </c>
      <c r="F303" s="290">
        <f>data!BQ65</f>
        <v>0</v>
      </c>
      <c r="G303" s="290">
        <f>data!BR65</f>
        <v>0</v>
      </c>
      <c r="H303" s="290">
        <f>data!BS65</f>
        <v>0</v>
      </c>
      <c r="I303" s="290">
        <f>data!BT65</f>
        <v>0</v>
      </c>
    </row>
    <row r="304" spans="1:9" customFormat="1" ht="20.149999999999999" customHeight="1" x14ac:dyDescent="0.35">
      <c r="A304" s="289">
        <v>11</v>
      </c>
      <c r="B304" s="290" t="s">
        <v>525</v>
      </c>
      <c r="C304" s="290">
        <f>data!BN66</f>
        <v>71187</v>
      </c>
      <c r="D304" s="290">
        <f>data!BO66</f>
        <v>31893</v>
      </c>
      <c r="E304" s="290">
        <f>data!BP66</f>
        <v>73046</v>
      </c>
      <c r="F304" s="290">
        <f>data!BQ66</f>
        <v>0</v>
      </c>
      <c r="G304" s="290">
        <f>data!BR66</f>
        <v>368013</v>
      </c>
      <c r="H304" s="290">
        <f>data!BS66</f>
        <v>0</v>
      </c>
      <c r="I304" s="290">
        <f>data!BT66</f>
        <v>0</v>
      </c>
    </row>
    <row r="305" spans="1:9" customFormat="1" ht="20.149999999999999" customHeight="1" x14ac:dyDescent="0.35">
      <c r="A305" s="289">
        <v>12</v>
      </c>
      <c r="B305" s="290" t="s">
        <v>16</v>
      </c>
      <c r="C305" s="290">
        <f>data!BN67</f>
        <v>792915</v>
      </c>
      <c r="D305" s="290">
        <f>data!BO67</f>
        <v>0</v>
      </c>
      <c r="E305" s="290">
        <f>data!BP67</f>
        <v>0</v>
      </c>
      <c r="F305" s="290">
        <f>data!BQ67</f>
        <v>0</v>
      </c>
      <c r="G305" s="290">
        <f>data!BR67</f>
        <v>94735</v>
      </c>
      <c r="H305" s="290">
        <f>data!BS67</f>
        <v>0</v>
      </c>
      <c r="I305" s="290">
        <f>data!BT67</f>
        <v>0</v>
      </c>
    </row>
    <row r="306" spans="1:9" customFormat="1" ht="20.149999999999999" customHeight="1" x14ac:dyDescent="0.35">
      <c r="A306" s="289">
        <v>13</v>
      </c>
      <c r="B306" s="290" t="s">
        <v>994</v>
      </c>
      <c r="C306" s="290">
        <f>data!BN68</f>
        <v>0</v>
      </c>
      <c r="D306" s="290">
        <f>data!BO68</f>
        <v>0</v>
      </c>
      <c r="E306" s="290">
        <f>data!BP68</f>
        <v>0</v>
      </c>
      <c r="F306" s="290">
        <f>data!BQ68</f>
        <v>0</v>
      </c>
      <c r="G306" s="290">
        <f>data!BR68</f>
        <v>0</v>
      </c>
      <c r="H306" s="290">
        <f>data!BS68</f>
        <v>0</v>
      </c>
      <c r="I306" s="290">
        <f>data!BT68</f>
        <v>0</v>
      </c>
    </row>
    <row r="307" spans="1:9" customFormat="1" ht="20.149999999999999" customHeight="1" x14ac:dyDescent="0.35">
      <c r="A307" s="289">
        <v>14</v>
      </c>
      <c r="B307" s="290" t="s">
        <v>995</v>
      </c>
      <c r="C307" s="290">
        <f>data!BN69</f>
        <v>231047</v>
      </c>
      <c r="D307" s="290">
        <f>data!BO69</f>
        <v>6477</v>
      </c>
      <c r="E307" s="290">
        <f>data!BP69</f>
        <v>334126</v>
      </c>
      <c r="F307" s="290">
        <f>data!BQ69</f>
        <v>0</v>
      </c>
      <c r="G307" s="290">
        <f>data!BR69</f>
        <v>30850</v>
      </c>
      <c r="H307" s="290">
        <f>data!BS69</f>
        <v>0</v>
      </c>
      <c r="I307" s="290">
        <f>data!BT69</f>
        <v>0</v>
      </c>
    </row>
    <row r="308" spans="1:9" customFormat="1" ht="20.149999999999999" customHeight="1" x14ac:dyDescent="0.35">
      <c r="A308" s="289">
        <v>15</v>
      </c>
      <c r="B308" s="290" t="s">
        <v>284</v>
      </c>
      <c r="C308" s="290">
        <f>-data!BN84</f>
        <v>-47927</v>
      </c>
      <c r="D308" s="290">
        <f>-data!BO84</f>
        <v>0</v>
      </c>
      <c r="E308" s="290">
        <f>-data!BP84</f>
        <v>0</v>
      </c>
      <c r="F308" s="290">
        <f>-data!BQ84</f>
        <v>0</v>
      </c>
      <c r="G308" s="290">
        <f>-data!BR84</f>
        <v>-40</v>
      </c>
      <c r="H308" s="290">
        <f>-data!BS84</f>
        <v>0</v>
      </c>
      <c r="I308" s="290">
        <f>-data!BT84</f>
        <v>0</v>
      </c>
    </row>
    <row r="309" spans="1:9" customFormat="1" ht="20.149999999999999" customHeight="1" x14ac:dyDescent="0.35">
      <c r="A309" s="289">
        <v>16</v>
      </c>
      <c r="B309" s="298" t="s">
        <v>996</v>
      </c>
      <c r="C309" s="290">
        <f>data!BN85</f>
        <v>2848446</v>
      </c>
      <c r="D309" s="290">
        <f>data!BO85</f>
        <v>334438</v>
      </c>
      <c r="E309" s="290">
        <f>data!BP85</f>
        <v>920902</v>
      </c>
      <c r="F309" s="290">
        <f>data!BQ85</f>
        <v>0</v>
      </c>
      <c r="G309" s="290">
        <f>data!BR85</f>
        <v>1315242</v>
      </c>
      <c r="H309" s="290">
        <f>data!BS85</f>
        <v>0</v>
      </c>
      <c r="I309" s="290">
        <f>data!BT85</f>
        <v>0</v>
      </c>
    </row>
    <row r="310" spans="1:9" customFormat="1" ht="20.149999999999999" customHeight="1" x14ac:dyDescent="0.35">
      <c r="A310" s="289">
        <v>17</v>
      </c>
      <c r="B310" s="290" t="s">
        <v>286</v>
      </c>
      <c r="C310" s="300"/>
      <c r="D310" s="300"/>
      <c r="E310" s="300"/>
      <c r="F310" s="300"/>
      <c r="G310" s="300"/>
      <c r="H310" s="300"/>
      <c r="I310" s="300"/>
    </row>
    <row r="311" spans="1:9" customFormat="1" ht="20.149999999999999" customHeight="1" x14ac:dyDescent="0.35">
      <c r="A311" s="289">
        <v>18</v>
      </c>
      <c r="B311" s="290" t="s">
        <v>997</v>
      </c>
      <c r="C311" s="290"/>
      <c r="D311" s="290"/>
      <c r="E311" s="290"/>
      <c r="F311" s="290"/>
      <c r="G311" s="290"/>
      <c r="H311" s="290"/>
      <c r="I311" s="290"/>
    </row>
    <row r="312" spans="1:9" customFormat="1" ht="20.149999999999999" customHeight="1" x14ac:dyDescent="0.35">
      <c r="A312" s="289">
        <v>19</v>
      </c>
      <c r="B312" s="298" t="s">
        <v>998</v>
      </c>
      <c r="C312" s="305" t="str">
        <f>IF(data!BN87&gt;0,data!BN87,"")</f>
        <v>x</v>
      </c>
      <c r="D312" s="305" t="str">
        <f>IF(data!BO87&gt;0,data!BO87,"")</f>
        <v>x</v>
      </c>
      <c r="E312" s="305" t="str">
        <f>IF(data!BP87&gt;0,data!BP87,"")</f>
        <v>x</v>
      </c>
      <c r="F312" s="305" t="str">
        <f>IF(data!BQ87&gt;0,data!BQ87,"")</f>
        <v>x</v>
      </c>
      <c r="G312" s="305" t="str">
        <f>IF(data!BR87&gt;0,data!BR87,"")</f>
        <v>x</v>
      </c>
      <c r="H312" s="305" t="str">
        <f>IF(data!BS87&gt;0,data!BS87,"")</f>
        <v>x</v>
      </c>
      <c r="I312" s="305" t="str">
        <f>IF(data!BT87&gt;0,data!BT87,"")</f>
        <v>x</v>
      </c>
    </row>
    <row r="313" spans="1:9" customFormat="1" ht="20.149999999999999" customHeight="1" x14ac:dyDescent="0.35">
      <c r="A313" s="289">
        <v>20</v>
      </c>
      <c r="B313" s="298" t="s">
        <v>999</v>
      </c>
      <c r="C313" s="305" t="str">
        <f>IF(data!BN88&gt;0,data!BN88,"")</f>
        <v>x</v>
      </c>
      <c r="D313" s="305" t="str">
        <f>IF(data!BO88&gt;0,data!BO88,"")</f>
        <v>x</v>
      </c>
      <c r="E313" s="305" t="str">
        <f>IF(data!BP88&gt;0,data!BP88,"")</f>
        <v>x</v>
      </c>
      <c r="F313" s="305" t="str">
        <f>IF(data!BQ88&gt;0,data!BQ88,"")</f>
        <v>x</v>
      </c>
      <c r="G313" s="305" t="str">
        <f>IF(data!BR88&gt;0,data!BR88,"")</f>
        <v>x</v>
      </c>
      <c r="H313" s="305" t="str">
        <f>IF(data!BS88&gt;0,data!BS88,"")</f>
        <v>x</v>
      </c>
      <c r="I313" s="305" t="str">
        <f>IF(data!BT88&gt;0,data!BT88,"")</f>
        <v>x</v>
      </c>
    </row>
    <row r="314" spans="1:9" customFormat="1" ht="20.149999999999999" customHeight="1" x14ac:dyDescent="0.35">
      <c r="A314" s="289">
        <v>21</v>
      </c>
      <c r="B314" s="298" t="s">
        <v>1000</v>
      </c>
      <c r="C314" s="305" t="str">
        <f>IF(data!BN89&gt;0,data!BN89,"")</f>
        <v>x</v>
      </c>
      <c r="D314" s="305" t="str">
        <f>IF(data!BO89&gt;0,data!BO89,"")</f>
        <v>x</v>
      </c>
      <c r="E314" s="305" t="str">
        <f>IF(data!BP89&gt;0,data!BP89,"")</f>
        <v>x</v>
      </c>
      <c r="F314" s="305" t="str">
        <f>IF(data!BQ89&gt;0,data!BQ89,"")</f>
        <v>x</v>
      </c>
      <c r="G314" s="305" t="str">
        <f>IF(data!BR89&gt;0,data!BR89,"")</f>
        <v>x</v>
      </c>
      <c r="H314" s="305" t="str">
        <f>IF(data!BS89&gt;0,data!BS89,"")</f>
        <v>x</v>
      </c>
      <c r="I314" s="305" t="str">
        <f>IF(data!BT89&gt;0,data!BT89,"")</f>
        <v>x</v>
      </c>
    </row>
    <row r="315" spans="1:9" customFormat="1" ht="20.149999999999999" customHeight="1" x14ac:dyDescent="0.35">
      <c r="A315" s="289" t="s">
        <v>1001</v>
      </c>
      <c r="B315" s="290"/>
      <c r="C315" s="300"/>
      <c r="D315" s="300"/>
      <c r="E315" s="300"/>
      <c r="F315" s="300"/>
      <c r="G315" s="300"/>
      <c r="H315" s="300"/>
      <c r="I315" s="300"/>
    </row>
    <row r="316" spans="1:9" customFormat="1" ht="20.149999999999999" customHeight="1" x14ac:dyDescent="0.35">
      <c r="A316" s="289">
        <v>22</v>
      </c>
      <c r="B316" s="290" t="s">
        <v>1002</v>
      </c>
      <c r="C316" s="306">
        <f>data!BN90</f>
        <v>16045</v>
      </c>
      <c r="D316" s="306">
        <f>data!BO90</f>
        <v>0</v>
      </c>
      <c r="E316" s="306">
        <f>data!BP90</f>
        <v>0</v>
      </c>
      <c r="F316" s="306">
        <f>data!BQ90</f>
        <v>0</v>
      </c>
      <c r="G316" s="306">
        <f>data!BR90</f>
        <v>1917</v>
      </c>
      <c r="H316" s="306">
        <f>data!BS90</f>
        <v>0</v>
      </c>
      <c r="I316" s="306">
        <f>data!BT90</f>
        <v>0</v>
      </c>
    </row>
    <row r="317" spans="1:9" customFormat="1" ht="20.149999999999999" customHeight="1" x14ac:dyDescent="0.35">
      <c r="A317" s="289">
        <v>23</v>
      </c>
      <c r="B317" s="290" t="s">
        <v>1003</v>
      </c>
      <c r="C317" s="305" t="str">
        <f>IF(data!BN91&gt;0,data!BN91,"")</f>
        <v>x</v>
      </c>
      <c r="D317" s="305" t="str">
        <f>IF(data!BO91&gt;0,data!BO91,"")</f>
        <v>x</v>
      </c>
      <c r="E317" s="305" t="str">
        <f>IF(data!BP91&gt;0,data!BP91,"")</f>
        <v>x</v>
      </c>
      <c r="F317" s="305" t="str">
        <f>IF(data!BQ91&gt;0,data!BQ91,"")</f>
        <v>x</v>
      </c>
      <c r="G317" s="306">
        <f>data!BR91</f>
        <v>0</v>
      </c>
      <c r="H317" s="306">
        <f>data!BS91</f>
        <v>0</v>
      </c>
      <c r="I317" s="306">
        <f>data!BT91</f>
        <v>0</v>
      </c>
    </row>
    <row r="318" spans="1:9" customFormat="1" ht="20.149999999999999" customHeight="1" x14ac:dyDescent="0.35">
      <c r="A318" s="289">
        <v>24</v>
      </c>
      <c r="B318" s="290" t="s">
        <v>1004</v>
      </c>
      <c r="C318" s="305" t="str">
        <f>IF(data!BN92&gt;0,data!BN92,"")</f>
        <v>x</v>
      </c>
      <c r="D318" s="305" t="str">
        <f>IF(data!BO92&gt;0,data!BO92,"")</f>
        <v>x</v>
      </c>
      <c r="E318" s="305" t="str">
        <f>IF(data!BP92&gt;0,data!BP92,"")</f>
        <v>x</v>
      </c>
      <c r="F318" s="305" t="str">
        <f>IF(data!BQ92&gt;0,data!BQ92,"")</f>
        <v>x</v>
      </c>
      <c r="G318" s="305" t="str">
        <f>IF(data!BR92&gt;0,data!BR92,"")</f>
        <v>x</v>
      </c>
      <c r="H318" s="306">
        <f>data!BS92</f>
        <v>0</v>
      </c>
      <c r="I318" s="306">
        <f>data!BT92</f>
        <v>0</v>
      </c>
    </row>
    <row r="319" spans="1:9" customFormat="1" ht="20.149999999999999" customHeight="1" x14ac:dyDescent="0.35">
      <c r="A319" s="289">
        <v>25</v>
      </c>
      <c r="B319" s="290" t="s">
        <v>1005</v>
      </c>
      <c r="C319" s="305" t="str">
        <f>IF(data!BN93&gt;0,data!BN93,"")</f>
        <v>x</v>
      </c>
      <c r="D319" s="305" t="str">
        <f>IF(data!BO93&gt;0,data!BO93,"")</f>
        <v>x</v>
      </c>
      <c r="E319" s="305" t="str">
        <f>IF(data!BP93&gt;0,data!BP93,"")</f>
        <v>x</v>
      </c>
      <c r="F319" s="305" t="str">
        <f>IF(data!BQ93&gt;0,data!BQ93,"")</f>
        <v>x</v>
      </c>
      <c r="G319" s="305" t="str">
        <f>IF(data!BR93&gt;0,data!BR93,"")</f>
        <v>x</v>
      </c>
      <c r="H319" s="306">
        <f>data!BS93</f>
        <v>0</v>
      </c>
      <c r="I319" s="306">
        <f>data!BT93</f>
        <v>0</v>
      </c>
    </row>
    <row r="320" spans="1:9" customFormat="1" ht="20.149999999999999" customHeight="1" x14ac:dyDescent="0.35">
      <c r="A320" s="289">
        <v>26</v>
      </c>
      <c r="B320" s="290" t="s">
        <v>294</v>
      </c>
      <c r="C320" s="308" t="str">
        <f>IF(data!BN94&gt;0,data!BN94,"")</f>
        <v>x</v>
      </c>
      <c r="D320" s="308" t="str">
        <f>IF(data!BO94&gt;0,data!BO94,"")</f>
        <v>x</v>
      </c>
      <c r="E320" s="308" t="str">
        <f>IF(data!BP94&gt;0,data!BP94,"")</f>
        <v>x</v>
      </c>
      <c r="F320" s="308" t="str">
        <f>IF(data!BQ94&gt;0,data!BQ94,"")</f>
        <v>x</v>
      </c>
      <c r="G320" s="308" t="str">
        <f>IF(data!BR94&gt;0,data!BR94,"")</f>
        <v>x</v>
      </c>
      <c r="H320" s="308" t="str">
        <f>IF(data!BS94&gt;0,data!BS94,"")</f>
        <v>x</v>
      </c>
      <c r="I320" s="308" t="str">
        <f>IF(data!BT94&gt;0,data!BT94,"")</f>
        <v>x</v>
      </c>
    </row>
    <row r="321" spans="1:9" customFormat="1" ht="20.149999999999999" customHeight="1" x14ac:dyDescent="0.35">
      <c r="A321" s="283" t="s">
        <v>987</v>
      </c>
      <c r="B321" s="284"/>
      <c r="C321" s="284"/>
      <c r="D321" s="284"/>
      <c r="E321" s="284"/>
      <c r="F321" s="284"/>
      <c r="G321" s="284"/>
      <c r="H321" s="284"/>
      <c r="I321" s="283"/>
    </row>
    <row r="322" spans="1:9" customFormat="1" ht="20.149999999999999" customHeight="1" x14ac:dyDescent="0.35">
      <c r="D322" s="285"/>
      <c r="I322" s="286" t="s">
        <v>1039</v>
      </c>
    </row>
    <row r="323" spans="1:9" customFormat="1" ht="20.149999999999999" customHeight="1" x14ac:dyDescent="0.35">
      <c r="A323" s="285"/>
    </row>
    <row r="324" spans="1:9" customFormat="1" ht="20.149999999999999" customHeight="1" x14ac:dyDescent="0.35">
      <c r="A324" s="287" t="str">
        <f>"Hospital: "&amp;data!C98</f>
        <v>Hospital: Kittitas Valley Healthcare</v>
      </c>
      <c r="G324" s="288"/>
      <c r="H324" s="287" t="str">
        <f>"FYE: "&amp;data!C96</f>
        <v>FYE: 12/31/2023</v>
      </c>
    </row>
    <row r="325" spans="1:9" customFormat="1" ht="20.149999999999999" customHeight="1" x14ac:dyDescent="0.35">
      <c r="A325" s="289">
        <v>1</v>
      </c>
      <c r="B325" s="290" t="s">
        <v>236</v>
      </c>
      <c r="C325" s="292" t="s">
        <v>106</v>
      </c>
      <c r="D325" s="292" t="s">
        <v>107</v>
      </c>
      <c r="E325" s="292" t="s">
        <v>108</v>
      </c>
      <c r="F325" s="292" t="s">
        <v>109</v>
      </c>
      <c r="G325" s="292" t="s">
        <v>110</v>
      </c>
      <c r="H325" s="292" t="s">
        <v>111</v>
      </c>
      <c r="I325" s="292" t="s">
        <v>112</v>
      </c>
    </row>
    <row r="326" spans="1:9" customFormat="1" ht="20.149999999999999" customHeight="1" x14ac:dyDescent="0.35">
      <c r="A326" s="293">
        <v>2</v>
      </c>
      <c r="B326" s="294" t="s">
        <v>989</v>
      </c>
      <c r="C326" s="296" t="s">
        <v>182</v>
      </c>
      <c r="D326" s="296" t="s">
        <v>182</v>
      </c>
      <c r="E326" s="296" t="s">
        <v>182</v>
      </c>
      <c r="F326" s="296" t="s">
        <v>183</v>
      </c>
      <c r="G326" s="296" t="s">
        <v>184</v>
      </c>
      <c r="H326" s="296" t="s">
        <v>185</v>
      </c>
      <c r="I326" s="296" t="s">
        <v>186</v>
      </c>
    </row>
    <row r="327" spans="1:9" customFormat="1" ht="20.149999999999999" customHeight="1" x14ac:dyDescent="0.35">
      <c r="A327" s="293"/>
      <c r="B327" s="294"/>
      <c r="C327" s="296" t="s">
        <v>225</v>
      </c>
      <c r="D327" s="296" t="s">
        <v>226</v>
      </c>
      <c r="E327" s="296" t="s">
        <v>227</v>
      </c>
      <c r="F327" s="296" t="s">
        <v>178</v>
      </c>
      <c r="G327" s="296" t="s">
        <v>1038</v>
      </c>
      <c r="H327" s="296" t="s">
        <v>179</v>
      </c>
      <c r="I327" s="296" t="s">
        <v>228</v>
      </c>
    </row>
    <row r="328" spans="1:9" customFormat="1" ht="20.149999999999999" customHeight="1" x14ac:dyDescent="0.35">
      <c r="A328" s="289">
        <v>3</v>
      </c>
      <c r="B328" s="290" t="s">
        <v>993</v>
      </c>
      <c r="C328" s="302"/>
      <c r="D328" s="302"/>
      <c r="E328" s="302"/>
      <c r="F328" s="302"/>
      <c r="G328" s="302"/>
      <c r="H328" s="302"/>
      <c r="I328" s="302"/>
    </row>
    <row r="329" spans="1:9" customFormat="1" ht="20.149999999999999" customHeight="1" x14ac:dyDescent="0.35">
      <c r="A329" s="289">
        <v>4</v>
      </c>
      <c r="B329" s="290" t="s">
        <v>261</v>
      </c>
      <c r="C329" s="302"/>
      <c r="D329" s="302"/>
      <c r="E329" s="302"/>
      <c r="F329" s="302"/>
      <c r="G329" s="302"/>
      <c r="H329" s="302"/>
      <c r="I329" s="302"/>
    </row>
    <row r="330" spans="1:9" customFormat="1" ht="20.149999999999999" customHeight="1" x14ac:dyDescent="0.35">
      <c r="A330" s="289">
        <v>5</v>
      </c>
      <c r="B330" s="290" t="s">
        <v>262</v>
      </c>
      <c r="C330" s="297">
        <f>data!BU60</f>
        <v>0</v>
      </c>
      <c r="D330" s="297">
        <f>data!BV60</f>
        <v>24.45</v>
      </c>
      <c r="E330" s="297">
        <f>data!BW60</f>
        <v>3.8</v>
      </c>
      <c r="F330" s="297">
        <f>data!BX60</f>
        <v>6.78</v>
      </c>
      <c r="G330" s="297">
        <f>data!BY60</f>
        <v>8.68</v>
      </c>
      <c r="H330" s="297">
        <f>data!BZ60</f>
        <v>0</v>
      </c>
      <c r="I330" s="297">
        <f>data!CA60</f>
        <v>0</v>
      </c>
    </row>
    <row r="331" spans="1:9" customFormat="1" ht="20.149999999999999" customHeight="1" x14ac:dyDescent="0.35">
      <c r="A331" s="289">
        <v>6</v>
      </c>
      <c r="B331" s="290" t="s">
        <v>263</v>
      </c>
      <c r="C331" s="309">
        <f>data!BU61</f>
        <v>0</v>
      </c>
      <c r="D331" s="309">
        <f>data!BV61</f>
        <v>1605859</v>
      </c>
      <c r="E331" s="309">
        <f>data!BW61</f>
        <v>830663</v>
      </c>
      <c r="F331" s="309">
        <f>data!BX61</f>
        <v>787965</v>
      </c>
      <c r="G331" s="309">
        <f>data!BY61</f>
        <v>805815</v>
      </c>
      <c r="H331" s="309">
        <f>data!BZ61</f>
        <v>0</v>
      </c>
      <c r="I331" s="309">
        <f>data!CA61</f>
        <v>0</v>
      </c>
    </row>
    <row r="332" spans="1:9" customFormat="1" ht="20.149999999999999" customHeight="1" x14ac:dyDescent="0.35">
      <c r="A332" s="289">
        <v>7</v>
      </c>
      <c r="B332" s="290" t="s">
        <v>11</v>
      </c>
      <c r="C332" s="309">
        <f>data!BU62</f>
        <v>0</v>
      </c>
      <c r="D332" s="309">
        <f>data!BV62</f>
        <v>403573</v>
      </c>
      <c r="E332" s="309">
        <f>data!BW62</f>
        <v>208756</v>
      </c>
      <c r="F332" s="309">
        <f>data!BX62</f>
        <v>198026</v>
      </c>
      <c r="G332" s="309">
        <f>data!BY62</f>
        <v>202511</v>
      </c>
      <c r="H332" s="309">
        <f>data!BZ62</f>
        <v>0</v>
      </c>
      <c r="I332" s="309">
        <f>data!CA62</f>
        <v>0</v>
      </c>
    </row>
    <row r="333" spans="1:9" customFormat="1" ht="20.149999999999999" customHeight="1" x14ac:dyDescent="0.35">
      <c r="A333" s="289">
        <v>8</v>
      </c>
      <c r="B333" s="290" t="s">
        <v>264</v>
      </c>
      <c r="C333" s="309">
        <f>data!BU63</f>
        <v>0</v>
      </c>
      <c r="D333" s="309">
        <f>data!BV63</f>
        <v>1840</v>
      </c>
      <c r="E333" s="309">
        <f>data!BW63</f>
        <v>0</v>
      </c>
      <c r="F333" s="309">
        <f>data!BX63</f>
        <v>0</v>
      </c>
      <c r="G333" s="309">
        <f>data!BY63</f>
        <v>386</v>
      </c>
      <c r="H333" s="309">
        <f>data!BZ63</f>
        <v>0</v>
      </c>
      <c r="I333" s="309">
        <f>data!CA63</f>
        <v>0</v>
      </c>
    </row>
    <row r="334" spans="1:9" customFormat="1" ht="20.149999999999999" customHeight="1" x14ac:dyDescent="0.35">
      <c r="A334" s="289">
        <v>9</v>
      </c>
      <c r="B334" s="290" t="s">
        <v>265</v>
      </c>
      <c r="C334" s="309">
        <f>data!BU64</f>
        <v>0</v>
      </c>
      <c r="D334" s="309">
        <f>data!BV64</f>
        <v>11346</v>
      </c>
      <c r="E334" s="309">
        <f>data!BW64</f>
        <v>2450</v>
      </c>
      <c r="F334" s="309">
        <f>data!BX64</f>
        <v>3735</v>
      </c>
      <c r="G334" s="309">
        <f>data!BY64</f>
        <v>5983</v>
      </c>
      <c r="H334" s="309">
        <f>data!BZ64</f>
        <v>0</v>
      </c>
      <c r="I334" s="309">
        <f>data!CA64</f>
        <v>0</v>
      </c>
    </row>
    <row r="335" spans="1:9" customFormat="1" ht="20.149999999999999" customHeight="1" x14ac:dyDescent="0.35">
      <c r="A335" s="289">
        <v>10</v>
      </c>
      <c r="B335" s="290" t="s">
        <v>524</v>
      </c>
      <c r="C335" s="309">
        <f>data!BU65</f>
        <v>0</v>
      </c>
      <c r="D335" s="309">
        <f>data!BV65</f>
        <v>0</v>
      </c>
      <c r="E335" s="309">
        <f>data!BW65</f>
        <v>0</v>
      </c>
      <c r="F335" s="309">
        <f>data!BX65</f>
        <v>0</v>
      </c>
      <c r="G335" s="309">
        <f>data!BY65</f>
        <v>0</v>
      </c>
      <c r="H335" s="309">
        <f>data!BZ65</f>
        <v>0</v>
      </c>
      <c r="I335" s="309">
        <f>data!CA65</f>
        <v>0</v>
      </c>
    </row>
    <row r="336" spans="1:9" customFormat="1" ht="20.149999999999999" customHeight="1" x14ac:dyDescent="0.35">
      <c r="A336" s="289">
        <v>11</v>
      </c>
      <c r="B336" s="290" t="s">
        <v>525</v>
      </c>
      <c r="C336" s="309">
        <f>data!BU66</f>
        <v>0</v>
      </c>
      <c r="D336" s="309">
        <f>data!BV66</f>
        <v>413742</v>
      </c>
      <c r="E336" s="309">
        <f>data!BW66</f>
        <v>65040</v>
      </c>
      <c r="F336" s="309">
        <f>data!BX66</f>
        <v>258695</v>
      </c>
      <c r="G336" s="309">
        <f>data!BY66</f>
        <v>357929</v>
      </c>
      <c r="H336" s="309">
        <f>data!BZ66</f>
        <v>0</v>
      </c>
      <c r="I336" s="309">
        <f>data!CA66</f>
        <v>0</v>
      </c>
    </row>
    <row r="337" spans="1:9" customFormat="1" ht="20.149999999999999" customHeight="1" x14ac:dyDescent="0.35">
      <c r="A337" s="289">
        <v>12</v>
      </c>
      <c r="B337" s="290" t="s">
        <v>16</v>
      </c>
      <c r="C337" s="309">
        <f>data!BU67</f>
        <v>0</v>
      </c>
      <c r="D337" s="309">
        <f>data!BV67</f>
        <v>88113</v>
      </c>
      <c r="E337" s="309">
        <f>data!BW67</f>
        <v>0</v>
      </c>
      <c r="F337" s="309">
        <f>data!BX67</f>
        <v>0</v>
      </c>
      <c r="G337" s="309">
        <f>data!BY67</f>
        <v>298832</v>
      </c>
      <c r="H337" s="309">
        <f>data!BZ67</f>
        <v>0</v>
      </c>
      <c r="I337" s="309">
        <f>data!CA67</f>
        <v>0</v>
      </c>
    </row>
    <row r="338" spans="1:9" customFormat="1" ht="20.149999999999999" customHeight="1" x14ac:dyDescent="0.35">
      <c r="A338" s="289">
        <v>13</v>
      </c>
      <c r="B338" s="290" t="s">
        <v>994</v>
      </c>
      <c r="C338" s="309">
        <f>data!BU68</f>
        <v>0</v>
      </c>
      <c r="D338" s="309">
        <f>data!BV68</f>
        <v>0</v>
      </c>
      <c r="E338" s="309">
        <f>data!BW68</f>
        <v>0</v>
      </c>
      <c r="F338" s="309">
        <f>data!BX68</f>
        <v>0</v>
      </c>
      <c r="G338" s="309">
        <f>data!BY68</f>
        <v>0</v>
      </c>
      <c r="H338" s="309">
        <f>data!BZ68</f>
        <v>0</v>
      </c>
      <c r="I338" s="309">
        <f>data!CA68</f>
        <v>0</v>
      </c>
    </row>
    <row r="339" spans="1:9" customFormat="1" ht="20.149999999999999" customHeight="1" x14ac:dyDescent="0.35">
      <c r="A339" s="289">
        <v>14</v>
      </c>
      <c r="B339" s="290" t="s">
        <v>995</v>
      </c>
      <c r="C339" s="309">
        <f>data!BU69</f>
        <v>0</v>
      </c>
      <c r="D339" s="309">
        <f>data!BV69</f>
        <v>42383</v>
      </c>
      <c r="E339" s="309">
        <f>data!BW69</f>
        <v>262297</v>
      </c>
      <c r="F339" s="309">
        <f>data!BX69</f>
        <v>25944</v>
      </c>
      <c r="G339" s="309">
        <f>data!BY69</f>
        <v>70251</v>
      </c>
      <c r="H339" s="309">
        <f>data!BZ69</f>
        <v>0</v>
      </c>
      <c r="I339" s="309">
        <f>data!CA69</f>
        <v>0</v>
      </c>
    </row>
    <row r="340" spans="1:9" customFormat="1" ht="20.149999999999999" customHeight="1" x14ac:dyDescent="0.35">
      <c r="A340" s="289">
        <v>15</v>
      </c>
      <c r="B340" s="290" t="s">
        <v>284</v>
      </c>
      <c r="C340" s="290">
        <f>-data!BU84</f>
        <v>0</v>
      </c>
      <c r="D340" s="290">
        <f>-data!BV84</f>
        <v>-1120</v>
      </c>
      <c r="E340" s="290">
        <f>-data!BW84</f>
        <v>0</v>
      </c>
      <c r="F340" s="290">
        <f>-data!BX84</f>
        <v>0</v>
      </c>
      <c r="G340" s="290">
        <f>-data!BY84</f>
        <v>0</v>
      </c>
      <c r="H340" s="290">
        <f>-data!BZ84</f>
        <v>0</v>
      </c>
      <c r="I340" s="290">
        <f>-data!CA84</f>
        <v>0</v>
      </c>
    </row>
    <row r="341" spans="1:9" customFormat="1" ht="20.149999999999999" customHeight="1" x14ac:dyDescent="0.35">
      <c r="A341" s="289">
        <v>16</v>
      </c>
      <c r="B341" s="298" t="s">
        <v>996</v>
      </c>
      <c r="C341" s="290">
        <f>data!BU85</f>
        <v>0</v>
      </c>
      <c r="D341" s="290">
        <f>data!BV85</f>
        <v>2565736</v>
      </c>
      <c r="E341" s="290">
        <f>data!BW85</f>
        <v>1369206</v>
      </c>
      <c r="F341" s="290">
        <f>data!BX85</f>
        <v>1274365</v>
      </c>
      <c r="G341" s="290">
        <f>data!BY85</f>
        <v>1741707</v>
      </c>
      <c r="H341" s="290">
        <f>data!BZ85</f>
        <v>0</v>
      </c>
      <c r="I341" s="290">
        <f>data!CA85</f>
        <v>0</v>
      </c>
    </row>
    <row r="342" spans="1:9" customFormat="1" ht="20.149999999999999" customHeight="1" x14ac:dyDescent="0.35">
      <c r="A342" s="289">
        <v>17</v>
      </c>
      <c r="B342" s="290" t="s">
        <v>286</v>
      </c>
      <c r="C342" s="300"/>
      <c r="D342" s="300"/>
      <c r="E342" s="300"/>
      <c r="F342" s="300"/>
      <c r="G342" s="300"/>
      <c r="H342" s="300"/>
      <c r="I342" s="300"/>
    </row>
    <row r="343" spans="1:9" customFormat="1" ht="20.149999999999999" customHeight="1" x14ac:dyDescent="0.35">
      <c r="A343" s="289">
        <v>18</v>
      </c>
      <c r="B343" s="290" t="s">
        <v>997</v>
      </c>
      <c r="C343" s="290"/>
      <c r="D343" s="290"/>
      <c r="E343" s="290"/>
      <c r="F343" s="290"/>
      <c r="G343" s="290"/>
      <c r="H343" s="290"/>
      <c r="I343" s="290"/>
    </row>
    <row r="344" spans="1:9" customFormat="1" ht="20.149999999999999" customHeight="1" x14ac:dyDescent="0.35">
      <c r="A344" s="289">
        <v>19</v>
      </c>
      <c r="B344" s="298" t="s">
        <v>998</v>
      </c>
      <c r="C344" s="305" t="str">
        <f>IF(data!BU87&gt;0,data!BU87,"")</f>
        <v>x</v>
      </c>
      <c r="D344" s="305" t="str">
        <f>IF(data!BV87&gt;0,data!BV87,"")</f>
        <v>x</v>
      </c>
      <c r="E344" s="305" t="str">
        <f>IF(data!BW87&gt;0,data!BW87,"")</f>
        <v>x</v>
      </c>
      <c r="F344" s="305" t="str">
        <f>IF(data!BX87&gt;0,data!BX87,"")</f>
        <v>x</v>
      </c>
      <c r="G344" s="305" t="str">
        <f>IF(data!BY87&gt;0,data!BY87,"")</f>
        <v>x</v>
      </c>
      <c r="H344" s="305" t="str">
        <f>IF(data!BZ87&gt;0,data!BZ87,"")</f>
        <v>x</v>
      </c>
      <c r="I344" s="305" t="str">
        <f>IF(data!CA87&gt;0,data!CA87,"")</f>
        <v>x</v>
      </c>
    </row>
    <row r="345" spans="1:9" customFormat="1" ht="20.149999999999999" customHeight="1" x14ac:dyDescent="0.35">
      <c r="A345" s="289">
        <v>20</v>
      </c>
      <c r="B345" s="298" t="s">
        <v>999</v>
      </c>
      <c r="C345" s="305" t="str">
        <f>IF(data!BU88&gt;0,data!BU88,"")</f>
        <v>x</v>
      </c>
      <c r="D345" s="305" t="str">
        <f>IF(data!BV88&gt;0,data!BV88,"")</f>
        <v>x</v>
      </c>
      <c r="E345" s="305" t="str">
        <f>IF(data!BW88&gt;0,data!BW88,"")</f>
        <v>x</v>
      </c>
      <c r="F345" s="305" t="str">
        <f>IF(data!BX88&gt;0,data!BX88,"")</f>
        <v>x</v>
      </c>
      <c r="G345" s="305" t="str">
        <f>IF(data!BY88&gt;0,data!BY88,"")</f>
        <v>x</v>
      </c>
      <c r="H345" s="305" t="str">
        <f>IF(data!BZ88&gt;0,data!BZ88,"")</f>
        <v>x</v>
      </c>
      <c r="I345" s="305" t="str">
        <f>IF(data!CA88&gt;0,data!CA88,"")</f>
        <v>x</v>
      </c>
    </row>
    <row r="346" spans="1:9" customFormat="1" ht="20.149999999999999" customHeight="1" x14ac:dyDescent="0.35">
      <c r="A346" s="289">
        <v>21</v>
      </c>
      <c r="B346" s="298" t="s">
        <v>1000</v>
      </c>
      <c r="C346" s="305" t="str">
        <f>IF(data!BU89&gt;0,data!BU89,"")</f>
        <v>x</v>
      </c>
      <c r="D346" s="305" t="str">
        <f>IF(data!BV89&gt;0,data!BV89,"")</f>
        <v>x</v>
      </c>
      <c r="E346" s="305" t="str">
        <f>IF(data!BW89&gt;0,data!BW89,"")</f>
        <v>x</v>
      </c>
      <c r="F346" s="305" t="str">
        <f>IF(data!BX89&gt;0,data!BX89,"")</f>
        <v>x</v>
      </c>
      <c r="G346" s="305" t="str">
        <f>IF(data!BY89&gt;0,data!BY89,"")</f>
        <v>x</v>
      </c>
      <c r="H346" s="305" t="str">
        <f>IF(data!BZ89&gt;0,data!BZ89,"")</f>
        <v>x</v>
      </c>
      <c r="I346" s="305" t="str">
        <f>IF(data!CA89&gt;0,data!CA89,"")</f>
        <v>x</v>
      </c>
    </row>
    <row r="347" spans="1:9" customFormat="1" ht="20.149999999999999" customHeight="1" x14ac:dyDescent="0.35">
      <c r="A347" s="289" t="s">
        <v>1001</v>
      </c>
      <c r="B347" s="290"/>
      <c r="C347" s="300"/>
      <c r="D347" s="300"/>
      <c r="E347" s="300"/>
      <c r="F347" s="300"/>
      <c r="G347" s="300"/>
      <c r="H347" s="300"/>
      <c r="I347" s="300"/>
    </row>
    <row r="348" spans="1:9" customFormat="1" ht="20.149999999999999" customHeight="1" x14ac:dyDescent="0.35">
      <c r="A348" s="289">
        <v>22</v>
      </c>
      <c r="B348" s="290" t="s">
        <v>1002</v>
      </c>
      <c r="C348" s="306">
        <f>data!BU90</f>
        <v>0</v>
      </c>
      <c r="D348" s="306">
        <f>data!BV90</f>
        <v>1783</v>
      </c>
      <c r="E348" s="306">
        <f>data!BW90</f>
        <v>0</v>
      </c>
      <c r="F348" s="306">
        <f>data!BX90</f>
        <v>0</v>
      </c>
      <c r="G348" s="306">
        <f>data!BY90</f>
        <v>6047</v>
      </c>
      <c r="H348" s="306">
        <f>data!BZ90</f>
        <v>0</v>
      </c>
      <c r="I348" s="306">
        <f>data!CA90</f>
        <v>0</v>
      </c>
    </row>
    <row r="349" spans="1:9" customFormat="1" ht="20.149999999999999" customHeight="1" x14ac:dyDescent="0.35">
      <c r="A349" s="289">
        <v>23</v>
      </c>
      <c r="B349" s="290" t="s">
        <v>1003</v>
      </c>
      <c r="C349" s="306">
        <f>data!BU91</f>
        <v>0</v>
      </c>
      <c r="D349" s="306">
        <f>data!BV91</f>
        <v>0</v>
      </c>
      <c r="E349" s="306">
        <f>data!BW91</f>
        <v>0</v>
      </c>
      <c r="F349" s="306">
        <f>data!BX91</f>
        <v>0</v>
      </c>
      <c r="G349" s="306">
        <f>data!BY91</f>
        <v>0</v>
      </c>
      <c r="H349" s="306">
        <f>data!BZ91</f>
        <v>0</v>
      </c>
      <c r="I349" s="306">
        <f>data!CA91</f>
        <v>0</v>
      </c>
    </row>
    <row r="350" spans="1:9" customFormat="1" ht="20.149999999999999" customHeight="1" x14ac:dyDescent="0.35">
      <c r="A350" s="289">
        <v>24</v>
      </c>
      <c r="B350" s="290" t="s">
        <v>1004</v>
      </c>
      <c r="C350" s="306">
        <f>data!BU92</f>
        <v>0</v>
      </c>
      <c r="D350" s="306">
        <f>data!BV92</f>
        <v>1277.9100000000001</v>
      </c>
      <c r="E350" s="306">
        <f>data!BW92</f>
        <v>0</v>
      </c>
      <c r="F350" s="306">
        <f>data!BX92</f>
        <v>0</v>
      </c>
      <c r="G350" s="306">
        <f>data!BY92</f>
        <v>4330.6899999999996</v>
      </c>
      <c r="H350" s="306">
        <f>data!BZ92</f>
        <v>0</v>
      </c>
      <c r="I350" s="306">
        <f>data!CA92</f>
        <v>0</v>
      </c>
    </row>
    <row r="351" spans="1:9" customFormat="1" ht="20.149999999999999" customHeight="1" x14ac:dyDescent="0.35">
      <c r="A351" s="289">
        <v>25</v>
      </c>
      <c r="B351" s="290" t="s">
        <v>1005</v>
      </c>
      <c r="C351" s="306">
        <f>data!BU93</f>
        <v>0</v>
      </c>
      <c r="D351" s="306">
        <f>data!BV93</f>
        <v>0</v>
      </c>
      <c r="E351" s="306">
        <f>data!BW93</f>
        <v>0</v>
      </c>
      <c r="F351" s="306">
        <f>data!BX93</f>
        <v>0</v>
      </c>
      <c r="G351" s="306">
        <f>data!BY93</f>
        <v>0</v>
      </c>
      <c r="H351" s="306">
        <f>data!BZ93</f>
        <v>0</v>
      </c>
      <c r="I351" s="306">
        <f>data!CA93</f>
        <v>0</v>
      </c>
    </row>
    <row r="352" spans="1:9" customFormat="1" ht="20.149999999999999" customHeight="1" x14ac:dyDescent="0.35">
      <c r="A352" s="289">
        <v>26</v>
      </c>
      <c r="B352" s="290" t="s">
        <v>294</v>
      </c>
      <c r="C352" s="308" t="str">
        <f>IF(data!BU94&gt;0,data!BU94,"")</f>
        <v/>
      </c>
      <c r="D352" s="308" t="str">
        <f>IF(data!BV94&gt;0,data!BV94,"")</f>
        <v/>
      </c>
      <c r="E352" s="308" t="str">
        <f>IF(data!BW94&gt;0,data!BW94,"")</f>
        <v/>
      </c>
      <c r="F352" s="308" t="str">
        <f>IF(data!BX94&gt;0,data!BX94,"")</f>
        <v/>
      </c>
      <c r="G352" s="308" t="str">
        <f>IF(data!BY94&gt;0,data!BY94,"")</f>
        <v/>
      </c>
      <c r="H352" s="308" t="str">
        <f>IF(data!BZ94&gt;0,data!BZ94,"")</f>
        <v/>
      </c>
      <c r="I352" s="308" t="str">
        <f>IF(data!CA94&gt;0,data!CA94,"")</f>
        <v/>
      </c>
    </row>
    <row r="353" spans="1:9" customFormat="1" ht="20.149999999999999" customHeight="1" x14ac:dyDescent="0.35">
      <c r="A353" s="283" t="s">
        <v>987</v>
      </c>
      <c r="B353" s="284"/>
      <c r="C353" s="284"/>
      <c r="D353" s="284"/>
      <c r="E353" s="284"/>
      <c r="F353" s="284"/>
      <c r="G353" s="284"/>
      <c r="H353" s="284"/>
      <c r="I353" s="283"/>
    </row>
    <row r="354" spans="1:9" customFormat="1" ht="20.149999999999999" customHeight="1" x14ac:dyDescent="0.35">
      <c r="D354" s="285"/>
      <c r="I354" s="286" t="s">
        <v>1040</v>
      </c>
    </row>
    <row r="355" spans="1:9" customFormat="1" ht="20.149999999999999" customHeight="1" x14ac:dyDescent="0.35">
      <c r="A355" s="285"/>
    </row>
    <row r="356" spans="1:9" customFormat="1" ht="20.149999999999999" customHeight="1" x14ac:dyDescent="0.35">
      <c r="A356" s="287" t="str">
        <f>"Hospital: "&amp;data!C98</f>
        <v>Hospital: Kittitas Valley Healthcare</v>
      </c>
      <c r="G356" s="288"/>
      <c r="H356" s="287" t="str">
        <f>"FYE: "&amp;data!C96</f>
        <v>FYE: 12/31/2023</v>
      </c>
    </row>
    <row r="357" spans="1:9" customFormat="1" ht="20.149999999999999" customHeight="1" x14ac:dyDescent="0.35">
      <c r="A357" s="289">
        <v>1</v>
      </c>
      <c r="B357" s="290" t="s">
        <v>236</v>
      </c>
      <c r="C357" s="292">
        <v>8910</v>
      </c>
      <c r="D357" s="292">
        <v>8930</v>
      </c>
      <c r="E357" s="292" t="s">
        <v>115</v>
      </c>
      <c r="F357" s="310"/>
      <c r="G357" s="310"/>
      <c r="H357" s="310"/>
      <c r="I357" s="292"/>
    </row>
    <row r="358" spans="1:9" customFormat="1" ht="20.149999999999999" customHeight="1" x14ac:dyDescent="0.35">
      <c r="A358" s="293">
        <v>2</v>
      </c>
      <c r="B358" s="294" t="s">
        <v>989</v>
      </c>
      <c r="C358" s="296" t="s">
        <v>187</v>
      </c>
      <c r="D358" s="296" t="s">
        <v>159</v>
      </c>
      <c r="E358" s="296" t="s">
        <v>238</v>
      </c>
      <c r="F358" s="311"/>
      <c r="G358" s="311"/>
      <c r="H358" s="311"/>
      <c r="I358" s="296" t="s">
        <v>188</v>
      </c>
    </row>
    <row r="359" spans="1:9" customFormat="1" ht="20.149999999999999" customHeight="1" x14ac:dyDescent="0.35">
      <c r="A359" s="293"/>
      <c r="B359" s="294"/>
      <c r="C359" s="296" t="s">
        <v>228</v>
      </c>
      <c r="D359" s="296" t="s">
        <v>1041</v>
      </c>
      <c r="E359" s="296" t="s">
        <v>240</v>
      </c>
      <c r="F359" s="311"/>
      <c r="G359" s="311"/>
      <c r="H359" s="311"/>
      <c r="I359" s="296" t="s">
        <v>230</v>
      </c>
    </row>
    <row r="360" spans="1:9" customFormat="1" ht="20.149999999999999" customHeight="1" x14ac:dyDescent="0.35">
      <c r="A360" s="289">
        <v>3</v>
      </c>
      <c r="B360" s="290" t="s">
        <v>993</v>
      </c>
      <c r="C360" s="302"/>
      <c r="D360" s="302"/>
      <c r="E360" s="302"/>
      <c r="F360" s="302"/>
      <c r="G360" s="302"/>
      <c r="H360" s="302"/>
      <c r="I360" s="302"/>
    </row>
    <row r="361" spans="1:9" customFormat="1" ht="20.149999999999999" customHeight="1" x14ac:dyDescent="0.35">
      <c r="A361" s="289">
        <v>4</v>
      </c>
      <c r="B361" s="290" t="s">
        <v>261</v>
      </c>
      <c r="C361" s="302"/>
      <c r="D361" s="302"/>
      <c r="E361" s="302"/>
      <c r="F361" s="302"/>
      <c r="G361" s="302"/>
      <c r="H361" s="302"/>
      <c r="I361" s="302"/>
    </row>
    <row r="362" spans="1:9" customFormat="1" ht="20.149999999999999" customHeight="1" x14ac:dyDescent="0.35">
      <c r="A362" s="289">
        <v>5</v>
      </c>
      <c r="B362" s="290" t="s">
        <v>262</v>
      </c>
      <c r="C362" s="297">
        <f>data!CB60</f>
        <v>0</v>
      </c>
      <c r="D362" s="297">
        <f>data!CC60</f>
        <v>1.58</v>
      </c>
      <c r="E362" s="312"/>
      <c r="F362" s="300"/>
      <c r="G362" s="300"/>
      <c r="H362" s="300"/>
      <c r="I362" s="313">
        <f>data!CE60</f>
        <v>611.7700000000001</v>
      </c>
    </row>
    <row r="363" spans="1:9" customFormat="1" ht="20.149999999999999" customHeight="1" x14ac:dyDescent="0.35">
      <c r="A363" s="289">
        <v>6</v>
      </c>
      <c r="B363" s="290" t="s">
        <v>263</v>
      </c>
      <c r="C363" s="309">
        <f>data!CB61</f>
        <v>0</v>
      </c>
      <c r="D363" s="309">
        <f>data!CC61</f>
        <v>118108</v>
      </c>
      <c r="E363" s="314"/>
      <c r="F363" s="314"/>
      <c r="G363" s="314"/>
      <c r="H363" s="314"/>
      <c r="I363" s="309">
        <f>data!CE61</f>
        <v>59535376</v>
      </c>
    </row>
    <row r="364" spans="1:9" customFormat="1" ht="20.149999999999999" customHeight="1" x14ac:dyDescent="0.35">
      <c r="A364" s="289">
        <v>7</v>
      </c>
      <c r="B364" s="290" t="s">
        <v>11</v>
      </c>
      <c r="C364" s="309">
        <f>data!CB62</f>
        <v>0</v>
      </c>
      <c r="D364" s="309">
        <f>data!CC62</f>
        <v>29682</v>
      </c>
      <c r="E364" s="314"/>
      <c r="F364" s="314"/>
      <c r="G364" s="314"/>
      <c r="H364" s="314"/>
      <c r="I364" s="309">
        <f>data!CE62</f>
        <v>14961994</v>
      </c>
    </row>
    <row r="365" spans="1:9" customFormat="1" ht="20.149999999999999" customHeight="1" x14ac:dyDescent="0.35">
      <c r="A365" s="289">
        <v>8</v>
      </c>
      <c r="B365" s="290" t="s">
        <v>264</v>
      </c>
      <c r="C365" s="309">
        <f>data!CB63</f>
        <v>0</v>
      </c>
      <c r="D365" s="309">
        <f>data!CC63</f>
        <v>0</v>
      </c>
      <c r="E365" s="314"/>
      <c r="F365" s="314"/>
      <c r="G365" s="314"/>
      <c r="H365" s="314"/>
      <c r="I365" s="309">
        <f>data!CE63</f>
        <v>5543969</v>
      </c>
    </row>
    <row r="366" spans="1:9" customFormat="1" ht="20.149999999999999" customHeight="1" x14ac:dyDescent="0.35">
      <c r="A366" s="289">
        <v>9</v>
      </c>
      <c r="B366" s="290" t="s">
        <v>265</v>
      </c>
      <c r="C366" s="309">
        <f>data!CB64</f>
        <v>0</v>
      </c>
      <c r="D366" s="309">
        <f>data!CC64</f>
        <v>25450</v>
      </c>
      <c r="E366" s="314"/>
      <c r="F366" s="314"/>
      <c r="G366" s="314"/>
      <c r="H366" s="314"/>
      <c r="I366" s="309">
        <f>data!CE64</f>
        <v>15251946</v>
      </c>
    </row>
    <row r="367" spans="1:9" customFormat="1" ht="20.149999999999999" customHeight="1" x14ac:dyDescent="0.35">
      <c r="A367" s="289">
        <v>10</v>
      </c>
      <c r="B367" s="290" t="s">
        <v>524</v>
      </c>
      <c r="C367" s="309">
        <f>data!CB65</f>
        <v>0</v>
      </c>
      <c r="D367" s="309">
        <f>data!CC65</f>
        <v>0</v>
      </c>
      <c r="E367" s="314"/>
      <c r="F367" s="314"/>
      <c r="G367" s="314"/>
      <c r="H367" s="314"/>
      <c r="I367" s="309">
        <f>data!CE65</f>
        <v>1360017</v>
      </c>
    </row>
    <row r="368" spans="1:9" customFormat="1" ht="20.149999999999999" customHeight="1" x14ac:dyDescent="0.35">
      <c r="A368" s="289">
        <v>11</v>
      </c>
      <c r="B368" s="290" t="s">
        <v>525</v>
      </c>
      <c r="C368" s="309">
        <f>data!CB66</f>
        <v>0</v>
      </c>
      <c r="D368" s="309">
        <f>data!CC66</f>
        <v>72395</v>
      </c>
      <c r="E368" s="314"/>
      <c r="F368" s="314"/>
      <c r="G368" s="314"/>
      <c r="H368" s="314"/>
      <c r="I368" s="309">
        <f>data!CE66</f>
        <v>14939902</v>
      </c>
    </row>
    <row r="369" spans="1:9" customFormat="1" ht="20.149999999999999" customHeight="1" x14ac:dyDescent="0.35">
      <c r="A369" s="289">
        <v>12</v>
      </c>
      <c r="B369" s="290" t="s">
        <v>16</v>
      </c>
      <c r="C369" s="309">
        <f>data!CB67</f>
        <v>0</v>
      </c>
      <c r="D369" s="309">
        <f>data!CC67</f>
        <v>0</v>
      </c>
      <c r="E369" s="314"/>
      <c r="F369" s="314"/>
      <c r="G369" s="314"/>
      <c r="H369" s="314"/>
      <c r="I369" s="309">
        <f>data!CE67</f>
        <v>7214565</v>
      </c>
    </row>
    <row r="370" spans="1:9" customFormat="1" ht="20.149999999999999" customHeight="1" x14ac:dyDescent="0.35">
      <c r="A370" s="289">
        <v>13</v>
      </c>
      <c r="B370" s="290" t="s">
        <v>994</v>
      </c>
      <c r="C370" s="309">
        <f>data!CB68</f>
        <v>0</v>
      </c>
      <c r="D370" s="309">
        <f>data!CC68</f>
        <v>0</v>
      </c>
      <c r="E370" s="314"/>
      <c r="F370" s="314"/>
      <c r="G370" s="314"/>
      <c r="H370" s="314"/>
      <c r="I370" s="309">
        <f>data!CE68</f>
        <v>227693</v>
      </c>
    </row>
    <row r="371" spans="1:9" customFormat="1" ht="20.149999999999999" customHeight="1" x14ac:dyDescent="0.35">
      <c r="A371" s="289">
        <v>14</v>
      </c>
      <c r="B371" s="290" t="s">
        <v>995</v>
      </c>
      <c r="C371" s="309">
        <f>data!CB69</f>
        <v>0</v>
      </c>
      <c r="D371" s="309">
        <f>data!CC69</f>
        <v>870292</v>
      </c>
      <c r="E371" s="309">
        <f>data!CD69</f>
        <v>4592637</v>
      </c>
      <c r="F371" s="314"/>
      <c r="G371" s="314"/>
      <c r="H371" s="314"/>
      <c r="I371" s="309">
        <f>data!CE69</f>
        <v>9779840</v>
      </c>
    </row>
    <row r="372" spans="1:9" customFormat="1" ht="20.149999999999999" customHeight="1" x14ac:dyDescent="0.35">
      <c r="A372" s="289">
        <v>15</v>
      </c>
      <c r="B372" s="290" t="s">
        <v>284</v>
      </c>
      <c r="C372" s="290">
        <f>-data!CB84</f>
        <v>0</v>
      </c>
      <c r="D372" s="290">
        <f>-data!CC84</f>
        <v>-310297</v>
      </c>
      <c r="E372" s="290">
        <f>-data!CD84</f>
        <v>0</v>
      </c>
      <c r="F372" s="300"/>
      <c r="G372" s="300"/>
      <c r="H372" s="300"/>
      <c r="I372" s="290">
        <f>-data!CE84</f>
        <v>-1073861</v>
      </c>
    </row>
    <row r="373" spans="1:9" customFormat="1" ht="20.149999999999999" customHeight="1" x14ac:dyDescent="0.35">
      <c r="A373" s="289">
        <v>16</v>
      </c>
      <c r="B373" s="298" t="s">
        <v>996</v>
      </c>
      <c r="C373" s="309">
        <f>data!CB85</f>
        <v>0</v>
      </c>
      <c r="D373" s="309">
        <f>data!CC85</f>
        <v>805630</v>
      </c>
      <c r="E373" s="309">
        <f>data!CD85</f>
        <v>4592637</v>
      </c>
      <c r="F373" s="314"/>
      <c r="G373" s="314"/>
      <c r="H373" s="314"/>
      <c r="I373" s="290">
        <f>data!CE85</f>
        <v>127741441</v>
      </c>
    </row>
    <row r="374" spans="1:9" customFormat="1" ht="20.149999999999999" customHeight="1" x14ac:dyDescent="0.35">
      <c r="A374" s="289">
        <v>17</v>
      </c>
      <c r="B374" s="290" t="s">
        <v>286</v>
      </c>
      <c r="C374" s="314"/>
      <c r="D374" s="314"/>
      <c r="E374" s="314"/>
      <c r="F374" s="314"/>
      <c r="G374" s="314"/>
      <c r="H374" s="314"/>
      <c r="I374" s="290">
        <f>data!CE86</f>
        <v>0</v>
      </c>
    </row>
    <row r="375" spans="1:9" customFormat="1" ht="20.149999999999999" customHeight="1" x14ac:dyDescent="0.35">
      <c r="A375" s="289">
        <v>18</v>
      </c>
      <c r="B375" s="290" t="s">
        <v>997</v>
      </c>
      <c r="C375" s="290"/>
      <c r="D375" s="290"/>
      <c r="E375" s="290"/>
      <c r="F375" s="290"/>
      <c r="G375" s="290"/>
      <c r="H375" s="290"/>
      <c r="I375" s="290"/>
    </row>
    <row r="376" spans="1:9" customFormat="1" ht="20.149999999999999" customHeight="1" x14ac:dyDescent="0.35">
      <c r="A376" s="289">
        <v>19</v>
      </c>
      <c r="B376" s="298" t="s">
        <v>998</v>
      </c>
      <c r="C376" s="305" t="str">
        <f>IF(data!CB87&gt;0,data!CB87,"")</f>
        <v>x</v>
      </c>
      <c r="D376" s="305" t="str">
        <f>IF(data!CC87&gt;0,data!CC87,"")</f>
        <v>x</v>
      </c>
      <c r="E376" s="300"/>
      <c r="F376" s="300"/>
      <c r="G376" s="300"/>
      <c r="H376" s="300"/>
      <c r="I376" s="306">
        <f>data!CE87</f>
        <v>25916684</v>
      </c>
    </row>
    <row r="377" spans="1:9" customFormat="1" ht="20.149999999999999" customHeight="1" x14ac:dyDescent="0.35">
      <c r="A377" s="289">
        <v>20</v>
      </c>
      <c r="B377" s="298" t="s">
        <v>999</v>
      </c>
      <c r="C377" s="305" t="str">
        <f>IF(data!CB88&gt;0,data!CB88,"")</f>
        <v>x</v>
      </c>
      <c r="D377" s="305" t="str">
        <f>IF(data!CC88&gt;0,data!CC88,"")</f>
        <v>x</v>
      </c>
      <c r="E377" s="300"/>
      <c r="F377" s="300"/>
      <c r="G377" s="300"/>
      <c r="H377" s="300"/>
      <c r="I377" s="306">
        <f>data!CE88</f>
        <v>214524376</v>
      </c>
    </row>
    <row r="378" spans="1:9" customFormat="1" ht="20.149999999999999" customHeight="1" x14ac:dyDescent="0.35">
      <c r="A378" s="289">
        <v>21</v>
      </c>
      <c r="B378" s="298" t="s">
        <v>1000</v>
      </c>
      <c r="C378" s="305" t="str">
        <f>IF(data!CB89&gt;0,data!CB89,"")</f>
        <v>x</v>
      </c>
      <c r="D378" s="305" t="str">
        <f>IF(data!CC89&gt;0,data!CC89,"")</f>
        <v>x</v>
      </c>
      <c r="E378" s="300"/>
      <c r="F378" s="300"/>
      <c r="G378" s="300"/>
      <c r="H378" s="300"/>
      <c r="I378" s="306">
        <f>data!CE89</f>
        <v>240441060</v>
      </c>
    </row>
    <row r="379" spans="1:9" customFormat="1" ht="20.149999999999999" customHeight="1" x14ac:dyDescent="0.35">
      <c r="A379" s="289" t="s">
        <v>1001</v>
      </c>
      <c r="B379" s="290"/>
      <c r="C379" s="300"/>
      <c r="D379" s="300"/>
      <c r="E379" s="300"/>
      <c r="F379" s="300"/>
      <c r="G379" s="300"/>
      <c r="H379" s="300"/>
      <c r="I379" s="300"/>
    </row>
    <row r="380" spans="1:9" customFormat="1" ht="20.149999999999999" customHeight="1" x14ac:dyDescent="0.35">
      <c r="A380" s="289">
        <v>22</v>
      </c>
      <c r="B380" s="290" t="s">
        <v>1002</v>
      </c>
      <c r="C380" s="306">
        <f>data!CB90</f>
        <v>0</v>
      </c>
      <c r="D380" s="306">
        <f>data!CC90</f>
        <v>0</v>
      </c>
      <c r="E380" s="300"/>
      <c r="F380" s="300"/>
      <c r="G380" s="300"/>
      <c r="H380" s="300"/>
      <c r="I380" s="290">
        <f>data!CE90</f>
        <v>145990</v>
      </c>
    </row>
    <row r="381" spans="1:9" customFormat="1" ht="20.149999999999999" customHeight="1" x14ac:dyDescent="0.35">
      <c r="A381" s="289">
        <v>23</v>
      </c>
      <c r="B381" s="290" t="s">
        <v>1003</v>
      </c>
      <c r="C381" s="306">
        <f>data!CB91</f>
        <v>0</v>
      </c>
      <c r="D381" s="305" t="str">
        <f>IF(data!CC91&gt;0,data!CC91,"")</f>
        <v>x</v>
      </c>
      <c r="E381" s="300"/>
      <c r="F381" s="300"/>
      <c r="G381" s="300"/>
      <c r="H381" s="300"/>
      <c r="I381" s="290">
        <f>data!CE91</f>
        <v>14487</v>
      </c>
    </row>
    <row r="382" spans="1:9" customFormat="1" ht="20.149999999999999" customHeight="1" x14ac:dyDescent="0.35">
      <c r="A382" s="289">
        <v>24</v>
      </c>
      <c r="B382" s="290" t="s">
        <v>1004</v>
      </c>
      <c r="C382" s="306">
        <f>data!CB92</f>
        <v>0</v>
      </c>
      <c r="D382" s="305" t="str">
        <f>IF(data!CC92&gt;0,data!CC92,"")</f>
        <v>x</v>
      </c>
      <c r="E382" s="300"/>
      <c r="F382" s="300"/>
      <c r="G382" s="300"/>
      <c r="H382" s="300"/>
      <c r="I382" s="290">
        <f>data!CE92</f>
        <v>89665.54</v>
      </c>
    </row>
    <row r="383" spans="1:9" customFormat="1" ht="20.149999999999999" customHeight="1" x14ac:dyDescent="0.35">
      <c r="A383" s="289">
        <v>25</v>
      </c>
      <c r="B383" s="290" t="s">
        <v>1005</v>
      </c>
      <c r="C383" s="306">
        <f>data!CB93</f>
        <v>0</v>
      </c>
      <c r="D383" s="305" t="str">
        <f>IF(data!CC93&gt;0,data!CC93,"")</f>
        <v>x</v>
      </c>
      <c r="E383" s="300"/>
      <c r="F383" s="300"/>
      <c r="G383" s="300"/>
      <c r="H383" s="300"/>
      <c r="I383" s="290">
        <f>data!CE93</f>
        <v>383871</v>
      </c>
    </row>
    <row r="384" spans="1:9" customFormat="1" ht="20.149999999999999" customHeight="1" x14ac:dyDescent="0.35">
      <c r="A384" s="289">
        <v>26</v>
      </c>
      <c r="B384" s="290" t="s">
        <v>294</v>
      </c>
      <c r="C384" s="305" t="str">
        <f>IF(data!CB94&gt;0,data!CB94,"")</f>
        <v/>
      </c>
      <c r="D384" s="305" t="str">
        <f>IF(data!CC94&gt;0,data!CC94,"")</f>
        <v>x</v>
      </c>
      <c r="E384" s="312"/>
      <c r="F384" s="300"/>
      <c r="G384" s="300"/>
      <c r="H384" s="300"/>
      <c r="I384" s="297">
        <f>data!CE94</f>
        <v>123.22000000000001</v>
      </c>
    </row>
    <row r="410" customFormat="1" ht="1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294" transitionEvaluation="1" transitionEntry="1" codeName="Sheet12">
    <tabColor rgb="FF92D050"/>
    <pageSetUpPr autoPageBreaks="0" fitToPage="1"/>
  </sheetPr>
  <dimension ref="A1:CF717"/>
  <sheetViews>
    <sheetView topLeftCell="A294" zoomScale="70" zoomScaleNormal="70" workbookViewId="0">
      <selection activeCell="C335" sqref="C335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76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7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8" t="s">
        <v>28</v>
      </c>
      <c r="B36" s="264"/>
      <c r="C36" s="265"/>
      <c r="D36" s="264"/>
      <c r="E36" s="264"/>
      <c r="F36" s="264"/>
      <c r="G36" s="273"/>
    </row>
    <row r="37" spans="1:83" x14ac:dyDescent="0.35">
      <c r="A37" s="269" t="s">
        <v>29</v>
      </c>
      <c r="B37" s="263"/>
      <c r="C37" s="262"/>
      <c r="D37" s="261"/>
      <c r="E37" s="261"/>
      <c r="F37" s="261"/>
      <c r="G37" s="274"/>
    </row>
    <row r="38" spans="1:83" x14ac:dyDescent="0.35">
      <c r="A38" s="270" t="s">
        <v>30</v>
      </c>
      <c r="B38" s="263"/>
      <c r="C38" s="262"/>
      <c r="D38" s="261"/>
      <c r="E38" s="261"/>
      <c r="F38" s="261"/>
      <c r="G38" s="274"/>
    </row>
    <row r="39" spans="1:83" x14ac:dyDescent="0.35">
      <c r="A39" s="271" t="s">
        <v>31</v>
      </c>
      <c r="B39" s="261"/>
      <c r="C39" s="262"/>
      <c r="D39" s="261"/>
      <c r="E39" s="261"/>
      <c r="F39" s="261"/>
      <c r="G39" s="274"/>
    </row>
    <row r="40" spans="1:83" x14ac:dyDescent="0.35">
      <c r="A40" s="272" t="s">
        <v>32</v>
      </c>
      <c r="B40" s="266"/>
      <c r="C40" s="267"/>
      <c r="D40" s="266"/>
      <c r="E40" s="266"/>
      <c r="F40" s="266"/>
      <c r="G40" s="275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257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1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v>0</v>
      </c>
    </row>
    <row r="48" spans="1:83" x14ac:dyDescent="0.35">
      <c r="A48" s="28" t="s">
        <v>232</v>
      </c>
      <c r="B48" s="241">
        <v>13048651</v>
      </c>
      <c r="C48" s="28">
        <v>347780</v>
      </c>
      <c r="D48" s="28">
        <v>0</v>
      </c>
      <c r="E48" s="28">
        <v>445782</v>
      </c>
      <c r="F48" s="28">
        <v>0</v>
      </c>
      <c r="G48" s="28">
        <v>0</v>
      </c>
      <c r="H48" s="28">
        <v>0</v>
      </c>
      <c r="I48" s="28">
        <v>0</v>
      </c>
      <c r="J48" s="28">
        <v>35381</v>
      </c>
      <c r="K48" s="28">
        <v>0</v>
      </c>
      <c r="L48" s="28">
        <v>0</v>
      </c>
      <c r="M48" s="28">
        <v>0</v>
      </c>
      <c r="N48" s="28">
        <v>0</v>
      </c>
      <c r="O48" s="28">
        <v>376324</v>
      </c>
      <c r="P48" s="28">
        <v>658007</v>
      </c>
      <c r="Q48" s="28">
        <v>23683</v>
      </c>
      <c r="R48" s="28">
        <v>0</v>
      </c>
      <c r="S48" s="28">
        <v>67835</v>
      </c>
      <c r="T48" s="28">
        <v>0</v>
      </c>
      <c r="U48" s="28">
        <v>443853</v>
      </c>
      <c r="V48" s="28">
        <v>0</v>
      </c>
      <c r="W48" s="28">
        <v>0</v>
      </c>
      <c r="X48" s="28">
        <v>198075</v>
      </c>
      <c r="Y48" s="28">
        <v>254338</v>
      </c>
      <c r="Z48" s="28">
        <v>0</v>
      </c>
      <c r="AA48" s="28">
        <v>0</v>
      </c>
      <c r="AB48" s="28">
        <v>359432</v>
      </c>
      <c r="AC48" s="28">
        <v>159758</v>
      </c>
      <c r="AD48" s="28">
        <v>0</v>
      </c>
      <c r="AE48" s="28">
        <v>69683</v>
      </c>
      <c r="AF48" s="28">
        <v>0</v>
      </c>
      <c r="AG48" s="28">
        <v>1289480</v>
      </c>
      <c r="AH48" s="28">
        <v>0</v>
      </c>
      <c r="AI48" s="28">
        <v>0</v>
      </c>
      <c r="AJ48" s="28">
        <v>4406785</v>
      </c>
      <c r="AK48" s="28">
        <v>38</v>
      </c>
      <c r="AL48" s="28">
        <v>-117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337018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54210</v>
      </c>
      <c r="AZ48" s="28">
        <v>132305</v>
      </c>
      <c r="BA48" s="28">
        <v>44774</v>
      </c>
      <c r="BB48" s="28">
        <v>26832</v>
      </c>
      <c r="BC48" s="28">
        <v>0</v>
      </c>
      <c r="BD48" s="28">
        <v>79567</v>
      </c>
      <c r="BE48" s="28">
        <v>151035</v>
      </c>
      <c r="BF48" s="28">
        <v>275442</v>
      </c>
      <c r="BG48" s="28">
        <v>0</v>
      </c>
      <c r="BH48" s="28">
        <v>414489</v>
      </c>
      <c r="BI48" s="28">
        <v>0</v>
      </c>
      <c r="BJ48" s="28">
        <v>144599</v>
      </c>
      <c r="BK48" s="28">
        <v>287133</v>
      </c>
      <c r="BL48" s="28">
        <v>195346</v>
      </c>
      <c r="BM48" s="28">
        <v>0</v>
      </c>
      <c r="BN48" s="28">
        <v>284131</v>
      </c>
      <c r="BO48" s="28">
        <v>58898</v>
      </c>
      <c r="BP48" s="28">
        <v>93093</v>
      </c>
      <c r="BQ48" s="28">
        <v>0</v>
      </c>
      <c r="BR48" s="28">
        <v>164735</v>
      </c>
      <c r="BS48" s="28">
        <v>0</v>
      </c>
      <c r="BT48" s="28">
        <v>0</v>
      </c>
      <c r="BU48" s="28">
        <v>0</v>
      </c>
      <c r="BV48" s="28">
        <v>354165</v>
      </c>
      <c r="BW48" s="28">
        <v>206461</v>
      </c>
      <c r="BX48" s="28">
        <v>212309</v>
      </c>
      <c r="BY48" s="28">
        <v>395991</v>
      </c>
      <c r="BZ48" s="28">
        <v>0</v>
      </c>
      <c r="CA48" s="28">
        <v>0</v>
      </c>
      <c r="CB48" s="28">
        <v>0</v>
      </c>
      <c r="CC48" s="28">
        <v>0</v>
      </c>
      <c r="CD48" s="28" t="s">
        <v>1042</v>
      </c>
      <c r="CE48" s="28" t="s">
        <v>1042</v>
      </c>
    </row>
    <row r="49" spans="1:83" x14ac:dyDescent="0.35">
      <c r="A49" s="16" t="s">
        <v>233</v>
      </c>
      <c r="B49" s="28">
        <v>13048651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3706060</v>
      </c>
    </row>
    <row r="52" spans="1:83" x14ac:dyDescent="0.35">
      <c r="A52" s="35" t="s">
        <v>235</v>
      </c>
      <c r="B52" s="242">
        <v>1955875</v>
      </c>
      <c r="C52" s="28">
        <v>38837</v>
      </c>
      <c r="D52" s="28">
        <v>0</v>
      </c>
      <c r="E52" s="28">
        <v>175791</v>
      </c>
      <c r="F52" s="28">
        <v>0</v>
      </c>
      <c r="G52" s="28">
        <v>0</v>
      </c>
      <c r="H52" s="28">
        <v>0</v>
      </c>
      <c r="I52" s="28">
        <v>0</v>
      </c>
      <c r="J52" s="28">
        <v>3378</v>
      </c>
      <c r="K52" s="28">
        <v>0</v>
      </c>
      <c r="L52" s="28">
        <v>0</v>
      </c>
      <c r="M52" s="28">
        <v>0</v>
      </c>
      <c r="N52" s="28">
        <v>0</v>
      </c>
      <c r="O52" s="28">
        <v>42014</v>
      </c>
      <c r="P52" s="28">
        <v>164825</v>
      </c>
      <c r="Q52" s="28">
        <v>13567</v>
      </c>
      <c r="R52" s="28">
        <v>0</v>
      </c>
      <c r="S52" s="28">
        <v>20498</v>
      </c>
      <c r="T52" s="28">
        <v>0</v>
      </c>
      <c r="U52" s="28">
        <v>61131</v>
      </c>
      <c r="V52" s="28">
        <v>0</v>
      </c>
      <c r="W52" s="28">
        <v>1904</v>
      </c>
      <c r="X52" s="28">
        <v>30458</v>
      </c>
      <c r="Y52" s="28">
        <v>31571</v>
      </c>
      <c r="Z52" s="28">
        <v>0</v>
      </c>
      <c r="AA52" s="28">
        <v>0</v>
      </c>
      <c r="AB52" s="28">
        <v>15591</v>
      </c>
      <c r="AC52" s="28">
        <v>13835</v>
      </c>
      <c r="AD52" s="28">
        <v>0</v>
      </c>
      <c r="AE52" s="28">
        <v>0</v>
      </c>
      <c r="AF52" s="28">
        <v>0</v>
      </c>
      <c r="AG52" s="28">
        <v>69174</v>
      </c>
      <c r="AH52" s="28">
        <v>0</v>
      </c>
      <c r="AI52" s="28">
        <v>0</v>
      </c>
      <c r="AJ52" s="28">
        <v>560325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18688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35231</v>
      </c>
      <c r="AZ52" s="28">
        <v>25873</v>
      </c>
      <c r="BA52" s="28">
        <v>11462</v>
      </c>
      <c r="BB52" s="28">
        <v>2896</v>
      </c>
      <c r="BC52" s="28">
        <v>0</v>
      </c>
      <c r="BD52" s="28">
        <v>42041</v>
      </c>
      <c r="BE52" s="28">
        <v>69469</v>
      </c>
      <c r="BF52" s="28">
        <v>4598</v>
      </c>
      <c r="BG52" s="28">
        <v>0</v>
      </c>
      <c r="BH52" s="28">
        <v>46331</v>
      </c>
      <c r="BI52" s="28">
        <v>0</v>
      </c>
      <c r="BJ52" s="28">
        <v>8901</v>
      </c>
      <c r="BK52" s="28">
        <v>107220</v>
      </c>
      <c r="BL52" s="28">
        <v>5644</v>
      </c>
      <c r="BM52" s="28">
        <v>0</v>
      </c>
      <c r="BN52" s="28">
        <v>271442</v>
      </c>
      <c r="BO52" s="28">
        <v>4826</v>
      </c>
      <c r="BP52" s="28">
        <v>5215</v>
      </c>
      <c r="BQ52" s="28">
        <v>0</v>
      </c>
      <c r="BR52" s="28">
        <v>13714</v>
      </c>
      <c r="BS52" s="28">
        <v>0</v>
      </c>
      <c r="BT52" s="28">
        <v>0</v>
      </c>
      <c r="BU52" s="28">
        <v>0</v>
      </c>
      <c r="BV52" s="28">
        <v>23903</v>
      </c>
      <c r="BW52" s="28">
        <v>1126</v>
      </c>
      <c r="BX52" s="28">
        <v>8044</v>
      </c>
      <c r="BY52" s="28">
        <v>6354</v>
      </c>
      <c r="BZ52" s="28">
        <v>0</v>
      </c>
      <c r="CA52" s="28">
        <v>0</v>
      </c>
      <c r="CB52" s="28">
        <v>0</v>
      </c>
      <c r="CC52" s="28">
        <v>0</v>
      </c>
      <c r="CD52" s="28" t="s">
        <v>1042</v>
      </c>
      <c r="CE52" s="28" t="s">
        <v>1042</v>
      </c>
    </row>
    <row r="53" spans="1:83" x14ac:dyDescent="0.35">
      <c r="A53" s="16" t="s">
        <v>233</v>
      </c>
      <c r="B53" s="28">
        <v>1955875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567</v>
      </c>
      <c r="D59" s="20">
        <v>0</v>
      </c>
      <c r="E59" s="20">
        <v>3229</v>
      </c>
      <c r="F59" s="20">
        <v>0</v>
      </c>
      <c r="G59" s="20">
        <v>0</v>
      </c>
      <c r="H59" s="20">
        <v>0</v>
      </c>
      <c r="I59" s="20">
        <v>0</v>
      </c>
      <c r="J59" s="20">
        <v>526</v>
      </c>
      <c r="K59" s="20">
        <v>0</v>
      </c>
      <c r="L59" s="20">
        <v>57</v>
      </c>
      <c r="M59" s="20">
        <v>0</v>
      </c>
      <c r="N59" s="20">
        <v>0</v>
      </c>
      <c r="O59" s="20">
        <v>318</v>
      </c>
      <c r="P59" s="26">
        <v>142557</v>
      </c>
      <c r="Q59" s="26">
        <v>0</v>
      </c>
      <c r="R59" s="26">
        <v>0</v>
      </c>
      <c r="S59" s="243">
        <v>0</v>
      </c>
      <c r="T59" s="243">
        <v>0</v>
      </c>
      <c r="U59" s="27">
        <v>277627</v>
      </c>
      <c r="V59" s="26">
        <v>0</v>
      </c>
      <c r="W59" s="26">
        <v>2277</v>
      </c>
      <c r="X59" s="26">
        <v>6220</v>
      </c>
      <c r="Y59" s="26">
        <v>26725</v>
      </c>
      <c r="Z59" s="26">
        <v>0</v>
      </c>
      <c r="AA59" s="26">
        <v>0</v>
      </c>
      <c r="AB59" s="243">
        <v>0</v>
      </c>
      <c r="AC59" s="26">
        <v>0</v>
      </c>
      <c r="AD59" s="26">
        <v>0</v>
      </c>
      <c r="AE59" s="26">
        <v>12427</v>
      </c>
      <c r="AF59" s="26">
        <v>0</v>
      </c>
      <c r="AG59" s="26">
        <v>15643</v>
      </c>
      <c r="AH59" s="26">
        <v>0</v>
      </c>
      <c r="AI59" s="26">
        <v>0</v>
      </c>
      <c r="AJ59" s="26">
        <v>88913</v>
      </c>
      <c r="AK59" s="26">
        <v>2587</v>
      </c>
      <c r="AL59" s="26">
        <v>2046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14761</v>
      </c>
      <c r="AS59" s="26">
        <v>0</v>
      </c>
      <c r="AT59" s="26">
        <v>0</v>
      </c>
      <c r="AU59" s="26">
        <v>0</v>
      </c>
      <c r="AV59" s="243">
        <v>0</v>
      </c>
      <c r="AW59" s="243">
        <v>0</v>
      </c>
      <c r="AX59" s="243">
        <v>0</v>
      </c>
      <c r="AY59" s="26">
        <v>15871</v>
      </c>
      <c r="AZ59" s="26">
        <v>38735</v>
      </c>
      <c r="BA59" s="243">
        <v>0</v>
      </c>
      <c r="BB59" s="243">
        <v>0</v>
      </c>
      <c r="BC59" s="243">
        <v>0</v>
      </c>
      <c r="BD59" s="243">
        <v>0</v>
      </c>
      <c r="BE59" s="26">
        <v>145989</v>
      </c>
      <c r="BF59" s="243">
        <v>0</v>
      </c>
      <c r="BG59" s="243">
        <v>0</v>
      </c>
      <c r="BH59" s="243">
        <v>0</v>
      </c>
      <c r="BI59" s="243">
        <v>0</v>
      </c>
      <c r="BJ59" s="243">
        <v>0</v>
      </c>
      <c r="BK59" s="243">
        <v>0</v>
      </c>
      <c r="BL59" s="243">
        <v>0</v>
      </c>
      <c r="BM59" s="243">
        <v>0</v>
      </c>
      <c r="BN59" s="243">
        <v>0</v>
      </c>
      <c r="BO59" s="243">
        <v>0</v>
      </c>
      <c r="BP59" s="243">
        <v>0</v>
      </c>
      <c r="BQ59" s="243">
        <v>0</v>
      </c>
      <c r="BR59" s="243">
        <v>0</v>
      </c>
      <c r="BS59" s="243">
        <v>0</v>
      </c>
      <c r="BT59" s="243">
        <v>0</v>
      </c>
      <c r="BU59" s="243">
        <v>0</v>
      </c>
      <c r="BV59" s="243">
        <v>0</v>
      </c>
      <c r="BW59" s="243">
        <v>0</v>
      </c>
      <c r="BX59" s="243">
        <v>0</v>
      </c>
      <c r="BY59" s="243">
        <v>0</v>
      </c>
      <c r="BZ59" s="243">
        <v>0</v>
      </c>
      <c r="CA59" s="243">
        <v>0</v>
      </c>
      <c r="CB59" s="243">
        <v>0</v>
      </c>
      <c r="CC59" s="243">
        <v>0</v>
      </c>
      <c r="CD59" s="233">
        <v>0</v>
      </c>
      <c r="CE59" s="28">
        <v>0</v>
      </c>
    </row>
    <row r="60" spans="1:83" x14ac:dyDescent="0.35">
      <c r="A60" s="216" t="s">
        <v>262</v>
      </c>
      <c r="B60" s="217"/>
      <c r="C60" s="244">
        <v>15.1</v>
      </c>
      <c r="D60" s="244">
        <v>0</v>
      </c>
      <c r="E60" s="244">
        <v>22.73</v>
      </c>
      <c r="F60" s="244">
        <v>0</v>
      </c>
      <c r="G60" s="244">
        <v>0</v>
      </c>
      <c r="H60" s="244">
        <v>0</v>
      </c>
      <c r="I60" s="244">
        <v>0</v>
      </c>
      <c r="J60" s="244">
        <v>2</v>
      </c>
      <c r="K60" s="244">
        <v>0</v>
      </c>
      <c r="L60" s="244">
        <v>0</v>
      </c>
      <c r="M60" s="244">
        <v>0</v>
      </c>
      <c r="N60" s="244">
        <v>0</v>
      </c>
      <c r="O60" s="244">
        <v>15.8</v>
      </c>
      <c r="P60" s="245">
        <v>28.369999999999997</v>
      </c>
      <c r="Q60" s="245">
        <v>0.27</v>
      </c>
      <c r="R60" s="245">
        <v>0</v>
      </c>
      <c r="S60" s="246">
        <v>5.17</v>
      </c>
      <c r="T60" s="246">
        <v>0</v>
      </c>
      <c r="U60" s="247">
        <v>25.89</v>
      </c>
      <c r="V60" s="245">
        <v>0</v>
      </c>
      <c r="W60" s="245">
        <v>0</v>
      </c>
      <c r="X60" s="245">
        <v>9.34</v>
      </c>
      <c r="Y60" s="245">
        <v>13.330000000000002</v>
      </c>
      <c r="Z60" s="245">
        <v>0</v>
      </c>
      <c r="AA60" s="245">
        <v>0</v>
      </c>
      <c r="AB60" s="246">
        <v>13.48</v>
      </c>
      <c r="AC60" s="245">
        <v>7.51</v>
      </c>
      <c r="AD60" s="245">
        <v>0</v>
      </c>
      <c r="AE60" s="245">
        <v>3.73</v>
      </c>
      <c r="AF60" s="245">
        <v>0</v>
      </c>
      <c r="AG60" s="245">
        <v>24.000000000000004</v>
      </c>
      <c r="AH60" s="245">
        <v>0</v>
      </c>
      <c r="AI60" s="245">
        <v>0</v>
      </c>
      <c r="AJ60" s="245">
        <v>167.57</v>
      </c>
      <c r="AK60" s="245">
        <v>0</v>
      </c>
      <c r="AL60" s="245">
        <v>0</v>
      </c>
      <c r="AM60" s="245">
        <v>0</v>
      </c>
      <c r="AN60" s="245">
        <v>0</v>
      </c>
      <c r="AO60" s="245">
        <v>0</v>
      </c>
      <c r="AP60" s="245">
        <v>0</v>
      </c>
      <c r="AQ60" s="245">
        <v>0</v>
      </c>
      <c r="AR60" s="245">
        <v>17.329999999999998</v>
      </c>
      <c r="AS60" s="245">
        <v>0</v>
      </c>
      <c r="AT60" s="245">
        <v>0</v>
      </c>
      <c r="AU60" s="245">
        <v>0</v>
      </c>
      <c r="AV60" s="246">
        <v>0</v>
      </c>
      <c r="AW60" s="246">
        <v>0</v>
      </c>
      <c r="AX60" s="246">
        <v>0</v>
      </c>
      <c r="AY60" s="245">
        <v>4.2200000000000006</v>
      </c>
      <c r="AZ60" s="245">
        <v>8.85</v>
      </c>
      <c r="BA60" s="246">
        <v>3.21</v>
      </c>
      <c r="BB60" s="246">
        <v>1.52</v>
      </c>
      <c r="BC60" s="246">
        <v>0</v>
      </c>
      <c r="BD60" s="246">
        <v>5.53</v>
      </c>
      <c r="BE60" s="245">
        <v>7.97</v>
      </c>
      <c r="BF60" s="246">
        <v>24.07</v>
      </c>
      <c r="BG60" s="246">
        <v>0</v>
      </c>
      <c r="BH60" s="246">
        <v>17.649999999999999</v>
      </c>
      <c r="BI60" s="246">
        <v>0</v>
      </c>
      <c r="BJ60" s="246">
        <v>6.98</v>
      </c>
      <c r="BK60" s="246">
        <v>21.05</v>
      </c>
      <c r="BL60" s="246">
        <v>17.21</v>
      </c>
      <c r="BM60" s="246">
        <v>0</v>
      </c>
      <c r="BN60" s="246">
        <v>7.25</v>
      </c>
      <c r="BO60" s="246">
        <v>2.85</v>
      </c>
      <c r="BP60" s="246">
        <v>3.89</v>
      </c>
      <c r="BQ60" s="246">
        <v>0</v>
      </c>
      <c r="BR60" s="246">
        <v>8.1999999999999993</v>
      </c>
      <c r="BS60" s="246">
        <v>0</v>
      </c>
      <c r="BT60" s="246">
        <v>0</v>
      </c>
      <c r="BU60" s="246">
        <v>0</v>
      </c>
      <c r="BV60" s="246">
        <v>23.05</v>
      </c>
      <c r="BW60" s="246">
        <v>4.03</v>
      </c>
      <c r="BX60" s="246">
        <v>7.52</v>
      </c>
      <c r="BY60" s="246">
        <v>14.2</v>
      </c>
      <c r="BZ60" s="246">
        <v>0</v>
      </c>
      <c r="CA60" s="246">
        <v>0</v>
      </c>
      <c r="CB60" s="246">
        <v>0</v>
      </c>
      <c r="CC60" s="246">
        <v>0</v>
      </c>
      <c r="CD60" s="218" t="s">
        <v>248</v>
      </c>
      <c r="CE60" s="236">
        <v>560.86999999999989</v>
      </c>
    </row>
    <row r="61" spans="1:83" s="210" customFormat="1" x14ac:dyDescent="0.35">
      <c r="A61" s="35" t="s">
        <v>263</v>
      </c>
      <c r="B61" s="16"/>
      <c r="C61" s="20">
        <v>1455192</v>
      </c>
      <c r="D61" s="20">
        <v>0</v>
      </c>
      <c r="E61" s="20">
        <v>1865257</v>
      </c>
      <c r="F61" s="20">
        <v>0</v>
      </c>
      <c r="G61" s="20">
        <v>0</v>
      </c>
      <c r="H61" s="20">
        <v>0</v>
      </c>
      <c r="I61" s="20">
        <v>0</v>
      </c>
      <c r="J61" s="20">
        <v>148042</v>
      </c>
      <c r="K61" s="20">
        <v>0</v>
      </c>
      <c r="L61" s="20">
        <v>0</v>
      </c>
      <c r="M61" s="20">
        <v>0</v>
      </c>
      <c r="N61" s="20">
        <v>0</v>
      </c>
      <c r="O61" s="20">
        <v>1574628</v>
      </c>
      <c r="P61" s="26">
        <v>2753257</v>
      </c>
      <c r="Q61" s="26">
        <v>99094</v>
      </c>
      <c r="R61" s="26">
        <v>0</v>
      </c>
      <c r="S61" s="248">
        <v>283836</v>
      </c>
      <c r="T61" s="248">
        <v>0</v>
      </c>
      <c r="U61" s="27">
        <v>1857186</v>
      </c>
      <c r="V61" s="26">
        <v>0</v>
      </c>
      <c r="W61" s="26">
        <v>0</v>
      </c>
      <c r="X61" s="26">
        <v>828792</v>
      </c>
      <c r="Y61" s="26">
        <v>1064210</v>
      </c>
      <c r="Z61" s="26">
        <v>0</v>
      </c>
      <c r="AA61" s="26">
        <v>0</v>
      </c>
      <c r="AB61" s="249">
        <v>1503949</v>
      </c>
      <c r="AC61" s="26">
        <v>668467</v>
      </c>
      <c r="AD61" s="26">
        <v>0</v>
      </c>
      <c r="AE61" s="26">
        <v>291571</v>
      </c>
      <c r="AF61" s="26">
        <v>0</v>
      </c>
      <c r="AG61" s="26">
        <v>5395489</v>
      </c>
      <c r="AH61" s="26">
        <v>0</v>
      </c>
      <c r="AI61" s="26">
        <v>0</v>
      </c>
      <c r="AJ61" s="26">
        <v>18439029</v>
      </c>
      <c r="AK61" s="26">
        <v>160</v>
      </c>
      <c r="AL61" s="26">
        <v>-488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1410163</v>
      </c>
      <c r="AS61" s="26">
        <v>0</v>
      </c>
      <c r="AT61" s="26">
        <v>0</v>
      </c>
      <c r="AU61" s="26">
        <v>0</v>
      </c>
      <c r="AV61" s="248">
        <v>0</v>
      </c>
      <c r="AW61" s="248">
        <v>0</v>
      </c>
      <c r="AX61" s="248">
        <v>0</v>
      </c>
      <c r="AY61" s="26">
        <v>226827</v>
      </c>
      <c r="AZ61" s="26">
        <v>553595</v>
      </c>
      <c r="BA61" s="248">
        <v>187345</v>
      </c>
      <c r="BB61" s="248">
        <v>112271</v>
      </c>
      <c r="BC61" s="248">
        <v>0</v>
      </c>
      <c r="BD61" s="248">
        <v>332929</v>
      </c>
      <c r="BE61" s="26">
        <v>631967</v>
      </c>
      <c r="BF61" s="248">
        <v>1152514</v>
      </c>
      <c r="BG61" s="248">
        <v>0</v>
      </c>
      <c r="BH61" s="248">
        <v>1734318</v>
      </c>
      <c r="BI61" s="248">
        <v>0</v>
      </c>
      <c r="BJ61" s="248">
        <v>605035</v>
      </c>
      <c r="BK61" s="248">
        <v>1201432</v>
      </c>
      <c r="BL61" s="248">
        <v>817375</v>
      </c>
      <c r="BM61" s="248">
        <v>0</v>
      </c>
      <c r="BN61" s="248">
        <v>1188870</v>
      </c>
      <c r="BO61" s="248">
        <v>246444</v>
      </c>
      <c r="BP61" s="248">
        <v>389523</v>
      </c>
      <c r="BQ61" s="248">
        <v>0</v>
      </c>
      <c r="BR61" s="248">
        <v>689292</v>
      </c>
      <c r="BS61" s="248">
        <v>0</v>
      </c>
      <c r="BT61" s="248">
        <v>0</v>
      </c>
      <c r="BU61" s="248">
        <v>0</v>
      </c>
      <c r="BV61" s="248">
        <v>1481909</v>
      </c>
      <c r="BW61" s="248">
        <v>863881</v>
      </c>
      <c r="BX61" s="248">
        <v>888350</v>
      </c>
      <c r="BY61" s="248">
        <v>1656920</v>
      </c>
      <c r="BZ61" s="248">
        <v>0</v>
      </c>
      <c r="CA61" s="248">
        <v>0</v>
      </c>
      <c r="CB61" s="248">
        <v>0</v>
      </c>
      <c r="CC61" s="248">
        <v>0</v>
      </c>
      <c r="CD61" s="25" t="s">
        <v>248</v>
      </c>
      <c r="CE61" s="28">
        <v>54598631</v>
      </c>
    </row>
    <row r="62" spans="1:83" x14ac:dyDescent="0.35">
      <c r="A62" s="35" t="s">
        <v>11</v>
      </c>
      <c r="B62" s="16"/>
      <c r="C62" s="28">
        <v>347780</v>
      </c>
      <c r="D62" s="28">
        <v>0</v>
      </c>
      <c r="E62" s="28">
        <v>445782</v>
      </c>
      <c r="F62" s="28">
        <v>0</v>
      </c>
      <c r="G62" s="28">
        <v>0</v>
      </c>
      <c r="H62" s="28">
        <v>0</v>
      </c>
      <c r="I62" s="28">
        <v>0</v>
      </c>
      <c r="J62" s="28">
        <v>35381</v>
      </c>
      <c r="K62" s="28">
        <v>0</v>
      </c>
      <c r="L62" s="28">
        <v>0</v>
      </c>
      <c r="M62" s="28">
        <v>0</v>
      </c>
      <c r="N62" s="28">
        <v>0</v>
      </c>
      <c r="O62" s="28">
        <v>376324</v>
      </c>
      <c r="P62" s="28">
        <v>658007</v>
      </c>
      <c r="Q62" s="28">
        <v>23683</v>
      </c>
      <c r="R62" s="28">
        <v>0</v>
      </c>
      <c r="S62" s="28">
        <v>67835</v>
      </c>
      <c r="T62" s="28">
        <v>0</v>
      </c>
      <c r="U62" s="28">
        <v>443853</v>
      </c>
      <c r="V62" s="28">
        <v>0</v>
      </c>
      <c r="W62" s="28">
        <v>0</v>
      </c>
      <c r="X62" s="28">
        <v>198075</v>
      </c>
      <c r="Y62" s="28">
        <v>254338</v>
      </c>
      <c r="Z62" s="28">
        <v>0</v>
      </c>
      <c r="AA62" s="28">
        <v>0</v>
      </c>
      <c r="AB62" s="28">
        <v>359432</v>
      </c>
      <c r="AC62" s="28">
        <v>159758</v>
      </c>
      <c r="AD62" s="28">
        <v>0</v>
      </c>
      <c r="AE62" s="28">
        <v>69683</v>
      </c>
      <c r="AF62" s="28">
        <v>0</v>
      </c>
      <c r="AG62" s="28">
        <v>1289480</v>
      </c>
      <c r="AH62" s="28">
        <v>0</v>
      </c>
      <c r="AI62" s="28">
        <v>0</v>
      </c>
      <c r="AJ62" s="28">
        <v>4406785</v>
      </c>
      <c r="AK62" s="28">
        <v>38</v>
      </c>
      <c r="AL62" s="28">
        <v>-117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337018</v>
      </c>
      <c r="AS62" s="28">
        <v>0</v>
      </c>
      <c r="AT62" s="28">
        <v>0</v>
      </c>
      <c r="AU62" s="28">
        <v>0</v>
      </c>
      <c r="AV62" s="28">
        <v>0</v>
      </c>
      <c r="AW62" s="28">
        <v>0</v>
      </c>
      <c r="AX62" s="28">
        <v>0</v>
      </c>
      <c r="AY62" s="28">
        <v>54210</v>
      </c>
      <c r="AZ62" s="28">
        <v>132305</v>
      </c>
      <c r="BA62" s="28">
        <v>44774</v>
      </c>
      <c r="BB62" s="28">
        <v>26832</v>
      </c>
      <c r="BC62" s="28">
        <v>0</v>
      </c>
      <c r="BD62" s="28">
        <v>79567</v>
      </c>
      <c r="BE62" s="28">
        <v>151035</v>
      </c>
      <c r="BF62" s="28">
        <v>275442</v>
      </c>
      <c r="BG62" s="28">
        <v>0</v>
      </c>
      <c r="BH62" s="28">
        <v>414489</v>
      </c>
      <c r="BI62" s="28">
        <v>0</v>
      </c>
      <c r="BJ62" s="28">
        <v>144599</v>
      </c>
      <c r="BK62" s="28">
        <v>287133</v>
      </c>
      <c r="BL62" s="28">
        <v>195346</v>
      </c>
      <c r="BM62" s="28">
        <v>0</v>
      </c>
      <c r="BN62" s="28">
        <v>284131</v>
      </c>
      <c r="BO62" s="28">
        <v>58898</v>
      </c>
      <c r="BP62" s="28">
        <v>93093</v>
      </c>
      <c r="BQ62" s="28">
        <v>0</v>
      </c>
      <c r="BR62" s="28">
        <v>164735</v>
      </c>
      <c r="BS62" s="28">
        <v>0</v>
      </c>
      <c r="BT62" s="28">
        <v>0</v>
      </c>
      <c r="BU62" s="28">
        <v>0</v>
      </c>
      <c r="BV62" s="28">
        <v>354165</v>
      </c>
      <c r="BW62" s="28">
        <v>206461</v>
      </c>
      <c r="BX62" s="28">
        <v>212309</v>
      </c>
      <c r="BY62" s="28">
        <v>395991</v>
      </c>
      <c r="BZ62" s="28">
        <v>0</v>
      </c>
      <c r="CA62" s="28">
        <v>0</v>
      </c>
      <c r="CB62" s="28">
        <v>0</v>
      </c>
      <c r="CC62" s="28">
        <v>0</v>
      </c>
      <c r="CD62" s="25" t="s">
        <v>248</v>
      </c>
      <c r="CE62" s="28">
        <v>13048650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0</v>
      </c>
      <c r="S63" s="248">
        <v>0</v>
      </c>
      <c r="T63" s="248">
        <v>0</v>
      </c>
      <c r="U63" s="27">
        <v>14945</v>
      </c>
      <c r="V63" s="26">
        <v>0</v>
      </c>
      <c r="W63" s="26">
        <v>0</v>
      </c>
      <c r="X63" s="26">
        <v>0</v>
      </c>
      <c r="Y63" s="26">
        <v>-65111</v>
      </c>
      <c r="Z63" s="26">
        <v>0</v>
      </c>
      <c r="AA63" s="26">
        <v>0</v>
      </c>
      <c r="AB63" s="249">
        <v>0</v>
      </c>
      <c r="AC63" s="26">
        <v>5467</v>
      </c>
      <c r="AD63" s="26">
        <v>0</v>
      </c>
      <c r="AE63" s="26">
        <v>0</v>
      </c>
      <c r="AF63" s="26">
        <v>0</v>
      </c>
      <c r="AG63" s="26">
        <v>53254</v>
      </c>
      <c r="AH63" s="26">
        <v>0</v>
      </c>
      <c r="AI63" s="26">
        <v>0</v>
      </c>
      <c r="AJ63" s="26">
        <v>2396406</v>
      </c>
      <c r="AK63" s="26">
        <v>0</v>
      </c>
      <c r="AL63" s="26">
        <v>10300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2088</v>
      </c>
      <c r="AS63" s="26">
        <v>0</v>
      </c>
      <c r="AT63" s="26">
        <v>0</v>
      </c>
      <c r="AU63" s="26">
        <v>0</v>
      </c>
      <c r="AV63" s="248">
        <v>0</v>
      </c>
      <c r="AW63" s="248">
        <v>0</v>
      </c>
      <c r="AX63" s="248">
        <v>0</v>
      </c>
      <c r="AY63" s="26">
        <v>0</v>
      </c>
      <c r="AZ63" s="26">
        <v>0</v>
      </c>
      <c r="BA63" s="248">
        <v>0</v>
      </c>
      <c r="BB63" s="248">
        <v>0</v>
      </c>
      <c r="BC63" s="248">
        <v>0</v>
      </c>
      <c r="BD63" s="248">
        <v>0</v>
      </c>
      <c r="BE63" s="26">
        <v>0</v>
      </c>
      <c r="BF63" s="248">
        <v>0</v>
      </c>
      <c r="BG63" s="248">
        <v>0</v>
      </c>
      <c r="BH63" s="248">
        <v>0</v>
      </c>
      <c r="BI63" s="248">
        <v>0</v>
      </c>
      <c r="BJ63" s="248">
        <v>102245</v>
      </c>
      <c r="BK63" s="248">
        <v>15600</v>
      </c>
      <c r="BL63" s="248">
        <v>0</v>
      </c>
      <c r="BM63" s="248">
        <v>0</v>
      </c>
      <c r="BN63" s="248">
        <v>158657</v>
      </c>
      <c r="BO63" s="248">
        <v>0</v>
      </c>
      <c r="BP63" s="248">
        <v>0</v>
      </c>
      <c r="BQ63" s="248">
        <v>0</v>
      </c>
      <c r="BR63" s="248">
        <v>22424</v>
      </c>
      <c r="BS63" s="248">
        <v>0</v>
      </c>
      <c r="BT63" s="248">
        <v>0</v>
      </c>
      <c r="BU63" s="248">
        <v>0</v>
      </c>
      <c r="BV63" s="248">
        <v>0</v>
      </c>
      <c r="BW63" s="248">
        <v>0</v>
      </c>
      <c r="BX63" s="248">
        <v>0</v>
      </c>
      <c r="BY63" s="248">
        <v>0</v>
      </c>
      <c r="BZ63" s="248">
        <v>0</v>
      </c>
      <c r="CA63" s="248">
        <v>0</v>
      </c>
      <c r="CB63" s="248">
        <v>0</v>
      </c>
      <c r="CC63" s="248">
        <v>0</v>
      </c>
      <c r="CD63" s="25" t="s">
        <v>248</v>
      </c>
      <c r="CE63" s="28">
        <v>2716275</v>
      </c>
    </row>
    <row r="64" spans="1:83" x14ac:dyDescent="0.35">
      <c r="A64" s="35" t="s">
        <v>265</v>
      </c>
      <c r="B64" s="16"/>
      <c r="C64" s="20">
        <v>88140</v>
      </c>
      <c r="D64" s="20">
        <v>0</v>
      </c>
      <c r="E64" s="20">
        <v>147366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149588</v>
      </c>
      <c r="P64" s="26">
        <v>4209981</v>
      </c>
      <c r="Q64" s="26">
        <v>21693</v>
      </c>
      <c r="R64" s="26">
        <v>39033</v>
      </c>
      <c r="S64" s="248">
        <v>138027</v>
      </c>
      <c r="T64" s="248">
        <v>0</v>
      </c>
      <c r="U64" s="27">
        <v>2027049</v>
      </c>
      <c r="V64" s="26">
        <v>0</v>
      </c>
      <c r="W64" s="26">
        <v>0</v>
      </c>
      <c r="X64" s="26">
        <v>0</v>
      </c>
      <c r="Y64" s="26">
        <v>119521</v>
      </c>
      <c r="Z64" s="26">
        <v>0</v>
      </c>
      <c r="AA64" s="26">
        <v>0</v>
      </c>
      <c r="AB64" s="249">
        <v>2231630</v>
      </c>
      <c r="AC64" s="26">
        <v>60215</v>
      </c>
      <c r="AD64" s="26">
        <v>0</v>
      </c>
      <c r="AE64" s="26">
        <v>20366</v>
      </c>
      <c r="AF64" s="26">
        <v>0</v>
      </c>
      <c r="AG64" s="26">
        <v>364285</v>
      </c>
      <c r="AH64" s="26">
        <v>0</v>
      </c>
      <c r="AI64" s="26">
        <v>0</v>
      </c>
      <c r="AJ64" s="26">
        <v>1734431</v>
      </c>
      <c r="AK64" s="26">
        <v>6582</v>
      </c>
      <c r="AL64" s="26">
        <v>4857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110404</v>
      </c>
      <c r="AS64" s="26">
        <v>0</v>
      </c>
      <c r="AT64" s="26">
        <v>0</v>
      </c>
      <c r="AU64" s="26">
        <v>0</v>
      </c>
      <c r="AV64" s="248">
        <v>0</v>
      </c>
      <c r="AW64" s="248">
        <v>0</v>
      </c>
      <c r="AX64" s="248">
        <v>0</v>
      </c>
      <c r="AY64" s="26">
        <v>89721</v>
      </c>
      <c r="AZ64" s="26">
        <v>251303</v>
      </c>
      <c r="BA64" s="248">
        <v>590</v>
      </c>
      <c r="BB64" s="248">
        <v>946</v>
      </c>
      <c r="BC64" s="248">
        <v>0</v>
      </c>
      <c r="BD64" s="248">
        <v>-205346</v>
      </c>
      <c r="BE64" s="26">
        <v>85961</v>
      </c>
      <c r="BF64" s="248">
        <v>286584</v>
      </c>
      <c r="BG64" s="248">
        <v>0</v>
      </c>
      <c r="BH64" s="248">
        <v>407888</v>
      </c>
      <c r="BI64" s="248">
        <v>0</v>
      </c>
      <c r="BJ64" s="248">
        <v>8804</v>
      </c>
      <c r="BK64" s="248">
        <v>3760</v>
      </c>
      <c r="BL64" s="248">
        <v>23000</v>
      </c>
      <c r="BM64" s="248">
        <v>0</v>
      </c>
      <c r="BN64" s="248">
        <v>34601</v>
      </c>
      <c r="BO64" s="248">
        <v>9241</v>
      </c>
      <c r="BP64" s="248">
        <v>7649</v>
      </c>
      <c r="BQ64" s="248">
        <v>0</v>
      </c>
      <c r="BR64" s="248">
        <v>13986</v>
      </c>
      <c r="BS64" s="248">
        <v>0</v>
      </c>
      <c r="BT64" s="248">
        <v>0</v>
      </c>
      <c r="BU64" s="248">
        <v>0</v>
      </c>
      <c r="BV64" s="248">
        <v>9098</v>
      </c>
      <c r="BW64" s="248">
        <v>2487</v>
      </c>
      <c r="BX64" s="248">
        <v>19524</v>
      </c>
      <c r="BY64" s="248">
        <v>13075</v>
      </c>
      <c r="BZ64" s="248">
        <v>0</v>
      </c>
      <c r="CA64" s="248">
        <v>0</v>
      </c>
      <c r="CB64" s="248">
        <v>0</v>
      </c>
      <c r="CC64" s="248">
        <v>0</v>
      </c>
      <c r="CD64" s="25" t="s">
        <v>248</v>
      </c>
      <c r="CE64" s="28">
        <v>12536040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5101</v>
      </c>
      <c r="Q65" s="26">
        <v>0</v>
      </c>
      <c r="R65" s="26">
        <v>0</v>
      </c>
      <c r="S65" s="248">
        <v>0</v>
      </c>
      <c r="T65" s="248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49">
        <v>0</v>
      </c>
      <c r="AC65" s="26">
        <v>0</v>
      </c>
      <c r="AD65" s="26">
        <v>0</v>
      </c>
      <c r="AE65" s="26">
        <v>417</v>
      </c>
      <c r="AF65" s="26">
        <v>0</v>
      </c>
      <c r="AG65" s="26">
        <v>0</v>
      </c>
      <c r="AH65" s="26">
        <v>0</v>
      </c>
      <c r="AI65" s="26">
        <v>0</v>
      </c>
      <c r="AJ65" s="26">
        <v>221054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8">
        <v>0</v>
      </c>
      <c r="AW65" s="248">
        <v>0</v>
      </c>
      <c r="AX65" s="248">
        <v>0</v>
      </c>
      <c r="AY65" s="26">
        <v>0</v>
      </c>
      <c r="AZ65" s="26">
        <v>0</v>
      </c>
      <c r="BA65" s="248">
        <v>0</v>
      </c>
      <c r="BB65" s="248">
        <v>0</v>
      </c>
      <c r="BC65" s="248">
        <v>0</v>
      </c>
      <c r="BD65" s="248">
        <v>125</v>
      </c>
      <c r="BE65" s="26">
        <v>853653</v>
      </c>
      <c r="BF65" s="248">
        <v>0</v>
      </c>
      <c r="BG65" s="248">
        <v>0</v>
      </c>
      <c r="BH65" s="248">
        <v>115665</v>
      </c>
      <c r="BI65" s="248">
        <v>0</v>
      </c>
      <c r="BJ65" s="248">
        <v>0</v>
      </c>
      <c r="BK65" s="248">
        <v>0</v>
      </c>
      <c r="BL65" s="248">
        <v>0</v>
      </c>
      <c r="BM65" s="248">
        <v>0</v>
      </c>
      <c r="BN65" s="248">
        <v>0</v>
      </c>
      <c r="BO65" s="248">
        <v>2531</v>
      </c>
      <c r="BP65" s="248">
        <v>0</v>
      </c>
      <c r="BQ65" s="248">
        <v>0</v>
      </c>
      <c r="BR65" s="248">
        <v>0</v>
      </c>
      <c r="BS65" s="248">
        <v>0</v>
      </c>
      <c r="BT65" s="248">
        <v>0</v>
      </c>
      <c r="BU65" s="248">
        <v>0</v>
      </c>
      <c r="BV65" s="248">
        <v>0</v>
      </c>
      <c r="BW65" s="248">
        <v>0</v>
      </c>
      <c r="BX65" s="248">
        <v>0</v>
      </c>
      <c r="BY65" s="248">
        <v>0</v>
      </c>
      <c r="BZ65" s="248">
        <v>0</v>
      </c>
      <c r="CA65" s="248">
        <v>0</v>
      </c>
      <c r="CB65" s="248">
        <v>0</v>
      </c>
      <c r="CC65" s="248">
        <v>0</v>
      </c>
      <c r="CD65" s="25" t="s">
        <v>248</v>
      </c>
      <c r="CE65" s="28">
        <v>1198546</v>
      </c>
    </row>
    <row r="66" spans="1:83" x14ac:dyDescent="0.35">
      <c r="A66" s="35" t="s">
        <v>267</v>
      </c>
      <c r="B66" s="16"/>
      <c r="C66" s="20">
        <v>66999</v>
      </c>
      <c r="D66" s="20">
        <v>0</v>
      </c>
      <c r="E66" s="20">
        <v>77184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16210</v>
      </c>
      <c r="P66" s="26">
        <v>131882</v>
      </c>
      <c r="Q66" s="26">
        <v>0</v>
      </c>
      <c r="R66" s="26">
        <v>78844</v>
      </c>
      <c r="S66" s="248">
        <v>47030</v>
      </c>
      <c r="T66" s="248">
        <v>0</v>
      </c>
      <c r="U66" s="27">
        <v>1258391</v>
      </c>
      <c r="V66" s="26">
        <v>0</v>
      </c>
      <c r="W66" s="26">
        <v>411216</v>
      </c>
      <c r="X66" s="26">
        <v>148143</v>
      </c>
      <c r="Y66" s="26">
        <v>423774</v>
      </c>
      <c r="Z66" s="26">
        <v>0</v>
      </c>
      <c r="AA66" s="26">
        <v>0</v>
      </c>
      <c r="AB66" s="249">
        <v>252992</v>
      </c>
      <c r="AC66" s="26">
        <v>17959</v>
      </c>
      <c r="AD66" s="26">
        <v>0</v>
      </c>
      <c r="AE66" s="26">
        <v>985801</v>
      </c>
      <c r="AF66" s="26">
        <v>0</v>
      </c>
      <c r="AG66" s="26">
        <v>116600</v>
      </c>
      <c r="AH66" s="26">
        <v>0</v>
      </c>
      <c r="AI66" s="26">
        <v>0</v>
      </c>
      <c r="AJ66" s="26">
        <v>1273101</v>
      </c>
      <c r="AK66" s="26">
        <v>238841</v>
      </c>
      <c r="AL66" s="26">
        <v>197291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292160</v>
      </c>
      <c r="AS66" s="26">
        <v>0</v>
      </c>
      <c r="AT66" s="26">
        <v>0</v>
      </c>
      <c r="AU66" s="26">
        <v>0</v>
      </c>
      <c r="AV66" s="248">
        <v>0</v>
      </c>
      <c r="AW66" s="248">
        <v>0</v>
      </c>
      <c r="AX66" s="248">
        <v>0</v>
      </c>
      <c r="AY66" s="26">
        <v>10866</v>
      </c>
      <c r="AZ66" s="26">
        <v>0</v>
      </c>
      <c r="BA66" s="248">
        <v>538</v>
      </c>
      <c r="BB66" s="248">
        <v>11287</v>
      </c>
      <c r="BC66" s="248">
        <v>0</v>
      </c>
      <c r="BD66" s="248">
        <v>95129</v>
      </c>
      <c r="BE66" s="26">
        <v>1819267</v>
      </c>
      <c r="BF66" s="248">
        <v>130908</v>
      </c>
      <c r="BG66" s="248">
        <v>0</v>
      </c>
      <c r="BH66" s="248">
        <v>2652587</v>
      </c>
      <c r="BI66" s="248">
        <v>0</v>
      </c>
      <c r="BJ66" s="248">
        <v>395207</v>
      </c>
      <c r="BK66" s="248">
        <v>708444</v>
      </c>
      <c r="BL66" s="248">
        <v>62458</v>
      </c>
      <c r="BM66" s="248">
        <v>0</v>
      </c>
      <c r="BN66" s="248">
        <v>48007</v>
      </c>
      <c r="BO66" s="248">
        <v>66168</v>
      </c>
      <c r="BP66" s="248">
        <v>21163</v>
      </c>
      <c r="BQ66" s="248">
        <v>0</v>
      </c>
      <c r="BR66" s="248">
        <v>177365</v>
      </c>
      <c r="BS66" s="248">
        <v>0</v>
      </c>
      <c r="BT66" s="248">
        <v>0</v>
      </c>
      <c r="BU66" s="248">
        <v>0</v>
      </c>
      <c r="BV66" s="248">
        <v>433284</v>
      </c>
      <c r="BW66" s="248">
        <v>30778</v>
      </c>
      <c r="BX66" s="248">
        <v>181226</v>
      </c>
      <c r="BY66" s="248">
        <v>624588</v>
      </c>
      <c r="BZ66" s="248">
        <v>0</v>
      </c>
      <c r="CA66" s="248">
        <v>0</v>
      </c>
      <c r="CB66" s="248">
        <v>0</v>
      </c>
      <c r="CC66" s="248">
        <v>0</v>
      </c>
      <c r="CD66" s="25" t="s">
        <v>248</v>
      </c>
      <c r="CE66" s="28">
        <v>13503688</v>
      </c>
    </row>
    <row r="67" spans="1:83" x14ac:dyDescent="0.35">
      <c r="A67" s="35" t="s">
        <v>16</v>
      </c>
      <c r="B67" s="16"/>
      <c r="C67" s="28">
        <v>57006</v>
      </c>
      <c r="D67" s="28">
        <v>0</v>
      </c>
      <c r="E67" s="28">
        <v>208461</v>
      </c>
      <c r="F67" s="28">
        <v>0</v>
      </c>
      <c r="G67" s="28">
        <v>0</v>
      </c>
      <c r="H67" s="28">
        <v>0</v>
      </c>
      <c r="I67" s="28">
        <v>0</v>
      </c>
      <c r="J67" s="28">
        <v>3378</v>
      </c>
      <c r="K67" s="28">
        <v>0</v>
      </c>
      <c r="L67" s="28">
        <v>0</v>
      </c>
      <c r="M67" s="28">
        <v>0</v>
      </c>
      <c r="N67" s="28">
        <v>0</v>
      </c>
      <c r="O67" s="28">
        <v>95365</v>
      </c>
      <c r="P67" s="28">
        <v>478071</v>
      </c>
      <c r="Q67" s="28">
        <v>24971</v>
      </c>
      <c r="R67" s="28">
        <v>13454</v>
      </c>
      <c r="S67" s="28">
        <v>72219</v>
      </c>
      <c r="T67" s="28">
        <v>0</v>
      </c>
      <c r="U67" s="28">
        <v>286240</v>
      </c>
      <c r="V67" s="28">
        <v>0</v>
      </c>
      <c r="W67" s="28">
        <v>1904</v>
      </c>
      <c r="X67" s="28">
        <v>30458</v>
      </c>
      <c r="Y67" s="28">
        <v>770361</v>
      </c>
      <c r="Z67" s="28">
        <v>0</v>
      </c>
      <c r="AA67" s="28">
        <v>0</v>
      </c>
      <c r="AB67" s="28">
        <v>214243</v>
      </c>
      <c r="AC67" s="28">
        <v>70784</v>
      </c>
      <c r="AD67" s="28">
        <v>0</v>
      </c>
      <c r="AE67" s="28">
        <v>143879</v>
      </c>
      <c r="AF67" s="28">
        <v>0</v>
      </c>
      <c r="AG67" s="28">
        <v>100818</v>
      </c>
      <c r="AH67" s="28">
        <v>0</v>
      </c>
      <c r="AI67" s="28">
        <v>0</v>
      </c>
      <c r="AJ67" s="28">
        <v>1118210</v>
      </c>
      <c r="AK67" s="28">
        <v>42034</v>
      </c>
      <c r="AL67" s="28">
        <v>11775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39988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44279</v>
      </c>
      <c r="AZ67" s="28">
        <v>25873</v>
      </c>
      <c r="BA67" s="28">
        <v>17806</v>
      </c>
      <c r="BB67" s="28">
        <v>2896</v>
      </c>
      <c r="BC67" s="28">
        <v>0</v>
      </c>
      <c r="BD67" s="28">
        <v>42041</v>
      </c>
      <c r="BE67" s="28">
        <v>139632</v>
      </c>
      <c r="BF67" s="28">
        <v>7193</v>
      </c>
      <c r="BG67" s="28">
        <v>0</v>
      </c>
      <c r="BH67" s="28">
        <v>1036683</v>
      </c>
      <c r="BI67" s="28">
        <v>0</v>
      </c>
      <c r="BJ67" s="28">
        <v>9642</v>
      </c>
      <c r="BK67" s="28">
        <v>109797</v>
      </c>
      <c r="BL67" s="28">
        <v>5644</v>
      </c>
      <c r="BM67" s="28">
        <v>0</v>
      </c>
      <c r="BN67" s="28">
        <v>325089</v>
      </c>
      <c r="BO67" s="28">
        <v>43900</v>
      </c>
      <c r="BP67" s="28">
        <v>5215</v>
      </c>
      <c r="BQ67" s="28">
        <v>0</v>
      </c>
      <c r="BR67" s="28">
        <v>16358</v>
      </c>
      <c r="BS67" s="28">
        <v>0</v>
      </c>
      <c r="BT67" s="28">
        <v>0</v>
      </c>
      <c r="BU67" s="28">
        <v>0</v>
      </c>
      <c r="BV67" s="28">
        <v>26089</v>
      </c>
      <c r="BW67" s="28">
        <v>1126</v>
      </c>
      <c r="BX67" s="28">
        <v>12646</v>
      </c>
      <c r="BY67" s="28">
        <v>6409</v>
      </c>
      <c r="BZ67" s="28">
        <v>0</v>
      </c>
      <c r="CA67" s="28">
        <v>0</v>
      </c>
      <c r="CB67" s="28">
        <v>0</v>
      </c>
      <c r="CC67" s="28">
        <v>0</v>
      </c>
      <c r="CD67" s="25" t="s">
        <v>248</v>
      </c>
      <c r="CE67" s="28">
        <v>5661937</v>
      </c>
    </row>
    <row r="68" spans="1:83" x14ac:dyDescent="0.35">
      <c r="A68" s="35" t="s">
        <v>268</v>
      </c>
      <c r="B68" s="28"/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48">
        <v>0</v>
      </c>
      <c r="T68" s="248">
        <v>0</v>
      </c>
      <c r="U68" s="27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49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8">
        <v>0</v>
      </c>
      <c r="AW68" s="248">
        <v>0</v>
      </c>
      <c r="AX68" s="248">
        <v>0</v>
      </c>
      <c r="AY68" s="26">
        <v>0</v>
      </c>
      <c r="AZ68" s="26">
        <v>0</v>
      </c>
      <c r="BA68" s="248">
        <v>0</v>
      </c>
      <c r="BB68" s="248">
        <v>0</v>
      </c>
      <c r="BC68" s="248">
        <v>0</v>
      </c>
      <c r="BD68" s="248">
        <v>0</v>
      </c>
      <c r="BE68" s="26">
        <v>0</v>
      </c>
      <c r="BF68" s="248">
        <v>0</v>
      </c>
      <c r="BG68" s="248">
        <v>0</v>
      </c>
      <c r="BH68" s="248">
        <v>0</v>
      </c>
      <c r="BI68" s="248">
        <v>0</v>
      </c>
      <c r="BJ68" s="248">
        <v>0</v>
      </c>
      <c r="BK68" s="248">
        <v>0</v>
      </c>
      <c r="BL68" s="248">
        <v>0</v>
      </c>
      <c r="BM68" s="248">
        <v>0</v>
      </c>
      <c r="BN68" s="248">
        <v>0</v>
      </c>
      <c r="BO68" s="248">
        <v>0</v>
      </c>
      <c r="BP68" s="248">
        <v>0</v>
      </c>
      <c r="BQ68" s="248">
        <v>0</v>
      </c>
      <c r="BR68" s="248">
        <v>0</v>
      </c>
      <c r="BS68" s="248">
        <v>0</v>
      </c>
      <c r="BT68" s="248">
        <v>0</v>
      </c>
      <c r="BU68" s="248">
        <v>0</v>
      </c>
      <c r="BV68" s="248">
        <v>0</v>
      </c>
      <c r="BW68" s="248">
        <v>0</v>
      </c>
      <c r="BX68" s="248">
        <v>0</v>
      </c>
      <c r="BY68" s="248">
        <v>0</v>
      </c>
      <c r="BZ68" s="248">
        <v>0</v>
      </c>
      <c r="CA68" s="248">
        <v>0</v>
      </c>
      <c r="CB68" s="248">
        <v>0</v>
      </c>
      <c r="CC68" s="248">
        <v>0</v>
      </c>
      <c r="CD68" s="25" t="s">
        <v>248</v>
      </c>
      <c r="CE68" s="28">
        <v>0</v>
      </c>
    </row>
    <row r="69" spans="1:83" x14ac:dyDescent="0.35">
      <c r="A69" s="35" t="s">
        <v>269</v>
      </c>
      <c r="B69" s="16"/>
      <c r="C69" s="28">
        <v>491103</v>
      </c>
      <c r="D69" s="28">
        <v>0</v>
      </c>
      <c r="E69" s="28">
        <v>765663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447899</v>
      </c>
      <c r="P69" s="28">
        <v>1178181</v>
      </c>
      <c r="Q69" s="28">
        <v>0</v>
      </c>
      <c r="R69" s="28">
        <v>0</v>
      </c>
      <c r="S69" s="28">
        <v>3030</v>
      </c>
      <c r="T69" s="28">
        <v>0</v>
      </c>
      <c r="U69" s="28">
        <v>311157</v>
      </c>
      <c r="V69" s="28">
        <v>0</v>
      </c>
      <c r="W69" s="28">
        <v>0</v>
      </c>
      <c r="X69" s="28">
        <v>0</v>
      </c>
      <c r="Y69" s="28">
        <v>412629</v>
      </c>
      <c r="Z69" s="28">
        <v>0</v>
      </c>
      <c r="AA69" s="28">
        <v>0</v>
      </c>
      <c r="AB69" s="28">
        <v>2081</v>
      </c>
      <c r="AC69" s="28">
        <v>131</v>
      </c>
      <c r="AD69" s="28">
        <v>0</v>
      </c>
      <c r="AE69" s="28">
        <v>2348</v>
      </c>
      <c r="AF69" s="28">
        <v>0</v>
      </c>
      <c r="AG69" s="28">
        <v>1166899</v>
      </c>
      <c r="AH69" s="28">
        <v>0</v>
      </c>
      <c r="AI69" s="28">
        <v>0</v>
      </c>
      <c r="AJ69" s="28">
        <v>1247503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890588</v>
      </c>
      <c r="AS69" s="28">
        <v>0</v>
      </c>
      <c r="AT69" s="28">
        <v>0</v>
      </c>
      <c r="AU69" s="28">
        <v>0</v>
      </c>
      <c r="AV69" s="28">
        <v>0</v>
      </c>
      <c r="AW69" s="28">
        <v>0</v>
      </c>
      <c r="AX69" s="28">
        <v>0</v>
      </c>
      <c r="AY69" s="28">
        <v>4474</v>
      </c>
      <c r="AZ69" s="28">
        <v>0</v>
      </c>
      <c r="BA69" s="28">
        <v>0</v>
      </c>
      <c r="BB69" s="28">
        <v>813</v>
      </c>
      <c r="BC69" s="28">
        <v>0</v>
      </c>
      <c r="BD69" s="28">
        <v>972</v>
      </c>
      <c r="BE69" s="28">
        <v>12797</v>
      </c>
      <c r="BF69" s="28">
        <v>32</v>
      </c>
      <c r="BG69" s="28">
        <v>0</v>
      </c>
      <c r="BH69" s="28">
        <v>9276</v>
      </c>
      <c r="BI69" s="28">
        <v>0</v>
      </c>
      <c r="BJ69" s="28">
        <v>45128</v>
      </c>
      <c r="BK69" s="28">
        <v>100207</v>
      </c>
      <c r="BL69" s="28">
        <v>1956</v>
      </c>
      <c r="BM69" s="28">
        <v>0</v>
      </c>
      <c r="BN69" s="28">
        <v>208149</v>
      </c>
      <c r="BO69" s="28">
        <v>84652</v>
      </c>
      <c r="BP69" s="28">
        <v>250483</v>
      </c>
      <c r="BQ69" s="28">
        <v>0</v>
      </c>
      <c r="BR69" s="28">
        <v>36024</v>
      </c>
      <c r="BS69" s="28">
        <v>0</v>
      </c>
      <c r="BT69" s="28">
        <v>0</v>
      </c>
      <c r="BU69" s="28">
        <v>0</v>
      </c>
      <c r="BV69" s="28">
        <v>4376</v>
      </c>
      <c r="BW69" s="28">
        <v>232699</v>
      </c>
      <c r="BX69" s="28">
        <v>11320</v>
      </c>
      <c r="BY69" s="28">
        <v>25420</v>
      </c>
      <c r="BZ69" s="28">
        <v>0</v>
      </c>
      <c r="CA69" s="28">
        <v>0</v>
      </c>
      <c r="CB69" s="28">
        <v>0</v>
      </c>
      <c r="CC69" s="28">
        <v>0</v>
      </c>
      <c r="CD69" s="28">
        <v>0</v>
      </c>
      <c r="CE69" s="28">
        <v>7947990</v>
      </c>
    </row>
    <row r="70" spans="1:83" x14ac:dyDescent="0.35">
      <c r="A70" s="29" t="s">
        <v>270</v>
      </c>
      <c r="B70" s="30"/>
      <c r="C70" s="238">
        <v>0</v>
      </c>
      <c r="D70" s="238">
        <v>0</v>
      </c>
      <c r="E70" s="238">
        <v>0</v>
      </c>
      <c r="F70" s="238">
        <v>0</v>
      </c>
      <c r="G70" s="238">
        <v>0</v>
      </c>
      <c r="H70" s="238">
        <v>0</v>
      </c>
      <c r="I70" s="238">
        <v>0</v>
      </c>
      <c r="J70" s="238">
        <v>0</v>
      </c>
      <c r="K70" s="238">
        <v>0</v>
      </c>
      <c r="L70" s="238">
        <v>0</v>
      </c>
      <c r="M70" s="238">
        <v>0</v>
      </c>
      <c r="N70" s="238">
        <v>0</v>
      </c>
      <c r="O70" s="238">
        <v>0</v>
      </c>
      <c r="P70" s="238">
        <v>0</v>
      </c>
      <c r="Q70" s="238">
        <v>0</v>
      </c>
      <c r="R70" s="238">
        <v>0</v>
      </c>
      <c r="S70" s="238">
        <v>0</v>
      </c>
      <c r="T70" s="238">
        <v>0</v>
      </c>
      <c r="U70" s="238">
        <v>0</v>
      </c>
      <c r="V70" s="238">
        <v>0</v>
      </c>
      <c r="W70" s="238">
        <v>0</v>
      </c>
      <c r="X70" s="238">
        <v>0</v>
      </c>
      <c r="Y70" s="238">
        <v>0</v>
      </c>
      <c r="Z70" s="238">
        <v>0</v>
      </c>
      <c r="AA70" s="238">
        <v>0</v>
      </c>
      <c r="AB70" s="238">
        <v>0</v>
      </c>
      <c r="AC70" s="238">
        <v>0</v>
      </c>
      <c r="AD70" s="238">
        <v>0</v>
      </c>
      <c r="AE70" s="238">
        <v>0</v>
      </c>
      <c r="AF70" s="238">
        <v>0</v>
      </c>
      <c r="AG70" s="238">
        <v>0</v>
      </c>
      <c r="AH70" s="238">
        <v>0</v>
      </c>
      <c r="AI70" s="238">
        <v>0</v>
      </c>
      <c r="AJ70" s="238">
        <v>0</v>
      </c>
      <c r="AK70" s="238">
        <v>0</v>
      </c>
      <c r="AL70" s="238">
        <v>0</v>
      </c>
      <c r="AM70" s="238">
        <v>0</v>
      </c>
      <c r="AN70" s="238">
        <v>0</v>
      </c>
      <c r="AO70" s="238">
        <v>0</v>
      </c>
      <c r="AP70" s="238">
        <v>0</v>
      </c>
      <c r="AQ70" s="238">
        <v>0</v>
      </c>
      <c r="AR70" s="238">
        <v>0</v>
      </c>
      <c r="AS70" s="238">
        <v>0</v>
      </c>
      <c r="AT70" s="238">
        <v>0</v>
      </c>
      <c r="AU70" s="238">
        <v>0</v>
      </c>
      <c r="AV70" s="238">
        <v>0</v>
      </c>
      <c r="AW70" s="238">
        <v>0</v>
      </c>
      <c r="AX70" s="238">
        <v>0</v>
      </c>
      <c r="AY70" s="238">
        <v>0</v>
      </c>
      <c r="AZ70" s="238">
        <v>0</v>
      </c>
      <c r="BA70" s="238">
        <v>0</v>
      </c>
      <c r="BB70" s="238">
        <v>0</v>
      </c>
      <c r="BC70" s="238">
        <v>0</v>
      </c>
      <c r="BD70" s="238">
        <v>0</v>
      </c>
      <c r="BE70" s="238">
        <v>0</v>
      </c>
      <c r="BF70" s="238">
        <v>0</v>
      </c>
      <c r="BG70" s="238">
        <v>0</v>
      </c>
      <c r="BH70" s="238">
        <v>0</v>
      </c>
      <c r="BI70" s="238">
        <v>0</v>
      </c>
      <c r="BJ70" s="238">
        <v>0</v>
      </c>
      <c r="BK70" s="238">
        <v>0</v>
      </c>
      <c r="BL70" s="238">
        <v>0</v>
      </c>
      <c r="BM70" s="238">
        <v>0</v>
      </c>
      <c r="BN70" s="238">
        <v>0</v>
      </c>
      <c r="BO70" s="238">
        <v>0</v>
      </c>
      <c r="BP70" s="238">
        <v>0</v>
      </c>
      <c r="BQ70" s="238">
        <v>0</v>
      </c>
      <c r="BR70" s="238">
        <v>0</v>
      </c>
      <c r="BS70" s="238">
        <v>0</v>
      </c>
      <c r="BT70" s="238">
        <v>0</v>
      </c>
      <c r="BU70" s="238">
        <v>0</v>
      </c>
      <c r="BV70" s="238">
        <v>0</v>
      </c>
      <c r="BW70" s="238">
        <v>0</v>
      </c>
      <c r="BX70" s="238">
        <v>0</v>
      </c>
      <c r="BY70" s="238">
        <v>0</v>
      </c>
      <c r="BZ70" s="238">
        <v>0</v>
      </c>
      <c r="CA70" s="238">
        <v>0</v>
      </c>
      <c r="CB70" s="238">
        <v>0</v>
      </c>
      <c r="CC70" s="238">
        <v>0</v>
      </c>
      <c r="CD70" s="238">
        <v>0</v>
      </c>
      <c r="CE70" s="28">
        <v>0</v>
      </c>
    </row>
    <row r="71" spans="1:83" x14ac:dyDescent="0.35">
      <c r="A71" s="29" t="s">
        <v>271</v>
      </c>
      <c r="B71" s="30"/>
      <c r="C71" s="238">
        <v>490123</v>
      </c>
      <c r="D71" s="238">
        <v>0</v>
      </c>
      <c r="E71" s="238">
        <v>740198</v>
      </c>
      <c r="F71" s="238">
        <v>0</v>
      </c>
      <c r="G71" s="238">
        <v>0</v>
      </c>
      <c r="H71" s="238">
        <v>0</v>
      </c>
      <c r="I71" s="238">
        <v>0</v>
      </c>
      <c r="J71" s="238">
        <v>0</v>
      </c>
      <c r="K71" s="238">
        <v>0</v>
      </c>
      <c r="L71" s="238">
        <v>0</v>
      </c>
      <c r="M71" s="238">
        <v>0</v>
      </c>
      <c r="N71" s="238">
        <v>0</v>
      </c>
      <c r="O71" s="238">
        <v>428398</v>
      </c>
      <c r="P71" s="238">
        <v>1172071</v>
      </c>
      <c r="Q71" s="238">
        <v>0</v>
      </c>
      <c r="R71" s="238">
        <v>0</v>
      </c>
      <c r="S71" s="238">
        <v>0</v>
      </c>
      <c r="T71" s="238">
        <v>0</v>
      </c>
      <c r="U71" s="238">
        <v>295512</v>
      </c>
      <c r="V71" s="238">
        <v>0</v>
      </c>
      <c r="W71" s="238">
        <v>0</v>
      </c>
      <c r="X71" s="238">
        <v>0</v>
      </c>
      <c r="Y71" s="238">
        <v>392307</v>
      </c>
      <c r="Z71" s="238">
        <v>0</v>
      </c>
      <c r="AA71" s="238">
        <v>0</v>
      </c>
      <c r="AB71" s="238">
        <v>0</v>
      </c>
      <c r="AC71" s="238">
        <v>0</v>
      </c>
      <c r="AD71" s="238">
        <v>0</v>
      </c>
      <c r="AE71" s="238">
        <v>0</v>
      </c>
      <c r="AF71" s="238">
        <v>0</v>
      </c>
      <c r="AG71" s="238">
        <v>1132868</v>
      </c>
      <c r="AH71" s="238">
        <v>0</v>
      </c>
      <c r="AI71" s="238">
        <v>0</v>
      </c>
      <c r="AJ71" s="238">
        <v>1070537</v>
      </c>
      <c r="AK71" s="238">
        <v>0</v>
      </c>
      <c r="AL71" s="238">
        <v>0</v>
      </c>
      <c r="AM71" s="238">
        <v>0</v>
      </c>
      <c r="AN71" s="238">
        <v>0</v>
      </c>
      <c r="AO71" s="238">
        <v>0</v>
      </c>
      <c r="AP71" s="238">
        <v>0</v>
      </c>
      <c r="AQ71" s="238">
        <v>0</v>
      </c>
      <c r="AR71" s="238">
        <v>813738</v>
      </c>
      <c r="AS71" s="238">
        <v>0</v>
      </c>
      <c r="AT71" s="238">
        <v>0</v>
      </c>
      <c r="AU71" s="238">
        <v>0</v>
      </c>
      <c r="AV71" s="238">
        <v>0</v>
      </c>
      <c r="AW71" s="238">
        <v>0</v>
      </c>
      <c r="AX71" s="238">
        <v>0</v>
      </c>
      <c r="AY71" s="238">
        <v>0</v>
      </c>
      <c r="AZ71" s="238">
        <v>0</v>
      </c>
      <c r="BA71" s="238">
        <v>0</v>
      </c>
      <c r="BB71" s="238">
        <v>0</v>
      </c>
      <c r="BC71" s="238">
        <v>0</v>
      </c>
      <c r="BD71" s="238">
        <v>0</v>
      </c>
      <c r="BE71" s="238">
        <v>0</v>
      </c>
      <c r="BF71" s="238">
        <v>0</v>
      </c>
      <c r="BG71" s="238">
        <v>0</v>
      </c>
      <c r="BH71" s="238">
        <v>0</v>
      </c>
      <c r="BI71" s="238">
        <v>0</v>
      </c>
      <c r="BJ71" s="238">
        <v>43906</v>
      </c>
      <c r="BK71" s="238">
        <v>96989</v>
      </c>
      <c r="BL71" s="238">
        <v>0</v>
      </c>
      <c r="BM71" s="238">
        <v>0</v>
      </c>
      <c r="BN71" s="238">
        <v>0</v>
      </c>
      <c r="BO71" s="238">
        <v>0</v>
      </c>
      <c r="BP71" s="238">
        <v>0</v>
      </c>
      <c r="BQ71" s="238">
        <v>0</v>
      </c>
      <c r="BR71" s="238">
        <v>0</v>
      </c>
      <c r="BS71" s="238">
        <v>0</v>
      </c>
      <c r="BT71" s="238">
        <v>0</v>
      </c>
      <c r="BU71" s="238">
        <v>0</v>
      </c>
      <c r="BV71" s="238">
        <v>0</v>
      </c>
      <c r="BW71" s="238">
        <v>0</v>
      </c>
      <c r="BX71" s="238">
        <v>0</v>
      </c>
      <c r="BY71" s="238">
        <v>20814</v>
      </c>
      <c r="BZ71" s="238">
        <v>0</v>
      </c>
      <c r="CA71" s="238">
        <v>0</v>
      </c>
      <c r="CB71" s="238">
        <v>0</v>
      </c>
      <c r="CC71" s="238">
        <v>0</v>
      </c>
      <c r="CD71" s="238">
        <v>0</v>
      </c>
      <c r="CE71" s="28">
        <v>6697461</v>
      </c>
    </row>
    <row r="72" spans="1:83" x14ac:dyDescent="0.35">
      <c r="A72" s="29" t="s">
        <v>272</v>
      </c>
      <c r="B72" s="30"/>
      <c r="C72" s="238">
        <v>0</v>
      </c>
      <c r="D72" s="238">
        <v>0</v>
      </c>
      <c r="E72" s="238">
        <v>0</v>
      </c>
      <c r="F72" s="238">
        <v>0</v>
      </c>
      <c r="G72" s="238">
        <v>0</v>
      </c>
      <c r="H72" s="238">
        <v>0</v>
      </c>
      <c r="I72" s="238">
        <v>0</v>
      </c>
      <c r="J72" s="238">
        <v>0</v>
      </c>
      <c r="K72" s="238">
        <v>0</v>
      </c>
      <c r="L72" s="238">
        <v>0</v>
      </c>
      <c r="M72" s="238">
        <v>0</v>
      </c>
      <c r="N72" s="238">
        <v>0</v>
      </c>
      <c r="O72" s="238">
        <v>0</v>
      </c>
      <c r="P72" s="238">
        <v>0</v>
      </c>
      <c r="Q72" s="238">
        <v>0</v>
      </c>
      <c r="R72" s="238">
        <v>0</v>
      </c>
      <c r="S72" s="238">
        <v>0</v>
      </c>
      <c r="T72" s="238">
        <v>0</v>
      </c>
      <c r="U72" s="238">
        <v>0</v>
      </c>
      <c r="V72" s="238">
        <v>0</v>
      </c>
      <c r="W72" s="238">
        <v>0</v>
      </c>
      <c r="X72" s="238">
        <v>0</v>
      </c>
      <c r="Y72" s="238">
        <v>0</v>
      </c>
      <c r="Z72" s="238">
        <v>0</v>
      </c>
      <c r="AA72" s="238">
        <v>0</v>
      </c>
      <c r="AB72" s="238">
        <v>0</v>
      </c>
      <c r="AC72" s="238">
        <v>0</v>
      </c>
      <c r="AD72" s="238">
        <v>0</v>
      </c>
      <c r="AE72" s="238">
        <v>0</v>
      </c>
      <c r="AF72" s="238">
        <v>0</v>
      </c>
      <c r="AG72" s="238">
        <v>0</v>
      </c>
      <c r="AH72" s="238">
        <v>0</v>
      </c>
      <c r="AI72" s="238">
        <v>0</v>
      </c>
      <c r="AJ72" s="238">
        <v>0</v>
      </c>
      <c r="AK72" s="238">
        <v>0</v>
      </c>
      <c r="AL72" s="238">
        <v>0</v>
      </c>
      <c r="AM72" s="238">
        <v>0</v>
      </c>
      <c r="AN72" s="238">
        <v>0</v>
      </c>
      <c r="AO72" s="238">
        <v>0</v>
      </c>
      <c r="AP72" s="238">
        <v>0</v>
      </c>
      <c r="AQ72" s="238">
        <v>0</v>
      </c>
      <c r="AR72" s="238">
        <v>0</v>
      </c>
      <c r="AS72" s="238">
        <v>0</v>
      </c>
      <c r="AT72" s="238">
        <v>0</v>
      </c>
      <c r="AU72" s="238">
        <v>0</v>
      </c>
      <c r="AV72" s="238">
        <v>0</v>
      </c>
      <c r="AW72" s="238">
        <v>0</v>
      </c>
      <c r="AX72" s="238">
        <v>0</v>
      </c>
      <c r="AY72" s="238">
        <v>0</v>
      </c>
      <c r="AZ72" s="238">
        <v>0</v>
      </c>
      <c r="BA72" s="238">
        <v>0</v>
      </c>
      <c r="BB72" s="238">
        <v>0</v>
      </c>
      <c r="BC72" s="238">
        <v>0</v>
      </c>
      <c r="BD72" s="238">
        <v>0</v>
      </c>
      <c r="BE72" s="238">
        <v>0</v>
      </c>
      <c r="BF72" s="238">
        <v>0</v>
      </c>
      <c r="BG72" s="238">
        <v>0</v>
      </c>
      <c r="BH72" s="238">
        <v>0</v>
      </c>
      <c r="BI72" s="238">
        <v>0</v>
      </c>
      <c r="BJ72" s="238">
        <v>0</v>
      </c>
      <c r="BK72" s="238">
        <v>0</v>
      </c>
      <c r="BL72" s="238">
        <v>0</v>
      </c>
      <c r="BM72" s="238">
        <v>0</v>
      </c>
      <c r="BN72" s="238">
        <v>0</v>
      </c>
      <c r="BO72" s="238">
        <v>0</v>
      </c>
      <c r="BP72" s="238">
        <v>0</v>
      </c>
      <c r="BQ72" s="238">
        <v>0</v>
      </c>
      <c r="BR72" s="238">
        <v>0</v>
      </c>
      <c r="BS72" s="238">
        <v>0</v>
      </c>
      <c r="BT72" s="238">
        <v>0</v>
      </c>
      <c r="BU72" s="238">
        <v>0</v>
      </c>
      <c r="BV72" s="238">
        <v>0</v>
      </c>
      <c r="BW72" s="238">
        <v>0</v>
      </c>
      <c r="BX72" s="238">
        <v>0</v>
      </c>
      <c r="BY72" s="238">
        <v>0</v>
      </c>
      <c r="BZ72" s="238">
        <v>0</v>
      </c>
      <c r="CA72" s="238">
        <v>0</v>
      </c>
      <c r="CB72" s="238">
        <v>0</v>
      </c>
      <c r="CC72" s="238">
        <v>0</v>
      </c>
      <c r="CD72" s="238">
        <v>0</v>
      </c>
      <c r="CE72" s="28">
        <v>0</v>
      </c>
    </row>
    <row r="73" spans="1:83" x14ac:dyDescent="0.35">
      <c r="A73" s="29" t="s">
        <v>273</v>
      </c>
      <c r="B73" s="30"/>
      <c r="C73" s="238">
        <v>0</v>
      </c>
      <c r="D73" s="238">
        <v>0</v>
      </c>
      <c r="E73" s="238">
        <v>0</v>
      </c>
      <c r="F73" s="238">
        <v>0</v>
      </c>
      <c r="G73" s="238">
        <v>0</v>
      </c>
      <c r="H73" s="238">
        <v>0</v>
      </c>
      <c r="I73" s="238">
        <v>0</v>
      </c>
      <c r="J73" s="238">
        <v>0</v>
      </c>
      <c r="K73" s="238">
        <v>0</v>
      </c>
      <c r="L73" s="238">
        <v>0</v>
      </c>
      <c r="M73" s="238">
        <v>0</v>
      </c>
      <c r="N73" s="238">
        <v>0</v>
      </c>
      <c r="O73" s="238">
        <v>0</v>
      </c>
      <c r="P73" s="238">
        <v>0</v>
      </c>
      <c r="Q73" s="238">
        <v>0</v>
      </c>
      <c r="R73" s="238">
        <v>0</v>
      </c>
      <c r="S73" s="238">
        <v>0</v>
      </c>
      <c r="T73" s="238">
        <v>0</v>
      </c>
      <c r="U73" s="238">
        <v>0</v>
      </c>
      <c r="V73" s="238">
        <v>0</v>
      </c>
      <c r="W73" s="238">
        <v>0</v>
      </c>
      <c r="X73" s="238">
        <v>0</v>
      </c>
      <c r="Y73" s="238">
        <v>0</v>
      </c>
      <c r="Z73" s="238">
        <v>0</v>
      </c>
      <c r="AA73" s="238">
        <v>0</v>
      </c>
      <c r="AB73" s="238">
        <v>0</v>
      </c>
      <c r="AC73" s="238">
        <v>0</v>
      </c>
      <c r="AD73" s="238">
        <v>0</v>
      </c>
      <c r="AE73" s="238">
        <v>0</v>
      </c>
      <c r="AF73" s="238">
        <v>0</v>
      </c>
      <c r="AG73" s="238">
        <v>0</v>
      </c>
      <c r="AH73" s="238">
        <v>0</v>
      </c>
      <c r="AI73" s="238">
        <v>0</v>
      </c>
      <c r="AJ73" s="238">
        <v>0</v>
      </c>
      <c r="AK73" s="238">
        <v>0</v>
      </c>
      <c r="AL73" s="238">
        <v>0</v>
      </c>
      <c r="AM73" s="238">
        <v>0</v>
      </c>
      <c r="AN73" s="238">
        <v>0</v>
      </c>
      <c r="AO73" s="238">
        <v>0</v>
      </c>
      <c r="AP73" s="238">
        <v>0</v>
      </c>
      <c r="AQ73" s="238">
        <v>0</v>
      </c>
      <c r="AR73" s="238">
        <v>0</v>
      </c>
      <c r="AS73" s="238">
        <v>0</v>
      </c>
      <c r="AT73" s="238">
        <v>0</v>
      </c>
      <c r="AU73" s="238">
        <v>0</v>
      </c>
      <c r="AV73" s="238">
        <v>0</v>
      </c>
      <c r="AW73" s="238">
        <v>0</v>
      </c>
      <c r="AX73" s="238">
        <v>0</v>
      </c>
      <c r="AY73" s="238">
        <v>0</v>
      </c>
      <c r="AZ73" s="238">
        <v>0</v>
      </c>
      <c r="BA73" s="238">
        <v>0</v>
      </c>
      <c r="BB73" s="238">
        <v>0</v>
      </c>
      <c r="BC73" s="238">
        <v>0</v>
      </c>
      <c r="BD73" s="238">
        <v>0</v>
      </c>
      <c r="BE73" s="238">
        <v>0</v>
      </c>
      <c r="BF73" s="238">
        <v>0</v>
      </c>
      <c r="BG73" s="238">
        <v>0</v>
      </c>
      <c r="BH73" s="238">
        <v>0</v>
      </c>
      <c r="BI73" s="238">
        <v>0</v>
      </c>
      <c r="BJ73" s="238">
        <v>0</v>
      </c>
      <c r="BK73" s="238">
        <v>0</v>
      </c>
      <c r="BL73" s="238">
        <v>0</v>
      </c>
      <c r="BM73" s="238">
        <v>0</v>
      </c>
      <c r="BN73" s="238">
        <v>0</v>
      </c>
      <c r="BO73" s="238">
        <v>0</v>
      </c>
      <c r="BP73" s="238">
        <v>0</v>
      </c>
      <c r="BQ73" s="238">
        <v>0</v>
      </c>
      <c r="BR73" s="238">
        <v>0</v>
      </c>
      <c r="BS73" s="238">
        <v>0</v>
      </c>
      <c r="BT73" s="238">
        <v>0</v>
      </c>
      <c r="BU73" s="238">
        <v>0</v>
      </c>
      <c r="BV73" s="238">
        <v>0</v>
      </c>
      <c r="BW73" s="238">
        <v>0</v>
      </c>
      <c r="BX73" s="238">
        <v>0</v>
      </c>
      <c r="BY73" s="238">
        <v>0</v>
      </c>
      <c r="BZ73" s="238">
        <v>0</v>
      </c>
      <c r="CA73" s="238">
        <v>0</v>
      </c>
      <c r="CB73" s="238">
        <v>0</v>
      </c>
      <c r="CC73" s="238">
        <v>0</v>
      </c>
      <c r="CD73" s="238">
        <v>0</v>
      </c>
      <c r="CE73" s="28">
        <v>0</v>
      </c>
    </row>
    <row r="74" spans="1:83" x14ac:dyDescent="0.35">
      <c r="A74" s="29" t="s">
        <v>274</v>
      </c>
      <c r="B74" s="30"/>
      <c r="C74" s="238">
        <v>0</v>
      </c>
      <c r="D74" s="238">
        <v>0</v>
      </c>
      <c r="E74" s="238">
        <v>0</v>
      </c>
      <c r="F74" s="238">
        <v>0</v>
      </c>
      <c r="G74" s="238">
        <v>0</v>
      </c>
      <c r="H74" s="238">
        <v>0</v>
      </c>
      <c r="I74" s="238">
        <v>0</v>
      </c>
      <c r="J74" s="238">
        <v>0</v>
      </c>
      <c r="K74" s="238">
        <v>0</v>
      </c>
      <c r="L74" s="238">
        <v>0</v>
      </c>
      <c r="M74" s="238">
        <v>0</v>
      </c>
      <c r="N74" s="238">
        <v>0</v>
      </c>
      <c r="O74" s="238">
        <v>0</v>
      </c>
      <c r="P74" s="238">
        <v>0</v>
      </c>
      <c r="Q74" s="238">
        <v>0</v>
      </c>
      <c r="R74" s="238">
        <v>0</v>
      </c>
      <c r="S74" s="238">
        <v>0</v>
      </c>
      <c r="T74" s="238">
        <v>0</v>
      </c>
      <c r="U74" s="238">
        <v>0</v>
      </c>
      <c r="V74" s="238">
        <v>0</v>
      </c>
      <c r="W74" s="238">
        <v>0</v>
      </c>
      <c r="X74" s="238">
        <v>0</v>
      </c>
      <c r="Y74" s="238">
        <v>0</v>
      </c>
      <c r="Z74" s="238">
        <v>0</v>
      </c>
      <c r="AA74" s="238">
        <v>0</v>
      </c>
      <c r="AB74" s="238">
        <v>0</v>
      </c>
      <c r="AC74" s="238">
        <v>0</v>
      </c>
      <c r="AD74" s="238">
        <v>0</v>
      </c>
      <c r="AE74" s="238">
        <v>0</v>
      </c>
      <c r="AF74" s="238">
        <v>0</v>
      </c>
      <c r="AG74" s="238">
        <v>0</v>
      </c>
      <c r="AH74" s="238">
        <v>0</v>
      </c>
      <c r="AI74" s="238">
        <v>0</v>
      </c>
      <c r="AJ74" s="238">
        <v>0</v>
      </c>
      <c r="AK74" s="238">
        <v>0</v>
      </c>
      <c r="AL74" s="238">
        <v>0</v>
      </c>
      <c r="AM74" s="238">
        <v>0</v>
      </c>
      <c r="AN74" s="238">
        <v>0</v>
      </c>
      <c r="AO74" s="238">
        <v>0</v>
      </c>
      <c r="AP74" s="238">
        <v>0</v>
      </c>
      <c r="AQ74" s="238">
        <v>0</v>
      </c>
      <c r="AR74" s="238">
        <v>0</v>
      </c>
      <c r="AS74" s="238">
        <v>0</v>
      </c>
      <c r="AT74" s="238">
        <v>0</v>
      </c>
      <c r="AU74" s="238">
        <v>0</v>
      </c>
      <c r="AV74" s="238">
        <v>0</v>
      </c>
      <c r="AW74" s="238">
        <v>0</v>
      </c>
      <c r="AX74" s="238">
        <v>0</v>
      </c>
      <c r="AY74" s="238">
        <v>0</v>
      </c>
      <c r="AZ74" s="238">
        <v>0</v>
      </c>
      <c r="BA74" s="238">
        <v>0</v>
      </c>
      <c r="BB74" s="238">
        <v>0</v>
      </c>
      <c r="BC74" s="238">
        <v>0</v>
      </c>
      <c r="BD74" s="238">
        <v>0</v>
      </c>
      <c r="BE74" s="238">
        <v>0</v>
      </c>
      <c r="BF74" s="238">
        <v>0</v>
      </c>
      <c r="BG74" s="238">
        <v>0</v>
      </c>
      <c r="BH74" s="238">
        <v>0</v>
      </c>
      <c r="BI74" s="238">
        <v>0</v>
      </c>
      <c r="BJ74" s="238">
        <v>0</v>
      </c>
      <c r="BK74" s="238">
        <v>0</v>
      </c>
      <c r="BL74" s="238">
        <v>0</v>
      </c>
      <c r="BM74" s="238">
        <v>0</v>
      </c>
      <c r="BN74" s="238">
        <v>0</v>
      </c>
      <c r="BO74" s="238">
        <v>0</v>
      </c>
      <c r="BP74" s="238">
        <v>0</v>
      </c>
      <c r="BQ74" s="238">
        <v>0</v>
      </c>
      <c r="BR74" s="238">
        <v>0</v>
      </c>
      <c r="BS74" s="238">
        <v>0</v>
      </c>
      <c r="BT74" s="238">
        <v>0</v>
      </c>
      <c r="BU74" s="238">
        <v>0</v>
      </c>
      <c r="BV74" s="238">
        <v>0</v>
      </c>
      <c r="BW74" s="238">
        <v>0</v>
      </c>
      <c r="BX74" s="238">
        <v>0</v>
      </c>
      <c r="BY74" s="238">
        <v>0</v>
      </c>
      <c r="BZ74" s="238">
        <v>0</v>
      </c>
      <c r="CA74" s="238">
        <v>0</v>
      </c>
      <c r="CB74" s="238">
        <v>0</v>
      </c>
      <c r="CC74" s="238">
        <v>0</v>
      </c>
      <c r="CD74" s="238">
        <v>0</v>
      </c>
      <c r="CE74" s="28">
        <v>0</v>
      </c>
    </row>
    <row r="75" spans="1:83" x14ac:dyDescent="0.35">
      <c r="A75" s="29" t="s">
        <v>275</v>
      </c>
      <c r="B75" s="30"/>
      <c r="C75" s="238">
        <v>0</v>
      </c>
      <c r="D75" s="238">
        <v>0</v>
      </c>
      <c r="E75" s="238">
        <v>0</v>
      </c>
      <c r="F75" s="238">
        <v>0</v>
      </c>
      <c r="G75" s="238">
        <v>0</v>
      </c>
      <c r="H75" s="238">
        <v>0</v>
      </c>
      <c r="I75" s="238">
        <v>0</v>
      </c>
      <c r="J75" s="238">
        <v>0</v>
      </c>
      <c r="K75" s="238">
        <v>0</v>
      </c>
      <c r="L75" s="238">
        <v>0</v>
      </c>
      <c r="M75" s="238">
        <v>0</v>
      </c>
      <c r="N75" s="238">
        <v>0</v>
      </c>
      <c r="O75" s="238">
        <v>0</v>
      </c>
      <c r="P75" s="238">
        <v>0</v>
      </c>
      <c r="Q75" s="238">
        <v>0</v>
      </c>
      <c r="R75" s="238">
        <v>0</v>
      </c>
      <c r="S75" s="238">
        <v>0</v>
      </c>
      <c r="T75" s="238">
        <v>0</v>
      </c>
      <c r="U75" s="238">
        <v>0</v>
      </c>
      <c r="V75" s="238">
        <v>0</v>
      </c>
      <c r="W75" s="238">
        <v>0</v>
      </c>
      <c r="X75" s="238">
        <v>0</v>
      </c>
      <c r="Y75" s="238">
        <v>0</v>
      </c>
      <c r="Z75" s="238">
        <v>0</v>
      </c>
      <c r="AA75" s="238">
        <v>0</v>
      </c>
      <c r="AB75" s="238">
        <v>0</v>
      </c>
      <c r="AC75" s="238">
        <v>0</v>
      </c>
      <c r="AD75" s="238">
        <v>0</v>
      </c>
      <c r="AE75" s="238">
        <v>0</v>
      </c>
      <c r="AF75" s="238">
        <v>0</v>
      </c>
      <c r="AG75" s="238">
        <v>0</v>
      </c>
      <c r="AH75" s="238">
        <v>0</v>
      </c>
      <c r="AI75" s="238">
        <v>0</v>
      </c>
      <c r="AJ75" s="238">
        <v>0</v>
      </c>
      <c r="AK75" s="238">
        <v>0</v>
      </c>
      <c r="AL75" s="238">
        <v>0</v>
      </c>
      <c r="AM75" s="238">
        <v>0</v>
      </c>
      <c r="AN75" s="238">
        <v>0</v>
      </c>
      <c r="AO75" s="238">
        <v>0</v>
      </c>
      <c r="AP75" s="238">
        <v>0</v>
      </c>
      <c r="AQ75" s="238">
        <v>0</v>
      </c>
      <c r="AR75" s="238">
        <v>0</v>
      </c>
      <c r="AS75" s="238">
        <v>0</v>
      </c>
      <c r="AT75" s="238">
        <v>0</v>
      </c>
      <c r="AU75" s="238">
        <v>0</v>
      </c>
      <c r="AV75" s="238">
        <v>0</v>
      </c>
      <c r="AW75" s="238">
        <v>0</v>
      </c>
      <c r="AX75" s="238">
        <v>0</v>
      </c>
      <c r="AY75" s="238">
        <v>0</v>
      </c>
      <c r="AZ75" s="238">
        <v>0</v>
      </c>
      <c r="BA75" s="238">
        <v>0</v>
      </c>
      <c r="BB75" s="238">
        <v>0</v>
      </c>
      <c r="BC75" s="238">
        <v>0</v>
      </c>
      <c r="BD75" s="238">
        <v>0</v>
      </c>
      <c r="BE75" s="238">
        <v>0</v>
      </c>
      <c r="BF75" s="238">
        <v>0</v>
      </c>
      <c r="BG75" s="238">
        <v>0</v>
      </c>
      <c r="BH75" s="238">
        <v>0</v>
      </c>
      <c r="BI75" s="238">
        <v>0</v>
      </c>
      <c r="BJ75" s="238">
        <v>0</v>
      </c>
      <c r="BK75" s="238">
        <v>0</v>
      </c>
      <c r="BL75" s="238">
        <v>0</v>
      </c>
      <c r="BM75" s="238">
        <v>0</v>
      </c>
      <c r="BN75" s="238">
        <v>0</v>
      </c>
      <c r="BO75" s="238">
        <v>0</v>
      </c>
      <c r="BP75" s="238">
        <v>0</v>
      </c>
      <c r="BQ75" s="238">
        <v>0</v>
      </c>
      <c r="BR75" s="238">
        <v>0</v>
      </c>
      <c r="BS75" s="238">
        <v>0</v>
      </c>
      <c r="BT75" s="238">
        <v>0</v>
      </c>
      <c r="BU75" s="238">
        <v>0</v>
      </c>
      <c r="BV75" s="238">
        <v>0</v>
      </c>
      <c r="BW75" s="238">
        <v>0</v>
      </c>
      <c r="BX75" s="238">
        <v>0</v>
      </c>
      <c r="BY75" s="238">
        <v>0</v>
      </c>
      <c r="BZ75" s="238">
        <v>0</v>
      </c>
      <c r="CA75" s="238">
        <v>0</v>
      </c>
      <c r="CB75" s="238">
        <v>0</v>
      </c>
      <c r="CC75" s="238">
        <v>0</v>
      </c>
      <c r="CD75" s="238">
        <v>0</v>
      </c>
      <c r="CE75" s="28">
        <v>0</v>
      </c>
    </row>
    <row r="76" spans="1:83" x14ac:dyDescent="0.35">
      <c r="A76" s="29" t="s">
        <v>276</v>
      </c>
      <c r="B76" s="212"/>
      <c r="C76" s="238">
        <v>0</v>
      </c>
      <c r="D76" s="238">
        <v>0</v>
      </c>
      <c r="E76" s="238">
        <v>0</v>
      </c>
      <c r="F76" s="238">
        <v>0</v>
      </c>
      <c r="G76" s="238">
        <v>0</v>
      </c>
      <c r="H76" s="238">
        <v>0</v>
      </c>
      <c r="I76" s="238">
        <v>0</v>
      </c>
      <c r="J76" s="238">
        <v>0</v>
      </c>
      <c r="K76" s="238">
        <v>0</v>
      </c>
      <c r="L76" s="238">
        <v>0</v>
      </c>
      <c r="M76" s="238">
        <v>0</v>
      </c>
      <c r="N76" s="238">
        <v>0</v>
      </c>
      <c r="O76" s="238">
        <v>0</v>
      </c>
      <c r="P76" s="238">
        <v>0</v>
      </c>
      <c r="Q76" s="238">
        <v>0</v>
      </c>
      <c r="R76" s="238">
        <v>0</v>
      </c>
      <c r="S76" s="238">
        <v>0</v>
      </c>
      <c r="T76" s="238">
        <v>0</v>
      </c>
      <c r="U76" s="238">
        <v>0</v>
      </c>
      <c r="V76" s="238">
        <v>0</v>
      </c>
      <c r="W76" s="238">
        <v>0</v>
      </c>
      <c r="X76" s="238">
        <v>0</v>
      </c>
      <c r="Y76" s="238">
        <v>0</v>
      </c>
      <c r="Z76" s="238">
        <v>0</v>
      </c>
      <c r="AA76" s="238">
        <v>0</v>
      </c>
      <c r="AB76" s="238">
        <v>0</v>
      </c>
      <c r="AC76" s="238">
        <v>0</v>
      </c>
      <c r="AD76" s="238">
        <v>0</v>
      </c>
      <c r="AE76" s="238">
        <v>0</v>
      </c>
      <c r="AF76" s="238">
        <v>0</v>
      </c>
      <c r="AG76" s="238">
        <v>0</v>
      </c>
      <c r="AH76" s="238">
        <v>0</v>
      </c>
      <c r="AI76" s="238">
        <v>0</v>
      </c>
      <c r="AJ76" s="238">
        <v>0</v>
      </c>
      <c r="AK76" s="238">
        <v>0</v>
      </c>
      <c r="AL76" s="238">
        <v>0</v>
      </c>
      <c r="AM76" s="238">
        <v>0</v>
      </c>
      <c r="AN76" s="238">
        <v>0</v>
      </c>
      <c r="AO76" s="238">
        <v>0</v>
      </c>
      <c r="AP76" s="238">
        <v>0</v>
      </c>
      <c r="AQ76" s="238">
        <v>0</v>
      </c>
      <c r="AR76" s="238">
        <v>0</v>
      </c>
      <c r="AS76" s="238">
        <v>0</v>
      </c>
      <c r="AT76" s="238">
        <v>0</v>
      </c>
      <c r="AU76" s="238">
        <v>0</v>
      </c>
      <c r="AV76" s="238">
        <v>0</v>
      </c>
      <c r="AW76" s="238">
        <v>0</v>
      </c>
      <c r="AX76" s="238">
        <v>0</v>
      </c>
      <c r="AY76" s="238">
        <v>0</v>
      </c>
      <c r="AZ76" s="238">
        <v>0</v>
      </c>
      <c r="BA76" s="238">
        <v>0</v>
      </c>
      <c r="BB76" s="238">
        <v>0</v>
      </c>
      <c r="BC76" s="238">
        <v>0</v>
      </c>
      <c r="BD76" s="238">
        <v>0</v>
      </c>
      <c r="BE76" s="238">
        <v>0</v>
      </c>
      <c r="BF76" s="238">
        <v>0</v>
      </c>
      <c r="BG76" s="238">
        <v>0</v>
      </c>
      <c r="BH76" s="238">
        <v>0</v>
      </c>
      <c r="BI76" s="238">
        <v>0</v>
      </c>
      <c r="BJ76" s="238">
        <v>0</v>
      </c>
      <c r="BK76" s="238">
        <v>0</v>
      </c>
      <c r="BL76" s="238">
        <v>0</v>
      </c>
      <c r="BM76" s="238">
        <v>0</v>
      </c>
      <c r="BN76" s="238">
        <v>0</v>
      </c>
      <c r="BO76" s="238">
        <v>0</v>
      </c>
      <c r="BP76" s="238">
        <v>0</v>
      </c>
      <c r="BQ76" s="238">
        <v>0</v>
      </c>
      <c r="BR76" s="238">
        <v>0</v>
      </c>
      <c r="BS76" s="238">
        <v>0</v>
      </c>
      <c r="BT76" s="238">
        <v>0</v>
      </c>
      <c r="BU76" s="238">
        <v>0</v>
      </c>
      <c r="BV76" s="238">
        <v>0</v>
      </c>
      <c r="BW76" s="238">
        <v>0</v>
      </c>
      <c r="BX76" s="238">
        <v>0</v>
      </c>
      <c r="BY76" s="238">
        <v>0</v>
      </c>
      <c r="BZ76" s="238">
        <v>0</v>
      </c>
      <c r="CA76" s="238">
        <v>0</v>
      </c>
      <c r="CB76" s="238">
        <v>0</v>
      </c>
      <c r="CC76" s="238">
        <v>0</v>
      </c>
      <c r="CD76" s="238">
        <v>0</v>
      </c>
      <c r="CE76" s="28">
        <v>0</v>
      </c>
    </row>
    <row r="77" spans="1:83" x14ac:dyDescent="0.35">
      <c r="A77" s="29" t="s">
        <v>277</v>
      </c>
      <c r="B77" s="30"/>
      <c r="C77" s="238">
        <v>0</v>
      </c>
      <c r="D77" s="238">
        <v>0</v>
      </c>
      <c r="E77" s="238">
        <v>0</v>
      </c>
      <c r="F77" s="238">
        <v>0</v>
      </c>
      <c r="G77" s="238">
        <v>0</v>
      </c>
      <c r="H77" s="238">
        <v>0</v>
      </c>
      <c r="I77" s="238">
        <v>0</v>
      </c>
      <c r="J77" s="238">
        <v>0</v>
      </c>
      <c r="K77" s="238">
        <v>0</v>
      </c>
      <c r="L77" s="238">
        <v>0</v>
      </c>
      <c r="M77" s="238">
        <v>0</v>
      </c>
      <c r="N77" s="238">
        <v>0</v>
      </c>
      <c r="O77" s="238">
        <v>0</v>
      </c>
      <c r="P77" s="238">
        <v>0</v>
      </c>
      <c r="Q77" s="238">
        <v>0</v>
      </c>
      <c r="R77" s="238">
        <v>0</v>
      </c>
      <c r="S77" s="238">
        <v>0</v>
      </c>
      <c r="T77" s="238">
        <v>0</v>
      </c>
      <c r="U77" s="238">
        <v>0</v>
      </c>
      <c r="V77" s="238">
        <v>0</v>
      </c>
      <c r="W77" s="238">
        <v>0</v>
      </c>
      <c r="X77" s="238">
        <v>0</v>
      </c>
      <c r="Y77" s="238">
        <v>0</v>
      </c>
      <c r="Z77" s="238">
        <v>0</v>
      </c>
      <c r="AA77" s="238">
        <v>0</v>
      </c>
      <c r="AB77" s="238">
        <v>0</v>
      </c>
      <c r="AC77" s="238">
        <v>0</v>
      </c>
      <c r="AD77" s="238">
        <v>0</v>
      </c>
      <c r="AE77" s="238">
        <v>0</v>
      </c>
      <c r="AF77" s="238">
        <v>0</v>
      </c>
      <c r="AG77" s="238">
        <v>0</v>
      </c>
      <c r="AH77" s="238">
        <v>0</v>
      </c>
      <c r="AI77" s="238">
        <v>0</v>
      </c>
      <c r="AJ77" s="238">
        <v>0</v>
      </c>
      <c r="AK77" s="238">
        <v>0</v>
      </c>
      <c r="AL77" s="238">
        <v>0</v>
      </c>
      <c r="AM77" s="238">
        <v>0</v>
      </c>
      <c r="AN77" s="238">
        <v>0</v>
      </c>
      <c r="AO77" s="238">
        <v>0</v>
      </c>
      <c r="AP77" s="238">
        <v>0</v>
      </c>
      <c r="AQ77" s="238">
        <v>0</v>
      </c>
      <c r="AR77" s="238">
        <v>0</v>
      </c>
      <c r="AS77" s="238">
        <v>0</v>
      </c>
      <c r="AT77" s="238">
        <v>0</v>
      </c>
      <c r="AU77" s="238">
        <v>0</v>
      </c>
      <c r="AV77" s="238">
        <v>0</v>
      </c>
      <c r="AW77" s="238">
        <v>0</v>
      </c>
      <c r="AX77" s="238">
        <v>0</v>
      </c>
      <c r="AY77" s="238">
        <v>0</v>
      </c>
      <c r="AZ77" s="238">
        <v>0</v>
      </c>
      <c r="BA77" s="238">
        <v>0</v>
      </c>
      <c r="BB77" s="238">
        <v>0</v>
      </c>
      <c r="BC77" s="238">
        <v>0</v>
      </c>
      <c r="BD77" s="238">
        <v>0</v>
      </c>
      <c r="BE77" s="238">
        <v>0</v>
      </c>
      <c r="BF77" s="238">
        <v>0</v>
      </c>
      <c r="BG77" s="238">
        <v>0</v>
      </c>
      <c r="BH77" s="238">
        <v>0</v>
      </c>
      <c r="BI77" s="238">
        <v>0</v>
      </c>
      <c r="BJ77" s="238">
        <v>0</v>
      </c>
      <c r="BK77" s="238">
        <v>0</v>
      </c>
      <c r="BL77" s="238">
        <v>0</v>
      </c>
      <c r="BM77" s="238">
        <v>0</v>
      </c>
      <c r="BN77" s="238">
        <v>0</v>
      </c>
      <c r="BO77" s="238">
        <v>0</v>
      </c>
      <c r="BP77" s="238">
        <v>0</v>
      </c>
      <c r="BQ77" s="238">
        <v>0</v>
      </c>
      <c r="BR77" s="238">
        <v>0</v>
      </c>
      <c r="BS77" s="238">
        <v>0</v>
      </c>
      <c r="BT77" s="238">
        <v>0</v>
      </c>
      <c r="BU77" s="238">
        <v>0</v>
      </c>
      <c r="BV77" s="238">
        <v>0</v>
      </c>
      <c r="BW77" s="238">
        <v>0</v>
      </c>
      <c r="BX77" s="238">
        <v>0</v>
      </c>
      <c r="BY77" s="238">
        <v>0</v>
      </c>
      <c r="BZ77" s="238">
        <v>0</v>
      </c>
      <c r="CA77" s="238">
        <v>0</v>
      </c>
      <c r="CB77" s="238">
        <v>0</v>
      </c>
      <c r="CC77" s="238">
        <v>0</v>
      </c>
      <c r="CD77" s="238">
        <v>0</v>
      </c>
      <c r="CE77" s="28">
        <v>0</v>
      </c>
    </row>
    <row r="78" spans="1:83" x14ac:dyDescent="0.35">
      <c r="A78" s="29" t="s">
        <v>278</v>
      </c>
      <c r="B78" s="16"/>
      <c r="C78" s="238">
        <v>0</v>
      </c>
      <c r="D78" s="238">
        <v>0</v>
      </c>
      <c r="E78" s="238">
        <v>0</v>
      </c>
      <c r="F78" s="238">
        <v>0</v>
      </c>
      <c r="G78" s="238">
        <v>0</v>
      </c>
      <c r="H78" s="238">
        <v>0</v>
      </c>
      <c r="I78" s="238">
        <v>0</v>
      </c>
      <c r="J78" s="238">
        <v>0</v>
      </c>
      <c r="K78" s="238">
        <v>0</v>
      </c>
      <c r="L78" s="238">
        <v>0</v>
      </c>
      <c r="M78" s="238">
        <v>0</v>
      </c>
      <c r="N78" s="238">
        <v>0</v>
      </c>
      <c r="O78" s="238">
        <v>0</v>
      </c>
      <c r="P78" s="238">
        <v>0</v>
      </c>
      <c r="Q78" s="238">
        <v>0</v>
      </c>
      <c r="R78" s="238">
        <v>0</v>
      </c>
      <c r="S78" s="238">
        <v>0</v>
      </c>
      <c r="T78" s="238">
        <v>0</v>
      </c>
      <c r="U78" s="238">
        <v>0</v>
      </c>
      <c r="V78" s="238">
        <v>0</v>
      </c>
      <c r="W78" s="238">
        <v>0</v>
      </c>
      <c r="X78" s="238">
        <v>0</v>
      </c>
      <c r="Y78" s="238">
        <v>0</v>
      </c>
      <c r="Z78" s="238">
        <v>0</v>
      </c>
      <c r="AA78" s="238">
        <v>0</v>
      </c>
      <c r="AB78" s="238">
        <v>0</v>
      </c>
      <c r="AC78" s="238">
        <v>0</v>
      </c>
      <c r="AD78" s="238">
        <v>0</v>
      </c>
      <c r="AE78" s="238">
        <v>0</v>
      </c>
      <c r="AF78" s="238">
        <v>0</v>
      </c>
      <c r="AG78" s="238">
        <v>0</v>
      </c>
      <c r="AH78" s="238">
        <v>0</v>
      </c>
      <c r="AI78" s="238">
        <v>0</v>
      </c>
      <c r="AJ78" s="238">
        <v>0</v>
      </c>
      <c r="AK78" s="238">
        <v>0</v>
      </c>
      <c r="AL78" s="238">
        <v>0</v>
      </c>
      <c r="AM78" s="238">
        <v>0</v>
      </c>
      <c r="AN78" s="238">
        <v>0</v>
      </c>
      <c r="AO78" s="238">
        <v>0</v>
      </c>
      <c r="AP78" s="238">
        <v>0</v>
      </c>
      <c r="AQ78" s="238">
        <v>0</v>
      </c>
      <c r="AR78" s="238">
        <v>0</v>
      </c>
      <c r="AS78" s="238">
        <v>0</v>
      </c>
      <c r="AT78" s="238">
        <v>0</v>
      </c>
      <c r="AU78" s="238">
        <v>0</v>
      </c>
      <c r="AV78" s="238">
        <v>0</v>
      </c>
      <c r="AW78" s="238">
        <v>0</v>
      </c>
      <c r="AX78" s="238">
        <v>0</v>
      </c>
      <c r="AY78" s="238">
        <v>0</v>
      </c>
      <c r="AZ78" s="238">
        <v>0</v>
      </c>
      <c r="BA78" s="238">
        <v>0</v>
      </c>
      <c r="BB78" s="238">
        <v>0</v>
      </c>
      <c r="BC78" s="238">
        <v>0</v>
      </c>
      <c r="BD78" s="238">
        <v>0</v>
      </c>
      <c r="BE78" s="238">
        <v>0</v>
      </c>
      <c r="BF78" s="238">
        <v>0</v>
      </c>
      <c r="BG78" s="238">
        <v>0</v>
      </c>
      <c r="BH78" s="238">
        <v>0</v>
      </c>
      <c r="BI78" s="238">
        <v>0</v>
      </c>
      <c r="BJ78" s="238">
        <v>0</v>
      </c>
      <c r="BK78" s="238">
        <v>0</v>
      </c>
      <c r="BL78" s="238">
        <v>0</v>
      </c>
      <c r="BM78" s="238">
        <v>0</v>
      </c>
      <c r="BN78" s="238">
        <v>0</v>
      </c>
      <c r="BO78" s="238">
        <v>0</v>
      </c>
      <c r="BP78" s="238">
        <v>0</v>
      </c>
      <c r="BQ78" s="238">
        <v>0</v>
      </c>
      <c r="BR78" s="238">
        <v>0</v>
      </c>
      <c r="BS78" s="238">
        <v>0</v>
      </c>
      <c r="BT78" s="238">
        <v>0</v>
      </c>
      <c r="BU78" s="238">
        <v>0</v>
      </c>
      <c r="BV78" s="238">
        <v>0</v>
      </c>
      <c r="BW78" s="238">
        <v>0</v>
      </c>
      <c r="BX78" s="238">
        <v>0</v>
      </c>
      <c r="BY78" s="238">
        <v>0</v>
      </c>
      <c r="BZ78" s="238">
        <v>0</v>
      </c>
      <c r="CA78" s="238">
        <v>0</v>
      </c>
      <c r="CB78" s="238">
        <v>0</v>
      </c>
      <c r="CC78" s="238">
        <v>0</v>
      </c>
      <c r="CD78" s="238">
        <v>0</v>
      </c>
      <c r="CE78" s="28">
        <v>0</v>
      </c>
    </row>
    <row r="79" spans="1:83" x14ac:dyDescent="0.35">
      <c r="A79" s="29" t="s">
        <v>279</v>
      </c>
      <c r="B79" s="16"/>
      <c r="C79" s="238">
        <v>0</v>
      </c>
      <c r="D79" s="238">
        <v>0</v>
      </c>
      <c r="E79" s="238">
        <v>0</v>
      </c>
      <c r="F79" s="238">
        <v>0</v>
      </c>
      <c r="G79" s="238">
        <v>0</v>
      </c>
      <c r="H79" s="238">
        <v>0</v>
      </c>
      <c r="I79" s="238">
        <v>0</v>
      </c>
      <c r="J79" s="238">
        <v>0</v>
      </c>
      <c r="K79" s="238">
        <v>0</v>
      </c>
      <c r="L79" s="238">
        <v>0</v>
      </c>
      <c r="M79" s="238">
        <v>0</v>
      </c>
      <c r="N79" s="238">
        <v>0</v>
      </c>
      <c r="O79" s="238">
        <v>0</v>
      </c>
      <c r="P79" s="238">
        <v>0</v>
      </c>
      <c r="Q79" s="238">
        <v>0</v>
      </c>
      <c r="R79" s="238">
        <v>0</v>
      </c>
      <c r="S79" s="238">
        <v>0</v>
      </c>
      <c r="T79" s="238">
        <v>0</v>
      </c>
      <c r="U79" s="238">
        <v>0</v>
      </c>
      <c r="V79" s="238">
        <v>0</v>
      </c>
      <c r="W79" s="238">
        <v>0</v>
      </c>
      <c r="X79" s="238">
        <v>0</v>
      </c>
      <c r="Y79" s="238">
        <v>0</v>
      </c>
      <c r="Z79" s="238">
        <v>0</v>
      </c>
      <c r="AA79" s="238">
        <v>0</v>
      </c>
      <c r="AB79" s="238">
        <v>0</v>
      </c>
      <c r="AC79" s="238">
        <v>0</v>
      </c>
      <c r="AD79" s="238">
        <v>0</v>
      </c>
      <c r="AE79" s="238">
        <v>0</v>
      </c>
      <c r="AF79" s="238">
        <v>0</v>
      </c>
      <c r="AG79" s="238">
        <v>0</v>
      </c>
      <c r="AH79" s="238">
        <v>0</v>
      </c>
      <c r="AI79" s="238">
        <v>0</v>
      </c>
      <c r="AJ79" s="238">
        <v>0</v>
      </c>
      <c r="AK79" s="238">
        <v>0</v>
      </c>
      <c r="AL79" s="238">
        <v>0</v>
      </c>
      <c r="AM79" s="238">
        <v>0</v>
      </c>
      <c r="AN79" s="238">
        <v>0</v>
      </c>
      <c r="AO79" s="238">
        <v>0</v>
      </c>
      <c r="AP79" s="238">
        <v>0</v>
      </c>
      <c r="AQ79" s="238">
        <v>0</v>
      </c>
      <c r="AR79" s="238">
        <v>0</v>
      </c>
      <c r="AS79" s="238">
        <v>0</v>
      </c>
      <c r="AT79" s="238">
        <v>0</v>
      </c>
      <c r="AU79" s="238">
        <v>0</v>
      </c>
      <c r="AV79" s="238">
        <v>0</v>
      </c>
      <c r="AW79" s="238">
        <v>0</v>
      </c>
      <c r="AX79" s="238">
        <v>0</v>
      </c>
      <c r="AY79" s="238">
        <v>0</v>
      </c>
      <c r="AZ79" s="238">
        <v>0</v>
      </c>
      <c r="BA79" s="238">
        <v>0</v>
      </c>
      <c r="BB79" s="238">
        <v>0</v>
      </c>
      <c r="BC79" s="238">
        <v>0</v>
      </c>
      <c r="BD79" s="238">
        <v>0</v>
      </c>
      <c r="BE79" s="238">
        <v>0</v>
      </c>
      <c r="BF79" s="238">
        <v>0</v>
      </c>
      <c r="BG79" s="238">
        <v>0</v>
      </c>
      <c r="BH79" s="238">
        <v>0</v>
      </c>
      <c r="BI79" s="238">
        <v>0</v>
      </c>
      <c r="BJ79" s="238">
        <v>0</v>
      </c>
      <c r="BK79" s="238">
        <v>0</v>
      </c>
      <c r="BL79" s="238">
        <v>0</v>
      </c>
      <c r="BM79" s="238">
        <v>0</v>
      </c>
      <c r="BN79" s="238">
        <v>0</v>
      </c>
      <c r="BO79" s="238">
        <v>0</v>
      </c>
      <c r="BP79" s="238">
        <v>0</v>
      </c>
      <c r="BQ79" s="238">
        <v>0</v>
      </c>
      <c r="BR79" s="238">
        <v>0</v>
      </c>
      <c r="BS79" s="238">
        <v>0</v>
      </c>
      <c r="BT79" s="238">
        <v>0</v>
      </c>
      <c r="BU79" s="238">
        <v>0</v>
      </c>
      <c r="BV79" s="238">
        <v>0</v>
      </c>
      <c r="BW79" s="238">
        <v>224658</v>
      </c>
      <c r="BX79" s="238">
        <v>0</v>
      </c>
      <c r="BY79" s="238">
        <v>0</v>
      </c>
      <c r="BZ79" s="238">
        <v>0</v>
      </c>
      <c r="CA79" s="238">
        <v>0</v>
      </c>
      <c r="CB79" s="238">
        <v>0</v>
      </c>
      <c r="CC79" s="238">
        <v>0</v>
      </c>
      <c r="CD79" s="238">
        <v>0</v>
      </c>
      <c r="CE79" s="28">
        <v>224658</v>
      </c>
    </row>
    <row r="80" spans="1:83" x14ac:dyDescent="0.35">
      <c r="A80" s="29" t="s">
        <v>280</v>
      </c>
      <c r="B80" s="16"/>
      <c r="C80" s="238">
        <v>0</v>
      </c>
      <c r="D80" s="238">
        <v>0</v>
      </c>
      <c r="E80" s="238">
        <v>0</v>
      </c>
      <c r="F80" s="238">
        <v>0</v>
      </c>
      <c r="G80" s="238">
        <v>0</v>
      </c>
      <c r="H80" s="238">
        <v>0</v>
      </c>
      <c r="I80" s="238">
        <v>0</v>
      </c>
      <c r="J80" s="238">
        <v>0</v>
      </c>
      <c r="K80" s="238">
        <v>0</v>
      </c>
      <c r="L80" s="238">
        <v>0</v>
      </c>
      <c r="M80" s="238">
        <v>0</v>
      </c>
      <c r="N80" s="238">
        <v>0</v>
      </c>
      <c r="O80" s="238">
        <v>0</v>
      </c>
      <c r="P80" s="238">
        <v>0</v>
      </c>
      <c r="Q80" s="238">
        <v>0</v>
      </c>
      <c r="R80" s="238">
        <v>0</v>
      </c>
      <c r="S80" s="238">
        <v>0</v>
      </c>
      <c r="T80" s="238">
        <v>0</v>
      </c>
      <c r="U80" s="238">
        <v>0</v>
      </c>
      <c r="V80" s="238">
        <v>0</v>
      </c>
      <c r="W80" s="238">
        <v>0</v>
      </c>
      <c r="X80" s="238">
        <v>0</v>
      </c>
      <c r="Y80" s="238">
        <v>0</v>
      </c>
      <c r="Z80" s="238">
        <v>0</v>
      </c>
      <c r="AA80" s="238">
        <v>0</v>
      </c>
      <c r="AB80" s="238">
        <v>0</v>
      </c>
      <c r="AC80" s="238">
        <v>0</v>
      </c>
      <c r="AD80" s="238">
        <v>0</v>
      </c>
      <c r="AE80" s="238">
        <v>0</v>
      </c>
      <c r="AF80" s="238">
        <v>0</v>
      </c>
      <c r="AG80" s="238">
        <v>0</v>
      </c>
      <c r="AH80" s="238">
        <v>0</v>
      </c>
      <c r="AI80" s="238">
        <v>0</v>
      </c>
      <c r="AJ80" s="238">
        <v>0</v>
      </c>
      <c r="AK80" s="238">
        <v>0</v>
      </c>
      <c r="AL80" s="238">
        <v>0</v>
      </c>
      <c r="AM80" s="238">
        <v>0</v>
      </c>
      <c r="AN80" s="238">
        <v>0</v>
      </c>
      <c r="AO80" s="238">
        <v>0</v>
      </c>
      <c r="AP80" s="238">
        <v>0</v>
      </c>
      <c r="AQ80" s="238">
        <v>0</v>
      </c>
      <c r="AR80" s="238">
        <v>0</v>
      </c>
      <c r="AS80" s="238">
        <v>0</v>
      </c>
      <c r="AT80" s="238">
        <v>0</v>
      </c>
      <c r="AU80" s="238">
        <v>0</v>
      </c>
      <c r="AV80" s="238">
        <v>0</v>
      </c>
      <c r="AW80" s="238">
        <v>0</v>
      </c>
      <c r="AX80" s="238">
        <v>0</v>
      </c>
      <c r="AY80" s="238">
        <v>0</v>
      </c>
      <c r="AZ80" s="238">
        <v>0</v>
      </c>
      <c r="BA80" s="238">
        <v>0</v>
      </c>
      <c r="BB80" s="238">
        <v>0</v>
      </c>
      <c r="BC80" s="238">
        <v>0</v>
      </c>
      <c r="BD80" s="238">
        <v>0</v>
      </c>
      <c r="BE80" s="238">
        <v>0</v>
      </c>
      <c r="BF80" s="238">
        <v>0</v>
      </c>
      <c r="BG80" s="238">
        <v>0</v>
      </c>
      <c r="BH80" s="238">
        <v>0</v>
      </c>
      <c r="BI80" s="238">
        <v>0</v>
      </c>
      <c r="BJ80" s="238">
        <v>0</v>
      </c>
      <c r="BK80" s="238">
        <v>0</v>
      </c>
      <c r="BL80" s="238">
        <v>0</v>
      </c>
      <c r="BM80" s="238">
        <v>0</v>
      </c>
      <c r="BN80" s="238">
        <v>0</v>
      </c>
      <c r="BO80" s="238">
        <v>0</v>
      </c>
      <c r="BP80" s="238">
        <v>0</v>
      </c>
      <c r="BQ80" s="238">
        <v>0</v>
      </c>
      <c r="BR80" s="238">
        <v>0</v>
      </c>
      <c r="BS80" s="238">
        <v>0</v>
      </c>
      <c r="BT80" s="238">
        <v>0</v>
      </c>
      <c r="BU80" s="238">
        <v>0</v>
      </c>
      <c r="BV80" s="238">
        <v>0</v>
      </c>
      <c r="BW80" s="238">
        <v>0</v>
      </c>
      <c r="BX80" s="238">
        <v>0</v>
      </c>
      <c r="BY80" s="238">
        <v>0</v>
      </c>
      <c r="BZ80" s="238">
        <v>0</v>
      </c>
      <c r="CA80" s="238">
        <v>0</v>
      </c>
      <c r="CB80" s="238">
        <v>0</v>
      </c>
      <c r="CC80" s="238">
        <v>0</v>
      </c>
      <c r="CD80" s="238">
        <v>0</v>
      </c>
      <c r="CE80" s="28">
        <v>0</v>
      </c>
    </row>
    <row r="81" spans="1:84" x14ac:dyDescent="0.35">
      <c r="A81" s="29" t="s">
        <v>281</v>
      </c>
      <c r="B81" s="16"/>
      <c r="C81" s="238">
        <v>0</v>
      </c>
      <c r="D81" s="238">
        <v>0</v>
      </c>
      <c r="E81" s="238">
        <v>0</v>
      </c>
      <c r="F81" s="238">
        <v>0</v>
      </c>
      <c r="G81" s="238">
        <v>0</v>
      </c>
      <c r="H81" s="238">
        <v>0</v>
      </c>
      <c r="I81" s="238">
        <v>0</v>
      </c>
      <c r="J81" s="238">
        <v>0</v>
      </c>
      <c r="K81" s="238">
        <v>0</v>
      </c>
      <c r="L81" s="238">
        <v>0</v>
      </c>
      <c r="M81" s="238">
        <v>0</v>
      </c>
      <c r="N81" s="238">
        <v>0</v>
      </c>
      <c r="O81" s="238">
        <v>0</v>
      </c>
      <c r="P81" s="238">
        <v>0</v>
      </c>
      <c r="Q81" s="238">
        <v>0</v>
      </c>
      <c r="R81" s="238">
        <v>0</v>
      </c>
      <c r="S81" s="238">
        <v>0</v>
      </c>
      <c r="T81" s="238">
        <v>0</v>
      </c>
      <c r="U81" s="238">
        <v>0</v>
      </c>
      <c r="V81" s="238">
        <v>0</v>
      </c>
      <c r="W81" s="238">
        <v>0</v>
      </c>
      <c r="X81" s="238">
        <v>0</v>
      </c>
      <c r="Y81" s="238">
        <v>0</v>
      </c>
      <c r="Z81" s="238">
        <v>0</v>
      </c>
      <c r="AA81" s="238">
        <v>0</v>
      </c>
      <c r="AB81" s="238">
        <v>0</v>
      </c>
      <c r="AC81" s="238">
        <v>0</v>
      </c>
      <c r="AD81" s="238">
        <v>0</v>
      </c>
      <c r="AE81" s="238">
        <v>0</v>
      </c>
      <c r="AF81" s="238">
        <v>0</v>
      </c>
      <c r="AG81" s="238">
        <v>0</v>
      </c>
      <c r="AH81" s="238">
        <v>0</v>
      </c>
      <c r="AI81" s="238">
        <v>0</v>
      </c>
      <c r="AJ81" s="238">
        <v>0</v>
      </c>
      <c r="AK81" s="238">
        <v>0</v>
      </c>
      <c r="AL81" s="238">
        <v>0</v>
      </c>
      <c r="AM81" s="238">
        <v>0</v>
      </c>
      <c r="AN81" s="238">
        <v>0</v>
      </c>
      <c r="AO81" s="238">
        <v>0</v>
      </c>
      <c r="AP81" s="238">
        <v>0</v>
      </c>
      <c r="AQ81" s="238">
        <v>0</v>
      </c>
      <c r="AR81" s="238">
        <v>0</v>
      </c>
      <c r="AS81" s="238">
        <v>0</v>
      </c>
      <c r="AT81" s="238">
        <v>0</v>
      </c>
      <c r="AU81" s="238">
        <v>0</v>
      </c>
      <c r="AV81" s="238">
        <v>0</v>
      </c>
      <c r="AW81" s="238">
        <v>0</v>
      </c>
      <c r="AX81" s="238">
        <v>0</v>
      </c>
      <c r="AY81" s="238">
        <v>0</v>
      </c>
      <c r="AZ81" s="238">
        <v>0</v>
      </c>
      <c r="BA81" s="238">
        <v>0</v>
      </c>
      <c r="BB81" s="238">
        <v>0</v>
      </c>
      <c r="BC81" s="238">
        <v>0</v>
      </c>
      <c r="BD81" s="238">
        <v>0</v>
      </c>
      <c r="BE81" s="238">
        <v>0</v>
      </c>
      <c r="BF81" s="238">
        <v>0</v>
      </c>
      <c r="BG81" s="238">
        <v>0</v>
      </c>
      <c r="BH81" s="238">
        <v>0</v>
      </c>
      <c r="BI81" s="238">
        <v>0</v>
      </c>
      <c r="BJ81" s="238">
        <v>0</v>
      </c>
      <c r="BK81" s="238">
        <v>0</v>
      </c>
      <c r="BL81" s="238">
        <v>0</v>
      </c>
      <c r="BM81" s="238">
        <v>0</v>
      </c>
      <c r="BN81" s="238">
        <v>0</v>
      </c>
      <c r="BO81" s="238">
        <v>0</v>
      </c>
      <c r="BP81" s="238">
        <v>0</v>
      </c>
      <c r="BQ81" s="238">
        <v>0</v>
      </c>
      <c r="BR81" s="238">
        <v>0</v>
      </c>
      <c r="BS81" s="238">
        <v>0</v>
      </c>
      <c r="BT81" s="238">
        <v>0</v>
      </c>
      <c r="BU81" s="238">
        <v>0</v>
      </c>
      <c r="BV81" s="238">
        <v>0</v>
      </c>
      <c r="BW81" s="238">
        <v>0</v>
      </c>
      <c r="BX81" s="238">
        <v>0</v>
      </c>
      <c r="BY81" s="238">
        <v>0</v>
      </c>
      <c r="BZ81" s="238">
        <v>0</v>
      </c>
      <c r="CA81" s="238">
        <v>0</v>
      </c>
      <c r="CB81" s="238">
        <v>0</v>
      </c>
      <c r="CC81" s="238">
        <v>0</v>
      </c>
      <c r="CD81" s="238">
        <v>0</v>
      </c>
      <c r="CE81" s="28">
        <v>0</v>
      </c>
    </row>
    <row r="82" spans="1:84" x14ac:dyDescent="0.35">
      <c r="A82" s="29" t="s">
        <v>282</v>
      </c>
      <c r="B82" s="16"/>
      <c r="C82" s="238">
        <v>0</v>
      </c>
      <c r="D82" s="238">
        <v>0</v>
      </c>
      <c r="E82" s="238">
        <v>0</v>
      </c>
      <c r="F82" s="238">
        <v>0</v>
      </c>
      <c r="G82" s="238">
        <v>0</v>
      </c>
      <c r="H82" s="238">
        <v>0</v>
      </c>
      <c r="I82" s="238">
        <v>0</v>
      </c>
      <c r="J82" s="238">
        <v>0</v>
      </c>
      <c r="K82" s="238">
        <v>0</v>
      </c>
      <c r="L82" s="238">
        <v>0</v>
      </c>
      <c r="M82" s="238">
        <v>0</v>
      </c>
      <c r="N82" s="238">
        <v>0</v>
      </c>
      <c r="O82" s="238">
        <v>0</v>
      </c>
      <c r="P82" s="238">
        <v>0</v>
      </c>
      <c r="Q82" s="238">
        <v>0</v>
      </c>
      <c r="R82" s="238">
        <v>0</v>
      </c>
      <c r="S82" s="238">
        <v>0</v>
      </c>
      <c r="T82" s="238">
        <v>0</v>
      </c>
      <c r="U82" s="238">
        <v>0</v>
      </c>
      <c r="V82" s="238">
        <v>0</v>
      </c>
      <c r="W82" s="238">
        <v>0</v>
      </c>
      <c r="X82" s="238">
        <v>0</v>
      </c>
      <c r="Y82" s="238">
        <v>0</v>
      </c>
      <c r="Z82" s="238">
        <v>0</v>
      </c>
      <c r="AA82" s="238">
        <v>0</v>
      </c>
      <c r="AB82" s="238">
        <v>0</v>
      </c>
      <c r="AC82" s="238">
        <v>0</v>
      </c>
      <c r="AD82" s="238">
        <v>0</v>
      </c>
      <c r="AE82" s="238">
        <v>0</v>
      </c>
      <c r="AF82" s="238">
        <v>0</v>
      </c>
      <c r="AG82" s="238">
        <v>0</v>
      </c>
      <c r="AH82" s="238">
        <v>0</v>
      </c>
      <c r="AI82" s="238">
        <v>0</v>
      </c>
      <c r="AJ82" s="238">
        <v>0</v>
      </c>
      <c r="AK82" s="238">
        <v>0</v>
      </c>
      <c r="AL82" s="238">
        <v>0</v>
      </c>
      <c r="AM82" s="238">
        <v>0</v>
      </c>
      <c r="AN82" s="238">
        <v>0</v>
      </c>
      <c r="AO82" s="238">
        <v>0</v>
      </c>
      <c r="AP82" s="238">
        <v>0</v>
      </c>
      <c r="AQ82" s="238">
        <v>0</v>
      </c>
      <c r="AR82" s="238">
        <v>0</v>
      </c>
      <c r="AS82" s="238">
        <v>0</v>
      </c>
      <c r="AT82" s="238">
        <v>0</v>
      </c>
      <c r="AU82" s="238">
        <v>0</v>
      </c>
      <c r="AV82" s="238">
        <v>0</v>
      </c>
      <c r="AW82" s="238">
        <v>0</v>
      </c>
      <c r="AX82" s="238">
        <v>0</v>
      </c>
      <c r="AY82" s="238">
        <v>0</v>
      </c>
      <c r="AZ82" s="238">
        <v>0</v>
      </c>
      <c r="BA82" s="238">
        <v>0</v>
      </c>
      <c r="BB82" s="238">
        <v>0</v>
      </c>
      <c r="BC82" s="238">
        <v>0</v>
      </c>
      <c r="BD82" s="238">
        <v>0</v>
      </c>
      <c r="BE82" s="238">
        <v>0</v>
      </c>
      <c r="BF82" s="238">
        <v>0</v>
      </c>
      <c r="BG82" s="238">
        <v>0</v>
      </c>
      <c r="BH82" s="238">
        <v>0</v>
      </c>
      <c r="BI82" s="238">
        <v>0</v>
      </c>
      <c r="BJ82" s="238">
        <v>0</v>
      </c>
      <c r="BK82" s="238">
        <v>0</v>
      </c>
      <c r="BL82" s="238">
        <v>0</v>
      </c>
      <c r="BM82" s="238">
        <v>0</v>
      </c>
      <c r="BN82" s="238">
        <v>0</v>
      </c>
      <c r="BO82" s="238">
        <v>0</v>
      </c>
      <c r="BP82" s="238">
        <v>0</v>
      </c>
      <c r="BQ82" s="238">
        <v>0</v>
      </c>
      <c r="BR82" s="238">
        <v>0</v>
      </c>
      <c r="BS82" s="238">
        <v>0</v>
      </c>
      <c r="BT82" s="238">
        <v>0</v>
      </c>
      <c r="BU82" s="238">
        <v>0</v>
      </c>
      <c r="BV82" s="238">
        <v>0</v>
      </c>
      <c r="BW82" s="238">
        <v>0</v>
      </c>
      <c r="BX82" s="238">
        <v>0</v>
      </c>
      <c r="BY82" s="238">
        <v>0</v>
      </c>
      <c r="BZ82" s="238">
        <v>0</v>
      </c>
      <c r="CA82" s="238">
        <v>0</v>
      </c>
      <c r="CB82" s="238">
        <v>0</v>
      </c>
      <c r="CC82" s="238">
        <v>0</v>
      </c>
      <c r="CD82" s="238">
        <v>0</v>
      </c>
      <c r="CE82" s="28">
        <v>0</v>
      </c>
    </row>
    <row r="83" spans="1:84" x14ac:dyDescent="0.35">
      <c r="A83" s="29" t="s">
        <v>283</v>
      </c>
      <c r="B83" s="16"/>
      <c r="C83" s="20">
        <v>980</v>
      </c>
      <c r="D83" s="20">
        <v>0</v>
      </c>
      <c r="E83" s="26">
        <v>25465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19501</v>
      </c>
      <c r="P83" s="26">
        <v>6110</v>
      </c>
      <c r="Q83" s="26">
        <v>0</v>
      </c>
      <c r="R83" s="27">
        <v>0</v>
      </c>
      <c r="S83" s="26">
        <v>3030</v>
      </c>
      <c r="T83" s="20">
        <v>0</v>
      </c>
      <c r="U83" s="26">
        <v>15645</v>
      </c>
      <c r="V83" s="26">
        <v>0</v>
      </c>
      <c r="W83" s="20">
        <v>0</v>
      </c>
      <c r="X83" s="26">
        <v>0</v>
      </c>
      <c r="Y83" s="26">
        <v>20322</v>
      </c>
      <c r="Z83" s="26">
        <v>0</v>
      </c>
      <c r="AA83" s="26">
        <v>0</v>
      </c>
      <c r="AB83" s="26">
        <v>2081</v>
      </c>
      <c r="AC83" s="26">
        <v>131</v>
      </c>
      <c r="AD83" s="26">
        <v>0</v>
      </c>
      <c r="AE83" s="26">
        <v>2348</v>
      </c>
      <c r="AF83" s="26">
        <v>0</v>
      </c>
      <c r="AG83" s="26">
        <v>34031</v>
      </c>
      <c r="AH83" s="26">
        <v>0</v>
      </c>
      <c r="AI83" s="26">
        <v>0</v>
      </c>
      <c r="AJ83" s="26">
        <v>176966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76850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4474</v>
      </c>
      <c r="AZ83" s="26">
        <v>0</v>
      </c>
      <c r="BA83" s="26">
        <v>0</v>
      </c>
      <c r="BB83" s="26">
        <v>813</v>
      </c>
      <c r="BC83" s="26">
        <v>0</v>
      </c>
      <c r="BD83" s="26">
        <v>972</v>
      </c>
      <c r="BE83" s="26">
        <v>12797</v>
      </c>
      <c r="BF83" s="26">
        <v>32</v>
      </c>
      <c r="BG83" s="26">
        <v>0</v>
      </c>
      <c r="BH83" s="27">
        <v>9276</v>
      </c>
      <c r="BI83" s="26">
        <v>0</v>
      </c>
      <c r="BJ83" s="26">
        <v>1222</v>
      </c>
      <c r="BK83" s="26">
        <v>3218</v>
      </c>
      <c r="BL83" s="26">
        <v>1956</v>
      </c>
      <c r="BM83" s="26">
        <v>0</v>
      </c>
      <c r="BN83" s="26">
        <v>208149</v>
      </c>
      <c r="BO83" s="26">
        <v>84652</v>
      </c>
      <c r="BP83" s="26">
        <v>250483</v>
      </c>
      <c r="BQ83" s="26">
        <v>0</v>
      </c>
      <c r="BR83" s="26">
        <v>36024</v>
      </c>
      <c r="BS83" s="26">
        <v>0</v>
      </c>
      <c r="BT83" s="26">
        <v>0</v>
      </c>
      <c r="BU83" s="26">
        <v>0</v>
      </c>
      <c r="BV83" s="26">
        <v>4376</v>
      </c>
      <c r="BW83" s="26">
        <v>8041</v>
      </c>
      <c r="BX83" s="26">
        <v>11320</v>
      </c>
      <c r="BY83" s="26">
        <v>4606</v>
      </c>
      <c r="BZ83" s="26">
        <v>0</v>
      </c>
      <c r="CA83" s="26">
        <v>0</v>
      </c>
      <c r="CB83" s="26">
        <v>0</v>
      </c>
      <c r="CC83" s="26">
        <v>0</v>
      </c>
      <c r="CD83" s="31">
        <v>0</v>
      </c>
      <c r="CE83" s="28">
        <v>1025871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v>0</v>
      </c>
    </row>
    <row r="85" spans="1:84" x14ac:dyDescent="0.35">
      <c r="A85" s="35" t="s">
        <v>285</v>
      </c>
      <c r="B85" s="28"/>
      <c r="C85" s="28">
        <v>2506220</v>
      </c>
      <c r="D85" s="28">
        <v>0</v>
      </c>
      <c r="E85" s="28">
        <v>3509713</v>
      </c>
      <c r="F85" s="28">
        <v>0</v>
      </c>
      <c r="G85" s="28">
        <v>0</v>
      </c>
      <c r="H85" s="28">
        <v>0</v>
      </c>
      <c r="I85" s="28">
        <v>0</v>
      </c>
      <c r="J85" s="28">
        <v>186801</v>
      </c>
      <c r="K85" s="28">
        <v>0</v>
      </c>
      <c r="L85" s="28">
        <v>0</v>
      </c>
      <c r="M85" s="28">
        <v>0</v>
      </c>
      <c r="N85" s="28">
        <v>0</v>
      </c>
      <c r="O85" s="28">
        <v>2660014</v>
      </c>
      <c r="P85" s="28">
        <v>9414480</v>
      </c>
      <c r="Q85" s="28">
        <v>169441</v>
      </c>
      <c r="R85" s="28">
        <v>131331</v>
      </c>
      <c r="S85" s="28">
        <v>611977</v>
      </c>
      <c r="T85" s="28">
        <v>0</v>
      </c>
      <c r="U85" s="28">
        <v>6198821</v>
      </c>
      <c r="V85" s="28">
        <v>0</v>
      </c>
      <c r="W85" s="28">
        <v>413120</v>
      </c>
      <c r="X85" s="28">
        <v>1205468</v>
      </c>
      <c r="Y85" s="28">
        <v>2979722</v>
      </c>
      <c r="Z85" s="28">
        <v>0</v>
      </c>
      <c r="AA85" s="28">
        <v>0</v>
      </c>
      <c r="AB85" s="28">
        <v>4564327</v>
      </c>
      <c r="AC85" s="28">
        <v>982781</v>
      </c>
      <c r="AD85" s="28">
        <v>0</v>
      </c>
      <c r="AE85" s="28">
        <v>1514065</v>
      </c>
      <c r="AF85" s="28">
        <v>0</v>
      </c>
      <c r="AG85" s="28">
        <v>8486825</v>
      </c>
      <c r="AH85" s="28">
        <v>0</v>
      </c>
      <c r="AI85" s="28">
        <v>0</v>
      </c>
      <c r="AJ85" s="28">
        <v>30836519</v>
      </c>
      <c r="AK85" s="28">
        <v>287655</v>
      </c>
      <c r="AL85" s="28">
        <v>223618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8">
        <v>3082409</v>
      </c>
      <c r="AS85" s="28">
        <v>0</v>
      </c>
      <c r="AT85" s="28">
        <v>0</v>
      </c>
      <c r="AU85" s="28">
        <v>0</v>
      </c>
      <c r="AV85" s="28">
        <v>0</v>
      </c>
      <c r="AW85" s="28">
        <v>0</v>
      </c>
      <c r="AX85" s="28">
        <v>0</v>
      </c>
      <c r="AY85" s="28">
        <v>430377</v>
      </c>
      <c r="AZ85" s="28">
        <v>963076</v>
      </c>
      <c r="BA85" s="28">
        <v>251053</v>
      </c>
      <c r="BB85" s="28">
        <v>155045</v>
      </c>
      <c r="BC85" s="28">
        <v>0</v>
      </c>
      <c r="BD85" s="28">
        <v>345417</v>
      </c>
      <c r="BE85" s="28">
        <v>3694312</v>
      </c>
      <c r="BF85" s="28">
        <v>1852673</v>
      </c>
      <c r="BG85" s="28">
        <v>0</v>
      </c>
      <c r="BH85" s="28">
        <v>6370906</v>
      </c>
      <c r="BI85" s="28">
        <v>0</v>
      </c>
      <c r="BJ85" s="28">
        <v>1310660</v>
      </c>
      <c r="BK85" s="28">
        <v>2426373</v>
      </c>
      <c r="BL85" s="28">
        <v>1105779</v>
      </c>
      <c r="BM85" s="28">
        <v>0</v>
      </c>
      <c r="BN85" s="28">
        <v>2247504</v>
      </c>
      <c r="BO85" s="28">
        <v>511834</v>
      </c>
      <c r="BP85" s="28">
        <v>767126</v>
      </c>
      <c r="BQ85" s="28">
        <v>0</v>
      </c>
      <c r="BR85" s="28">
        <v>1120184</v>
      </c>
      <c r="BS85" s="28">
        <v>0</v>
      </c>
      <c r="BT85" s="28">
        <v>0</v>
      </c>
      <c r="BU85" s="28">
        <v>0</v>
      </c>
      <c r="BV85" s="28">
        <v>2308921</v>
      </c>
      <c r="BW85" s="28">
        <v>1337432</v>
      </c>
      <c r="BX85" s="28">
        <v>1325375</v>
      </c>
      <c r="BY85" s="28">
        <v>2722403</v>
      </c>
      <c r="BZ85" s="28">
        <v>0</v>
      </c>
      <c r="CA85" s="28">
        <v>0</v>
      </c>
      <c r="CB85" s="28">
        <v>0</v>
      </c>
      <c r="CC85" s="28">
        <v>0</v>
      </c>
      <c r="CD85" s="28">
        <v>0</v>
      </c>
      <c r="CE85" s="28">
        <v>111211757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2088077</v>
      </c>
      <c r="D87" s="20">
        <v>0</v>
      </c>
      <c r="E87" s="20">
        <v>5472804</v>
      </c>
      <c r="F87" s="20">
        <v>0</v>
      </c>
      <c r="G87" s="20">
        <v>0</v>
      </c>
      <c r="H87" s="20">
        <v>0</v>
      </c>
      <c r="I87" s="20">
        <v>0</v>
      </c>
      <c r="J87" s="20">
        <v>839665</v>
      </c>
      <c r="K87" s="20">
        <v>0</v>
      </c>
      <c r="L87" s="20">
        <v>60876</v>
      </c>
      <c r="M87" s="20">
        <v>0</v>
      </c>
      <c r="N87" s="20">
        <v>0</v>
      </c>
      <c r="O87" s="20">
        <v>3415848</v>
      </c>
      <c r="P87" s="20">
        <v>7239162</v>
      </c>
      <c r="Q87" s="20">
        <v>395332</v>
      </c>
      <c r="R87" s="20">
        <v>0</v>
      </c>
      <c r="S87" s="20">
        <v>0</v>
      </c>
      <c r="T87" s="20">
        <v>0</v>
      </c>
      <c r="U87" s="20">
        <v>2194814</v>
      </c>
      <c r="V87" s="20">
        <v>0</v>
      </c>
      <c r="W87" s="20">
        <v>140890</v>
      </c>
      <c r="X87" s="20">
        <v>1534111</v>
      </c>
      <c r="Y87" s="20">
        <v>696806</v>
      </c>
      <c r="Z87" s="20">
        <v>0</v>
      </c>
      <c r="AA87" s="20">
        <v>0</v>
      </c>
      <c r="AB87" s="20">
        <v>4900513</v>
      </c>
      <c r="AC87" s="20">
        <v>513493</v>
      </c>
      <c r="AD87" s="20">
        <v>0</v>
      </c>
      <c r="AE87" s="20">
        <v>253936</v>
      </c>
      <c r="AF87" s="20">
        <v>0</v>
      </c>
      <c r="AG87" s="20">
        <v>502508</v>
      </c>
      <c r="AH87" s="20">
        <v>0</v>
      </c>
      <c r="AI87" s="20">
        <v>0</v>
      </c>
      <c r="AJ87" s="20">
        <v>0</v>
      </c>
      <c r="AK87" s="20">
        <v>95105</v>
      </c>
      <c r="AL87" s="20">
        <v>44870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30388810</v>
      </c>
    </row>
    <row r="88" spans="1:84" x14ac:dyDescent="0.35">
      <c r="A88" s="22" t="s">
        <v>288</v>
      </c>
      <c r="B88" s="16"/>
      <c r="C88" s="20">
        <v>503378</v>
      </c>
      <c r="D88" s="20">
        <v>0</v>
      </c>
      <c r="E88" s="20">
        <v>3835920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850964</v>
      </c>
      <c r="P88" s="20">
        <v>26051141</v>
      </c>
      <c r="Q88" s="20">
        <v>2640773</v>
      </c>
      <c r="R88" s="20">
        <v>0</v>
      </c>
      <c r="S88" s="20">
        <v>0</v>
      </c>
      <c r="T88" s="20">
        <v>0</v>
      </c>
      <c r="U88" s="20">
        <v>24088225</v>
      </c>
      <c r="V88" s="20">
        <v>0</v>
      </c>
      <c r="W88" s="20">
        <v>8428570</v>
      </c>
      <c r="X88" s="20">
        <v>23613354</v>
      </c>
      <c r="Y88" s="20">
        <v>13548375</v>
      </c>
      <c r="Z88" s="20">
        <v>0</v>
      </c>
      <c r="AA88" s="20">
        <v>0</v>
      </c>
      <c r="AB88" s="20">
        <v>12700855</v>
      </c>
      <c r="AC88" s="20">
        <v>2102091</v>
      </c>
      <c r="AD88" s="20">
        <v>0</v>
      </c>
      <c r="AE88" s="20">
        <v>3587805</v>
      </c>
      <c r="AF88" s="20">
        <v>0</v>
      </c>
      <c r="AG88" s="20">
        <v>23505199</v>
      </c>
      <c r="AH88" s="20">
        <v>0</v>
      </c>
      <c r="AI88" s="20">
        <v>0</v>
      </c>
      <c r="AJ88" s="20">
        <v>33363996</v>
      </c>
      <c r="AK88" s="20">
        <v>632794</v>
      </c>
      <c r="AL88" s="20">
        <v>535621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3114210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183103271</v>
      </c>
    </row>
    <row r="89" spans="1:84" x14ac:dyDescent="0.35">
      <c r="A89" s="22" t="s">
        <v>289</v>
      </c>
      <c r="B89" s="16"/>
      <c r="C89" s="28">
        <v>2591455</v>
      </c>
      <c r="D89" s="28">
        <v>0</v>
      </c>
      <c r="E89" s="28">
        <v>9308724</v>
      </c>
      <c r="F89" s="28">
        <v>0</v>
      </c>
      <c r="G89" s="28">
        <v>0</v>
      </c>
      <c r="H89" s="28">
        <v>0</v>
      </c>
      <c r="I89" s="28">
        <v>0</v>
      </c>
      <c r="J89" s="28">
        <v>839665</v>
      </c>
      <c r="K89" s="28">
        <v>0</v>
      </c>
      <c r="L89" s="28">
        <v>60876</v>
      </c>
      <c r="M89" s="28">
        <v>0</v>
      </c>
      <c r="N89" s="28">
        <v>0</v>
      </c>
      <c r="O89" s="28">
        <v>4266812</v>
      </c>
      <c r="P89" s="28">
        <v>33290303</v>
      </c>
      <c r="Q89" s="28">
        <v>3036105</v>
      </c>
      <c r="R89" s="28">
        <v>0</v>
      </c>
      <c r="S89" s="28">
        <v>0</v>
      </c>
      <c r="T89" s="28">
        <v>0</v>
      </c>
      <c r="U89" s="28">
        <v>26283039</v>
      </c>
      <c r="V89" s="28">
        <v>0</v>
      </c>
      <c r="W89" s="28">
        <v>8569460</v>
      </c>
      <c r="X89" s="28">
        <v>25147465</v>
      </c>
      <c r="Y89" s="28">
        <v>14245181</v>
      </c>
      <c r="Z89" s="28">
        <v>0</v>
      </c>
      <c r="AA89" s="28">
        <v>0</v>
      </c>
      <c r="AB89" s="28">
        <v>17601368</v>
      </c>
      <c r="AC89" s="28">
        <v>2615584</v>
      </c>
      <c r="AD89" s="28">
        <v>0</v>
      </c>
      <c r="AE89" s="28">
        <v>3841741</v>
      </c>
      <c r="AF89" s="28">
        <v>0</v>
      </c>
      <c r="AG89" s="28">
        <v>24007707</v>
      </c>
      <c r="AH89" s="28">
        <v>0</v>
      </c>
      <c r="AI89" s="28">
        <v>0</v>
      </c>
      <c r="AJ89" s="28">
        <v>33363996</v>
      </c>
      <c r="AK89" s="28">
        <v>727899</v>
      </c>
      <c r="AL89" s="28">
        <v>580491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3114210</v>
      </c>
      <c r="AS89" s="28">
        <v>0</v>
      </c>
      <c r="AT89" s="28">
        <v>0</v>
      </c>
      <c r="AU89" s="28">
        <v>0</v>
      </c>
      <c r="AV89" s="28"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213492081</v>
      </c>
    </row>
    <row r="90" spans="1:84" x14ac:dyDescent="0.35">
      <c r="A90" s="35" t="s">
        <v>290</v>
      </c>
      <c r="B90" s="28"/>
      <c r="C90" s="20">
        <v>2897</v>
      </c>
      <c r="D90" s="20">
        <v>0</v>
      </c>
      <c r="E90" s="20">
        <v>8758</v>
      </c>
      <c r="F90" s="20">
        <v>0</v>
      </c>
      <c r="G90" s="20">
        <v>0</v>
      </c>
      <c r="H90" s="20">
        <v>0</v>
      </c>
      <c r="I90" s="20">
        <v>0</v>
      </c>
      <c r="J90" s="20">
        <v>252</v>
      </c>
      <c r="K90" s="20">
        <v>0</v>
      </c>
      <c r="L90" s="20">
        <v>173</v>
      </c>
      <c r="M90" s="20">
        <v>0</v>
      </c>
      <c r="N90" s="20">
        <v>0</v>
      </c>
      <c r="O90" s="20">
        <v>3134</v>
      </c>
      <c r="P90" s="20">
        <v>12295</v>
      </c>
      <c r="Q90" s="20">
        <v>1012</v>
      </c>
      <c r="R90" s="20">
        <v>0</v>
      </c>
      <c r="S90" s="20">
        <v>1529</v>
      </c>
      <c r="T90" s="20">
        <v>0</v>
      </c>
      <c r="U90" s="20">
        <v>4560</v>
      </c>
      <c r="V90" s="20">
        <v>0</v>
      </c>
      <c r="W90" s="20">
        <v>142</v>
      </c>
      <c r="X90" s="20">
        <v>2272</v>
      </c>
      <c r="Y90" s="20">
        <v>2355</v>
      </c>
      <c r="Z90" s="20">
        <v>0</v>
      </c>
      <c r="AA90" s="20">
        <v>0</v>
      </c>
      <c r="AB90" s="20">
        <v>1163</v>
      </c>
      <c r="AC90" s="20">
        <v>1032</v>
      </c>
      <c r="AD90" s="20">
        <v>0</v>
      </c>
      <c r="AE90" s="20">
        <v>0</v>
      </c>
      <c r="AF90" s="20">
        <v>0</v>
      </c>
      <c r="AG90" s="20">
        <v>5160</v>
      </c>
      <c r="AH90" s="20">
        <v>0</v>
      </c>
      <c r="AI90" s="20">
        <v>0</v>
      </c>
      <c r="AJ90" s="20">
        <v>41797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1394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2628</v>
      </c>
      <c r="AZ90" s="20">
        <v>1930</v>
      </c>
      <c r="BA90" s="20">
        <v>855</v>
      </c>
      <c r="BB90" s="20">
        <v>216</v>
      </c>
      <c r="BC90" s="20">
        <v>0</v>
      </c>
      <c r="BD90" s="20">
        <v>3136</v>
      </c>
      <c r="BE90" s="20">
        <v>5182</v>
      </c>
      <c r="BF90" s="20">
        <v>343</v>
      </c>
      <c r="BG90" s="20">
        <v>0</v>
      </c>
      <c r="BH90" s="20">
        <v>3456</v>
      </c>
      <c r="BI90" s="20">
        <v>0</v>
      </c>
      <c r="BJ90" s="20">
        <v>664</v>
      </c>
      <c r="BK90" s="20">
        <v>7998</v>
      </c>
      <c r="BL90" s="20">
        <v>421</v>
      </c>
      <c r="BM90" s="20">
        <v>0</v>
      </c>
      <c r="BN90" s="20">
        <v>20248</v>
      </c>
      <c r="BO90" s="20">
        <v>360</v>
      </c>
      <c r="BP90" s="20">
        <v>389</v>
      </c>
      <c r="BQ90" s="20">
        <v>0</v>
      </c>
      <c r="BR90" s="20">
        <v>1023</v>
      </c>
      <c r="BS90" s="20">
        <v>0</v>
      </c>
      <c r="BT90" s="20">
        <v>0</v>
      </c>
      <c r="BU90" s="20">
        <v>0</v>
      </c>
      <c r="BV90" s="20">
        <v>1783</v>
      </c>
      <c r="BW90" s="20">
        <v>84</v>
      </c>
      <c r="BX90" s="20">
        <v>600</v>
      </c>
      <c r="BY90" s="20">
        <v>474</v>
      </c>
      <c r="BZ90" s="20">
        <v>0</v>
      </c>
      <c r="CA90" s="20">
        <v>0</v>
      </c>
      <c r="CB90" s="20">
        <v>0</v>
      </c>
      <c r="CC90" s="20">
        <v>0</v>
      </c>
      <c r="CD90" s="233" t="s">
        <v>248</v>
      </c>
      <c r="CE90" s="28">
        <v>145897</v>
      </c>
      <c r="CF90" s="28">
        <v>0</v>
      </c>
    </row>
    <row r="91" spans="1:84" x14ac:dyDescent="0.35">
      <c r="A91" s="22" t="s">
        <v>291</v>
      </c>
      <c r="B91" s="16"/>
      <c r="C91" s="20">
        <v>2578</v>
      </c>
      <c r="D91" s="20">
        <v>0</v>
      </c>
      <c r="E91" s="20">
        <v>12314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43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936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0" t="s">
        <v>248</v>
      </c>
      <c r="AY91" s="250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15871</v>
      </c>
      <c r="CF91" s="28">
        <v>0</v>
      </c>
    </row>
    <row r="92" spans="1:84" x14ac:dyDescent="0.35">
      <c r="A92" s="22" t="s">
        <v>292</v>
      </c>
      <c r="B92" s="16"/>
      <c r="C92" s="20">
        <v>1800</v>
      </c>
      <c r="D92" s="20">
        <v>0</v>
      </c>
      <c r="E92" s="20">
        <v>4160</v>
      </c>
      <c r="F92" s="20">
        <v>0</v>
      </c>
      <c r="G92" s="20">
        <v>0</v>
      </c>
      <c r="H92" s="20">
        <v>0</v>
      </c>
      <c r="I92" s="20">
        <v>0</v>
      </c>
      <c r="J92" s="20">
        <v>280</v>
      </c>
      <c r="K92" s="20">
        <v>0</v>
      </c>
      <c r="L92" s="20">
        <v>0</v>
      </c>
      <c r="M92" s="20">
        <v>0</v>
      </c>
      <c r="N92" s="20">
        <v>0</v>
      </c>
      <c r="O92" s="20">
        <v>1700</v>
      </c>
      <c r="P92" s="20">
        <v>7040</v>
      </c>
      <c r="Q92" s="20">
        <v>2080</v>
      </c>
      <c r="R92" s="20">
        <v>0</v>
      </c>
      <c r="S92" s="20">
        <v>500</v>
      </c>
      <c r="T92" s="20">
        <v>0</v>
      </c>
      <c r="U92" s="20">
        <v>1456</v>
      </c>
      <c r="V92" s="20">
        <v>0</v>
      </c>
      <c r="W92" s="20">
        <v>728</v>
      </c>
      <c r="X92" s="20">
        <v>1228</v>
      </c>
      <c r="Y92" s="20">
        <v>1228</v>
      </c>
      <c r="Z92" s="20">
        <v>0</v>
      </c>
      <c r="AA92" s="20">
        <v>0</v>
      </c>
      <c r="AB92" s="20">
        <v>1200</v>
      </c>
      <c r="AC92" s="20">
        <v>1800</v>
      </c>
      <c r="AD92" s="20">
        <v>0</v>
      </c>
      <c r="AE92" s="20">
        <v>1600</v>
      </c>
      <c r="AF92" s="20">
        <v>0</v>
      </c>
      <c r="AG92" s="20">
        <v>8320</v>
      </c>
      <c r="AH92" s="20">
        <v>0</v>
      </c>
      <c r="AI92" s="20">
        <v>0</v>
      </c>
      <c r="AJ92" s="20">
        <v>9495</v>
      </c>
      <c r="AK92" s="20">
        <v>300</v>
      </c>
      <c r="AL92" s="20">
        <v>180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624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0" t="s">
        <v>248</v>
      </c>
      <c r="AY92" s="250" t="s">
        <v>248</v>
      </c>
      <c r="AZ92" s="25" t="s">
        <v>248</v>
      </c>
      <c r="BA92" s="20">
        <v>360</v>
      </c>
      <c r="BB92" s="20">
        <v>360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1000</v>
      </c>
      <c r="BI92" s="20">
        <v>0</v>
      </c>
      <c r="BJ92" s="25" t="s">
        <v>248</v>
      </c>
      <c r="BK92" s="20">
        <v>1040</v>
      </c>
      <c r="BL92" s="20">
        <v>360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600</v>
      </c>
      <c r="BW92" s="20">
        <v>100</v>
      </c>
      <c r="BX92" s="20">
        <v>100</v>
      </c>
      <c r="BY92" s="20">
        <v>458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50097</v>
      </c>
      <c r="CF92" s="16"/>
    </row>
    <row r="93" spans="1:84" x14ac:dyDescent="0.35">
      <c r="A93" s="22" t="s">
        <v>293</v>
      </c>
      <c r="B93" s="16"/>
      <c r="C93" s="20">
        <v>22765</v>
      </c>
      <c r="D93" s="20">
        <v>0</v>
      </c>
      <c r="E93" s="20">
        <v>90398</v>
      </c>
      <c r="F93" s="20">
        <v>0</v>
      </c>
      <c r="G93" s="20">
        <v>0</v>
      </c>
      <c r="H93" s="20">
        <v>0</v>
      </c>
      <c r="I93" s="20">
        <v>0</v>
      </c>
      <c r="J93" s="20">
        <v>6176</v>
      </c>
      <c r="K93" s="20">
        <v>0</v>
      </c>
      <c r="L93" s="20">
        <v>0</v>
      </c>
      <c r="M93" s="20">
        <v>0</v>
      </c>
      <c r="N93" s="20">
        <v>0</v>
      </c>
      <c r="O93" s="20">
        <v>31570</v>
      </c>
      <c r="P93" s="20">
        <v>54931</v>
      </c>
      <c r="Q93" s="20">
        <v>22765</v>
      </c>
      <c r="R93" s="20">
        <v>0</v>
      </c>
      <c r="S93" s="20">
        <v>0</v>
      </c>
      <c r="T93" s="20">
        <v>0</v>
      </c>
      <c r="U93" s="20">
        <v>2014</v>
      </c>
      <c r="V93" s="20">
        <v>0</v>
      </c>
      <c r="W93" s="20">
        <v>4819</v>
      </c>
      <c r="X93" s="20">
        <v>13163</v>
      </c>
      <c r="Y93" s="20">
        <v>56558</v>
      </c>
      <c r="Z93" s="20">
        <v>0</v>
      </c>
      <c r="AA93" s="20">
        <v>0</v>
      </c>
      <c r="AB93" s="20">
        <v>0</v>
      </c>
      <c r="AC93" s="20">
        <v>16789</v>
      </c>
      <c r="AD93" s="20">
        <v>0</v>
      </c>
      <c r="AE93" s="20">
        <v>8394</v>
      </c>
      <c r="AF93" s="20">
        <v>0</v>
      </c>
      <c r="AG93" s="20">
        <v>77294</v>
      </c>
      <c r="AH93" s="20">
        <v>0</v>
      </c>
      <c r="AI93" s="20">
        <v>0</v>
      </c>
      <c r="AJ93" s="20">
        <v>22835</v>
      </c>
      <c r="AK93" s="20">
        <v>3358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671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0" t="s">
        <v>248</v>
      </c>
      <c r="AY93" s="250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434500</v>
      </c>
      <c r="CF93" s="28">
        <v>0</v>
      </c>
    </row>
    <row r="94" spans="1:84" x14ac:dyDescent="0.35">
      <c r="A94" s="22" t="s">
        <v>294</v>
      </c>
      <c r="B94" s="16"/>
      <c r="C94" s="244">
        <v>12.6</v>
      </c>
      <c r="D94" s="244">
        <v>0</v>
      </c>
      <c r="E94" s="244">
        <v>18.399999999999999</v>
      </c>
      <c r="F94" s="244">
        <v>0</v>
      </c>
      <c r="G94" s="244">
        <v>0</v>
      </c>
      <c r="H94" s="244">
        <v>0</v>
      </c>
      <c r="I94" s="244">
        <v>0</v>
      </c>
      <c r="J94" s="244">
        <v>1</v>
      </c>
      <c r="K94" s="244">
        <v>0</v>
      </c>
      <c r="L94" s="244">
        <v>0</v>
      </c>
      <c r="M94" s="244">
        <v>0</v>
      </c>
      <c r="N94" s="244">
        <v>0</v>
      </c>
      <c r="O94" s="244">
        <v>10.6</v>
      </c>
      <c r="P94" s="245">
        <v>19.600000000000001</v>
      </c>
      <c r="Q94" s="245">
        <v>0.4</v>
      </c>
      <c r="R94" s="245">
        <v>0</v>
      </c>
      <c r="S94" s="246">
        <v>0.3</v>
      </c>
      <c r="T94" s="246">
        <v>0</v>
      </c>
      <c r="U94" s="247">
        <v>0</v>
      </c>
      <c r="V94" s="245">
        <v>0</v>
      </c>
      <c r="W94" s="245">
        <v>0</v>
      </c>
      <c r="X94" s="245">
        <v>0</v>
      </c>
      <c r="Y94" s="245">
        <v>0</v>
      </c>
      <c r="Z94" s="245">
        <v>0</v>
      </c>
      <c r="AA94" s="245">
        <v>0</v>
      </c>
      <c r="AB94" s="246">
        <v>0</v>
      </c>
      <c r="AC94" s="245">
        <v>0</v>
      </c>
      <c r="AD94" s="245">
        <v>0</v>
      </c>
      <c r="AE94" s="245">
        <v>0</v>
      </c>
      <c r="AF94" s="245">
        <v>0</v>
      </c>
      <c r="AG94" s="245">
        <v>22.1</v>
      </c>
      <c r="AH94" s="245">
        <v>0</v>
      </c>
      <c r="AI94" s="245">
        <v>0</v>
      </c>
      <c r="AJ94" s="245">
        <v>13.280000000000001</v>
      </c>
      <c r="AK94" s="245">
        <v>0</v>
      </c>
      <c r="AL94" s="245">
        <v>0</v>
      </c>
      <c r="AM94" s="245">
        <v>0</v>
      </c>
      <c r="AN94" s="245">
        <v>0</v>
      </c>
      <c r="AO94" s="245">
        <v>0</v>
      </c>
      <c r="AP94" s="245">
        <v>0</v>
      </c>
      <c r="AQ94" s="245">
        <v>0</v>
      </c>
      <c r="AR94" s="245">
        <v>6.4899999999999993</v>
      </c>
      <c r="AS94" s="245">
        <v>0</v>
      </c>
      <c r="AT94" s="245">
        <v>0</v>
      </c>
      <c r="AU94" s="245">
        <v>0</v>
      </c>
      <c r="AV94" s="246">
        <v>0</v>
      </c>
      <c r="AW94" s="250" t="s">
        <v>248</v>
      </c>
      <c r="AX94" s="250" t="s">
        <v>248</v>
      </c>
      <c r="AY94" s="250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1"/>
      <c r="BV94" s="251"/>
      <c r="BW94" s="251"/>
      <c r="BX94" s="251"/>
      <c r="BY94" s="251"/>
      <c r="BZ94" s="251"/>
      <c r="CA94" s="251"/>
      <c r="CB94" s="251"/>
      <c r="CC94" s="25" t="s">
        <v>248</v>
      </c>
      <c r="CD94" s="25" t="s">
        <v>248</v>
      </c>
      <c r="CE94" s="235">
        <v>104.77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2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3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260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4">
        <v>98926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55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55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258" t="s">
        <v>319</v>
      </c>
      <c r="D107" s="38"/>
      <c r="E107" s="39"/>
      <c r="F107" s="12"/>
    </row>
    <row r="108" spans="1:6" x14ac:dyDescent="0.35">
      <c r="A108" s="28" t="s">
        <v>320</v>
      </c>
      <c r="B108" s="36" t="s">
        <v>299</v>
      </c>
      <c r="C108" s="258" t="s">
        <v>321</v>
      </c>
      <c r="D108" s="38"/>
      <c r="E108" s="39"/>
      <c r="F108" s="12"/>
    </row>
    <row r="109" spans="1:6" x14ac:dyDescent="0.35">
      <c r="A109" s="40" t="s">
        <v>322</v>
      </c>
      <c r="B109" s="36" t="s">
        <v>299</v>
      </c>
      <c r="C109" s="37" t="s">
        <v>315</v>
      </c>
      <c r="D109" s="38"/>
      <c r="E109" s="39"/>
      <c r="F109" s="12"/>
    </row>
    <row r="110" spans="1:6" x14ac:dyDescent="0.35">
      <c r="A110" s="40" t="s">
        <v>323</v>
      </c>
      <c r="B110" s="36" t="s">
        <v>299</v>
      </c>
      <c r="C110" s="259" t="s">
        <v>324</v>
      </c>
      <c r="D110" s="38"/>
      <c r="E110" s="39"/>
      <c r="F110" s="12"/>
    </row>
    <row r="111" spans="1:6" x14ac:dyDescent="0.35">
      <c r="A111" s="34" t="s">
        <v>325</v>
      </c>
      <c r="B111" s="34"/>
      <c r="C111" s="34"/>
      <c r="D111" s="34"/>
      <c r="E111" s="34"/>
    </row>
    <row r="112" spans="1:6" x14ac:dyDescent="0.35">
      <c r="A112" s="41" t="s">
        <v>326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327</v>
      </c>
      <c r="B115" s="42" t="s">
        <v>299</v>
      </c>
      <c r="C115" s="43">
        <v>1</v>
      </c>
      <c r="D115" s="16"/>
      <c r="E115" s="16"/>
    </row>
    <row r="116" spans="1:5" x14ac:dyDescent="0.35">
      <c r="A116" s="41" t="s">
        <v>328</v>
      </c>
      <c r="B116" s="41"/>
      <c r="C116" s="41"/>
      <c r="D116" s="41"/>
      <c r="E116" s="41"/>
    </row>
    <row r="117" spans="1:5" x14ac:dyDescent="0.35">
      <c r="A117" s="16" t="s">
        <v>329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3">
        <v>0</v>
      </c>
      <c r="D118" s="16"/>
      <c r="E118" s="16"/>
    </row>
    <row r="119" spans="1:5" x14ac:dyDescent="0.35">
      <c r="A119" s="41" t="s">
        <v>330</v>
      </c>
      <c r="B119" s="41"/>
      <c r="C119" s="41"/>
      <c r="D119" s="41"/>
      <c r="E119" s="41"/>
    </row>
    <row r="120" spans="1:5" x14ac:dyDescent="0.35">
      <c r="A120" s="16" t="s">
        <v>331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332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333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334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35">
      <c r="A127" s="16" t="s">
        <v>337</v>
      </c>
      <c r="B127" s="42" t="s">
        <v>299</v>
      </c>
      <c r="C127" s="43">
        <v>1056</v>
      </c>
      <c r="D127" s="46">
        <v>3950</v>
      </c>
      <c r="E127" s="16"/>
    </row>
    <row r="128" spans="1:5" x14ac:dyDescent="0.35">
      <c r="A128" s="16" t="s">
        <v>338</v>
      </c>
      <c r="B128" s="42" t="s">
        <v>299</v>
      </c>
      <c r="C128" s="43">
        <v>6</v>
      </c>
      <c r="D128" s="46">
        <v>59</v>
      </c>
      <c r="E128" s="16"/>
    </row>
    <row r="129" spans="1:5" x14ac:dyDescent="0.35">
      <c r="A129" s="16" t="s">
        <v>339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340</v>
      </c>
      <c r="B130" s="42" t="s">
        <v>299</v>
      </c>
      <c r="C130" s="43">
        <v>318</v>
      </c>
      <c r="D130" s="46">
        <v>526</v>
      </c>
      <c r="E130" s="16"/>
    </row>
    <row r="131" spans="1:5" x14ac:dyDescent="0.35">
      <c r="A131" s="22" t="s">
        <v>341</v>
      </c>
      <c r="B131" s="16"/>
      <c r="C131" s="17" t="s">
        <v>194</v>
      </c>
      <c r="D131" s="16"/>
      <c r="E131" s="16"/>
    </row>
    <row r="132" spans="1:5" x14ac:dyDescent="0.35">
      <c r="A132" s="16" t="s">
        <v>342</v>
      </c>
      <c r="B132" s="42" t="s">
        <v>299</v>
      </c>
      <c r="C132" s="43">
        <v>6</v>
      </c>
      <c r="D132" s="16"/>
      <c r="E132" s="16"/>
    </row>
    <row r="133" spans="1:5" x14ac:dyDescent="0.35">
      <c r="A133" s="16" t="s">
        <v>343</v>
      </c>
      <c r="B133" s="42" t="s">
        <v>299</v>
      </c>
      <c r="C133" s="43">
        <v>0</v>
      </c>
      <c r="D133" s="16"/>
      <c r="E133" s="16"/>
    </row>
    <row r="134" spans="1:5" x14ac:dyDescent="0.35">
      <c r="A134" s="16" t="s">
        <v>344</v>
      </c>
      <c r="B134" s="42" t="s">
        <v>299</v>
      </c>
      <c r="C134" s="43">
        <v>13</v>
      </c>
      <c r="D134" s="16"/>
      <c r="E134" s="16"/>
    </row>
    <row r="135" spans="1:5" x14ac:dyDescent="0.35">
      <c r="A135" s="16" t="s">
        <v>345</v>
      </c>
      <c r="B135" s="42" t="s">
        <v>299</v>
      </c>
      <c r="C135" s="43">
        <v>0</v>
      </c>
      <c r="D135" s="16"/>
      <c r="E135" s="16"/>
    </row>
    <row r="136" spans="1:5" x14ac:dyDescent="0.35">
      <c r="A136" s="16" t="s">
        <v>346</v>
      </c>
      <c r="B136" s="42" t="s">
        <v>299</v>
      </c>
      <c r="C136" s="43">
        <v>6</v>
      </c>
      <c r="D136" s="16"/>
      <c r="E136" s="16"/>
    </row>
    <row r="137" spans="1:5" x14ac:dyDescent="0.35">
      <c r="A137" s="16" t="s">
        <v>347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35">
      <c r="A139" s="16" t="s">
        <v>348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349</v>
      </c>
      <c r="B140" s="42"/>
      <c r="C140" s="43">
        <v>0</v>
      </c>
      <c r="D140" s="16"/>
      <c r="E140" s="16"/>
    </row>
    <row r="141" spans="1:5" x14ac:dyDescent="0.35">
      <c r="A141" s="16" t="s">
        <v>339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350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351</v>
      </c>
      <c r="B143" s="16"/>
      <c r="C143" s="23"/>
      <c r="D143" s="16"/>
      <c r="E143" s="28">
        <v>25</v>
      </c>
    </row>
    <row r="144" spans="1:5" x14ac:dyDescent="0.35">
      <c r="A144" s="16" t="s">
        <v>352</v>
      </c>
      <c r="B144" s="42" t="s">
        <v>299</v>
      </c>
      <c r="C144" s="43">
        <v>50</v>
      </c>
      <c r="D144" s="16"/>
      <c r="E144" s="16"/>
    </row>
    <row r="145" spans="1:6" x14ac:dyDescent="0.35">
      <c r="A145" s="16" t="s">
        <v>353</v>
      </c>
      <c r="B145" s="42" t="s">
        <v>299</v>
      </c>
      <c r="C145" s="43">
        <v>6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354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355</v>
      </c>
      <c r="B152" s="45"/>
      <c r="C152" s="45"/>
      <c r="D152" s="45"/>
      <c r="E152" s="45"/>
    </row>
    <row r="153" spans="1:6" x14ac:dyDescent="0.3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35">
      <c r="A154" s="16" t="s">
        <v>336</v>
      </c>
      <c r="B154" s="46">
        <v>424</v>
      </c>
      <c r="C154" s="46">
        <v>202</v>
      </c>
      <c r="D154" s="46">
        <v>430</v>
      </c>
      <c r="E154" s="28">
        <v>1056</v>
      </c>
    </row>
    <row r="155" spans="1:6" x14ac:dyDescent="0.35">
      <c r="A155" s="16" t="s">
        <v>242</v>
      </c>
      <c r="B155" s="46">
        <v>1971</v>
      </c>
      <c r="C155" s="46">
        <v>606</v>
      </c>
      <c r="D155" s="46">
        <v>1899</v>
      </c>
      <c r="E155" s="28">
        <v>4476</v>
      </c>
    </row>
    <row r="156" spans="1:6" x14ac:dyDescent="0.35">
      <c r="A156" s="16" t="s">
        <v>359</v>
      </c>
      <c r="B156" s="46">
        <v>87951</v>
      </c>
      <c r="C156" s="46">
        <v>38917</v>
      </c>
      <c r="D156" s="46">
        <v>81005</v>
      </c>
      <c r="E156" s="28">
        <v>207873</v>
      </c>
    </row>
    <row r="157" spans="1:6" x14ac:dyDescent="0.35">
      <c r="A157" s="16" t="s">
        <v>287</v>
      </c>
      <c r="B157" s="46">
        <v>14420522</v>
      </c>
      <c r="C157" s="46">
        <v>5465501</v>
      </c>
      <c r="D157" s="46">
        <v>10441911</v>
      </c>
      <c r="E157" s="28">
        <v>30327934</v>
      </c>
      <c r="F157" s="14"/>
    </row>
    <row r="158" spans="1:6" x14ac:dyDescent="0.35">
      <c r="A158" s="16" t="s">
        <v>288</v>
      </c>
      <c r="B158" s="46">
        <v>78836235</v>
      </c>
      <c r="C158" s="46">
        <v>33272776</v>
      </c>
      <c r="D158" s="46">
        <v>70994260</v>
      </c>
      <c r="E158" s="28">
        <v>183103271</v>
      </c>
      <c r="F158" s="14"/>
    </row>
    <row r="159" spans="1:6" x14ac:dyDescent="0.3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35">
      <c r="A160" s="16" t="s">
        <v>336</v>
      </c>
      <c r="B160" s="46">
        <v>6</v>
      </c>
      <c r="C160" s="46">
        <v>0</v>
      </c>
      <c r="D160" s="46">
        <v>0</v>
      </c>
      <c r="E160" s="28">
        <v>6</v>
      </c>
    </row>
    <row r="161" spans="1:5" x14ac:dyDescent="0.35">
      <c r="A161" s="16" t="s">
        <v>242</v>
      </c>
      <c r="B161" s="46">
        <v>59</v>
      </c>
      <c r="C161" s="46">
        <v>0</v>
      </c>
      <c r="D161" s="46">
        <v>0</v>
      </c>
      <c r="E161" s="28">
        <v>59</v>
      </c>
    </row>
    <row r="162" spans="1:5" x14ac:dyDescent="0.35">
      <c r="A162" s="16" t="s">
        <v>359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60876</v>
      </c>
      <c r="C163" s="46">
        <v>0</v>
      </c>
      <c r="D163" s="46">
        <v>0</v>
      </c>
      <c r="E163" s="28">
        <v>60876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35">
      <c r="A166" s="16" t="s">
        <v>336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359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35">
      <c r="A173" s="21" t="s">
        <v>365</v>
      </c>
      <c r="B173" s="46">
        <v>4482209</v>
      </c>
      <c r="C173" s="46">
        <v>3067944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366</v>
      </c>
      <c r="B179" s="34"/>
      <c r="C179" s="34"/>
      <c r="D179" s="34"/>
      <c r="E179" s="34"/>
    </row>
    <row r="180" spans="1:5" x14ac:dyDescent="0.35">
      <c r="A180" s="41" t="s">
        <v>367</v>
      </c>
      <c r="B180" s="41"/>
      <c r="C180" s="41"/>
      <c r="D180" s="41"/>
      <c r="E180" s="41"/>
    </row>
    <row r="181" spans="1:5" x14ac:dyDescent="0.35">
      <c r="A181" s="16" t="s">
        <v>368</v>
      </c>
      <c r="B181" s="42" t="s">
        <v>299</v>
      </c>
      <c r="C181" s="43">
        <v>3750309</v>
      </c>
      <c r="D181" s="16"/>
      <c r="E181" s="16"/>
    </row>
    <row r="182" spans="1:5" x14ac:dyDescent="0.35">
      <c r="A182" s="16" t="s">
        <v>369</v>
      </c>
      <c r="B182" s="42" t="s">
        <v>299</v>
      </c>
      <c r="C182" s="43">
        <v>51195</v>
      </c>
      <c r="D182" s="16"/>
      <c r="E182" s="16"/>
    </row>
    <row r="183" spans="1:5" x14ac:dyDescent="0.35">
      <c r="A183" s="21" t="s">
        <v>370</v>
      </c>
      <c r="B183" s="42" t="s">
        <v>299</v>
      </c>
      <c r="C183" s="43">
        <v>385085</v>
      </c>
      <c r="D183" s="16"/>
      <c r="E183" s="16"/>
    </row>
    <row r="184" spans="1:5" x14ac:dyDescent="0.35">
      <c r="A184" s="16" t="s">
        <v>371</v>
      </c>
      <c r="B184" s="42" t="s">
        <v>299</v>
      </c>
      <c r="C184" s="43">
        <v>5115596</v>
      </c>
      <c r="D184" s="16"/>
      <c r="E184" s="16"/>
    </row>
    <row r="185" spans="1:5" x14ac:dyDescent="0.35">
      <c r="A185" s="16" t="s">
        <v>372</v>
      </c>
      <c r="B185" s="42" t="s">
        <v>299</v>
      </c>
      <c r="C185" s="43">
        <v>64892</v>
      </c>
      <c r="D185" s="16"/>
      <c r="E185" s="16"/>
    </row>
    <row r="186" spans="1:5" x14ac:dyDescent="0.35">
      <c r="A186" s="16" t="s">
        <v>373</v>
      </c>
      <c r="B186" s="42" t="s">
        <v>299</v>
      </c>
      <c r="C186" s="43">
        <v>3475371</v>
      </c>
      <c r="D186" s="16"/>
      <c r="E186" s="16"/>
    </row>
    <row r="187" spans="1:5" x14ac:dyDescent="0.35">
      <c r="A187" s="16" t="s">
        <v>374</v>
      </c>
      <c r="B187" s="42" t="s">
        <v>299</v>
      </c>
      <c r="C187" s="43">
        <v>178775</v>
      </c>
      <c r="D187" s="16"/>
      <c r="E187" s="16"/>
    </row>
    <row r="188" spans="1:5" x14ac:dyDescent="0.35">
      <c r="A188" s="16" t="s">
        <v>374</v>
      </c>
      <c r="B188" s="42" t="s">
        <v>299</v>
      </c>
      <c r="C188" s="43">
        <v>27428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13048651</v>
      </c>
      <c r="E189" s="16"/>
    </row>
    <row r="190" spans="1:5" x14ac:dyDescent="0.35">
      <c r="A190" s="41" t="s">
        <v>375</v>
      </c>
      <c r="B190" s="41"/>
      <c r="C190" s="41"/>
      <c r="D190" s="41"/>
      <c r="E190" s="41"/>
    </row>
    <row r="191" spans="1:5" x14ac:dyDescent="0.35">
      <c r="A191" s="16" t="s">
        <v>376</v>
      </c>
      <c r="B191" s="42" t="s">
        <v>299</v>
      </c>
      <c r="C191" s="43">
        <v>8046</v>
      </c>
      <c r="D191" s="16"/>
      <c r="E191" s="16"/>
    </row>
    <row r="192" spans="1:5" x14ac:dyDescent="0.35">
      <c r="A192" s="16" t="s">
        <v>377</v>
      </c>
      <c r="B192" s="42" t="s">
        <v>299</v>
      </c>
      <c r="C192" s="43">
        <v>180994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189040</v>
      </c>
      <c r="E193" s="16"/>
    </row>
    <row r="194" spans="1:5" x14ac:dyDescent="0.35">
      <c r="A194" s="41" t="s">
        <v>378</v>
      </c>
      <c r="B194" s="41"/>
      <c r="C194" s="41"/>
      <c r="D194" s="41"/>
      <c r="E194" s="41"/>
    </row>
    <row r="195" spans="1:5" x14ac:dyDescent="0.35">
      <c r="A195" s="16" t="s">
        <v>379</v>
      </c>
      <c r="B195" s="42" t="s">
        <v>299</v>
      </c>
      <c r="C195" s="43">
        <v>923191</v>
      </c>
      <c r="D195" s="16"/>
      <c r="E195" s="16"/>
    </row>
    <row r="196" spans="1:5" x14ac:dyDescent="0.35">
      <c r="A196" s="16" t="s">
        <v>380</v>
      </c>
      <c r="B196" s="42" t="s">
        <v>299</v>
      </c>
      <c r="C196" s="43">
        <v>287812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1211003</v>
      </c>
      <c r="E197" s="16"/>
    </row>
    <row r="198" spans="1:5" x14ac:dyDescent="0.35">
      <c r="A198" s="41" t="s">
        <v>381</v>
      </c>
      <c r="B198" s="41"/>
      <c r="C198" s="41"/>
      <c r="D198" s="41"/>
      <c r="E198" s="41"/>
    </row>
    <row r="199" spans="1:5" x14ac:dyDescent="0.35">
      <c r="A199" s="16" t="s">
        <v>382</v>
      </c>
      <c r="B199" s="42" t="s">
        <v>299</v>
      </c>
      <c r="C199" s="43">
        <v>172589</v>
      </c>
      <c r="D199" s="16"/>
      <c r="E199" s="16"/>
    </row>
    <row r="200" spans="1:5" x14ac:dyDescent="0.35">
      <c r="A200" s="16" t="s">
        <v>383</v>
      </c>
      <c r="B200" s="42" t="s">
        <v>299</v>
      </c>
      <c r="C200" s="43">
        <v>583514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756103</v>
      </c>
      <c r="E202" s="16"/>
    </row>
    <row r="203" spans="1:5" x14ac:dyDescent="0.35">
      <c r="A203" s="41" t="s">
        <v>384</v>
      </c>
      <c r="B203" s="41"/>
      <c r="C203" s="41"/>
      <c r="D203" s="41"/>
      <c r="E203" s="41"/>
    </row>
    <row r="204" spans="1:5" x14ac:dyDescent="0.35">
      <c r="A204" s="16" t="s">
        <v>385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386</v>
      </c>
      <c r="B205" s="42" t="s">
        <v>299</v>
      </c>
      <c r="C205" s="43">
        <v>777132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777132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387</v>
      </c>
      <c r="B208" s="34"/>
      <c r="C208" s="34"/>
      <c r="D208" s="34"/>
      <c r="E208" s="34"/>
    </row>
    <row r="209" spans="1:5" x14ac:dyDescent="0.35">
      <c r="A209" s="45" t="s">
        <v>388</v>
      </c>
      <c r="B209" s="34"/>
      <c r="C209" s="34"/>
      <c r="D209" s="34"/>
      <c r="E209" s="34"/>
    </row>
    <row r="210" spans="1:5" x14ac:dyDescent="0.3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35">
      <c r="A211" s="16" t="s">
        <v>393</v>
      </c>
      <c r="B211" s="46">
        <v>2808860</v>
      </c>
      <c r="C211" s="43">
        <v>404052</v>
      </c>
      <c r="D211" s="46">
        <v>0</v>
      </c>
      <c r="E211" s="28">
        <v>3212912</v>
      </c>
    </row>
    <row r="212" spans="1:5" x14ac:dyDescent="0.35">
      <c r="A212" s="16" t="s">
        <v>394</v>
      </c>
      <c r="B212" s="46">
        <v>429006</v>
      </c>
      <c r="C212" s="43">
        <v>0</v>
      </c>
      <c r="D212" s="46">
        <v>217661</v>
      </c>
      <c r="E212" s="28">
        <v>211345</v>
      </c>
    </row>
    <row r="213" spans="1:5" x14ac:dyDescent="0.35">
      <c r="A213" s="16" t="s">
        <v>395</v>
      </c>
      <c r="B213" s="46">
        <v>47774316</v>
      </c>
      <c r="C213" s="43">
        <v>707751</v>
      </c>
      <c r="D213" s="46">
        <v>0</v>
      </c>
      <c r="E213" s="28">
        <v>48482067</v>
      </c>
    </row>
    <row r="214" spans="1:5" x14ac:dyDescent="0.35">
      <c r="A214" s="16" t="s">
        <v>396</v>
      </c>
      <c r="B214" s="46">
        <v>6963975</v>
      </c>
      <c r="C214" s="43">
        <v>16594</v>
      </c>
      <c r="D214" s="46">
        <v>0</v>
      </c>
      <c r="E214" s="28">
        <v>6980569</v>
      </c>
    </row>
    <row r="215" spans="1:5" x14ac:dyDescent="0.35">
      <c r="A215" s="16" t="s">
        <v>397</v>
      </c>
      <c r="B215" s="46">
        <v>0</v>
      </c>
      <c r="C215" s="43">
        <v>0</v>
      </c>
      <c r="D215" s="46">
        <v>0</v>
      </c>
      <c r="E215" s="28">
        <v>0</v>
      </c>
    </row>
    <row r="216" spans="1:5" x14ac:dyDescent="0.35">
      <c r="A216" s="16" t="s">
        <v>398</v>
      </c>
      <c r="B216" s="46">
        <v>32745184</v>
      </c>
      <c r="C216" s="43">
        <v>1540502</v>
      </c>
      <c r="D216" s="46">
        <v>918385</v>
      </c>
      <c r="E216" s="28">
        <v>33367301</v>
      </c>
    </row>
    <row r="217" spans="1:5" x14ac:dyDescent="0.35">
      <c r="A217" s="16" t="s">
        <v>399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400</v>
      </c>
      <c r="B218" s="46">
        <v>0</v>
      </c>
      <c r="C218" s="43">
        <v>5716029</v>
      </c>
      <c r="D218" s="46">
        <v>0</v>
      </c>
      <c r="E218" s="28">
        <v>5716029</v>
      </c>
    </row>
    <row r="219" spans="1:5" x14ac:dyDescent="0.35">
      <c r="A219" s="16" t="s">
        <v>401</v>
      </c>
      <c r="B219" s="46">
        <v>1652275</v>
      </c>
      <c r="C219" s="43">
        <v>6466840</v>
      </c>
      <c r="D219" s="46">
        <v>0</v>
      </c>
      <c r="E219" s="28">
        <v>8119115</v>
      </c>
    </row>
    <row r="220" spans="1:5" x14ac:dyDescent="0.35">
      <c r="A220" s="16" t="s">
        <v>230</v>
      </c>
      <c r="B220" s="28">
        <v>92373616</v>
      </c>
      <c r="C220" s="234">
        <v>14851768</v>
      </c>
      <c r="D220" s="28">
        <v>1136046</v>
      </c>
      <c r="E220" s="28">
        <v>106089338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402</v>
      </c>
      <c r="B222" s="45"/>
      <c r="C222" s="45"/>
      <c r="D222" s="45"/>
      <c r="E222" s="45"/>
    </row>
    <row r="223" spans="1:5" x14ac:dyDescent="0.3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35">
      <c r="A224" s="16" t="s">
        <v>393</v>
      </c>
      <c r="B224" s="51"/>
      <c r="C224" s="50"/>
      <c r="D224" s="51"/>
      <c r="E224" s="16"/>
    </row>
    <row r="225" spans="1:5" x14ac:dyDescent="0.35">
      <c r="A225" s="16" t="s">
        <v>394</v>
      </c>
      <c r="B225" s="46">
        <v>434951</v>
      </c>
      <c r="C225" s="43">
        <v>2716</v>
      </c>
      <c r="D225" s="46">
        <v>217661</v>
      </c>
      <c r="E225" s="28">
        <v>220006</v>
      </c>
    </row>
    <row r="226" spans="1:5" x14ac:dyDescent="0.35">
      <c r="A226" s="16" t="s">
        <v>395</v>
      </c>
      <c r="B226" s="46">
        <v>20290809</v>
      </c>
      <c r="C226" s="43">
        <v>1919693</v>
      </c>
      <c r="D226" s="46">
        <v>0</v>
      </c>
      <c r="E226" s="28">
        <v>22210502</v>
      </c>
    </row>
    <row r="227" spans="1:5" x14ac:dyDescent="0.35">
      <c r="A227" s="16" t="s">
        <v>396</v>
      </c>
      <c r="B227" s="46">
        <v>4463103</v>
      </c>
      <c r="C227" s="43">
        <v>228877</v>
      </c>
      <c r="D227" s="46">
        <v>0</v>
      </c>
      <c r="E227" s="28">
        <v>4691980</v>
      </c>
    </row>
    <row r="228" spans="1:5" x14ac:dyDescent="0.35">
      <c r="A228" s="16" t="s">
        <v>397</v>
      </c>
      <c r="B228" s="46">
        <v>0</v>
      </c>
      <c r="C228" s="43">
        <v>0</v>
      </c>
      <c r="D228" s="46">
        <v>0</v>
      </c>
      <c r="E228" s="28">
        <v>0</v>
      </c>
    </row>
    <row r="229" spans="1:5" x14ac:dyDescent="0.35">
      <c r="A229" s="16" t="s">
        <v>398</v>
      </c>
      <c r="B229" s="46">
        <v>24095378</v>
      </c>
      <c r="C229" s="43">
        <v>2337611</v>
      </c>
      <c r="D229" s="46">
        <v>915999</v>
      </c>
      <c r="E229" s="28">
        <v>25516990</v>
      </c>
    </row>
    <row r="230" spans="1:5" x14ac:dyDescent="0.35">
      <c r="A230" s="16" t="s">
        <v>399</v>
      </c>
      <c r="B230" s="46">
        <v>0</v>
      </c>
      <c r="C230" s="43">
        <v>0</v>
      </c>
      <c r="D230" s="46">
        <v>0</v>
      </c>
      <c r="E230" s="28">
        <v>0</v>
      </c>
    </row>
    <row r="231" spans="1:5" x14ac:dyDescent="0.35">
      <c r="A231" s="16" t="s">
        <v>400</v>
      </c>
      <c r="B231" s="46">
        <v>0</v>
      </c>
      <c r="C231" s="43">
        <v>1225541</v>
      </c>
      <c r="D231" s="46">
        <v>0</v>
      </c>
      <c r="E231" s="28">
        <v>1225541</v>
      </c>
    </row>
    <row r="232" spans="1:5" x14ac:dyDescent="0.35">
      <c r="A232" s="16" t="s">
        <v>401</v>
      </c>
      <c r="B232" s="46">
        <v>0</v>
      </c>
      <c r="C232" s="43">
        <v>0</v>
      </c>
      <c r="D232" s="46">
        <v>0</v>
      </c>
      <c r="E232" s="28">
        <v>0</v>
      </c>
    </row>
    <row r="233" spans="1:5" x14ac:dyDescent="0.35">
      <c r="A233" s="16" t="s">
        <v>230</v>
      </c>
      <c r="B233" s="28">
        <v>49284241</v>
      </c>
      <c r="C233" s="234">
        <v>5714438</v>
      </c>
      <c r="D233" s="28">
        <v>1133660</v>
      </c>
      <c r="E233" s="28">
        <v>53865019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403</v>
      </c>
      <c r="B235" s="34"/>
      <c r="C235" s="34"/>
      <c r="D235" s="34"/>
      <c r="E235" s="34"/>
    </row>
    <row r="236" spans="1:5" x14ac:dyDescent="0.35">
      <c r="A236" s="34"/>
      <c r="B236" s="378" t="s">
        <v>404</v>
      </c>
      <c r="C236" s="378"/>
      <c r="D236" s="34"/>
      <c r="E236" s="34"/>
    </row>
    <row r="237" spans="1:5" x14ac:dyDescent="0.35">
      <c r="A237" s="52" t="s">
        <v>404</v>
      </c>
      <c r="B237" s="34"/>
      <c r="C237" s="43">
        <v>5954254</v>
      </c>
      <c r="D237" s="36">
        <v>5954254</v>
      </c>
      <c r="E237" s="34"/>
    </row>
    <row r="238" spans="1:5" x14ac:dyDescent="0.35">
      <c r="A238" s="41" t="s">
        <v>405</v>
      </c>
      <c r="B238" s="41"/>
      <c r="C238" s="41"/>
      <c r="D238" s="41"/>
      <c r="E238" s="41"/>
    </row>
    <row r="239" spans="1:5" x14ac:dyDescent="0.35">
      <c r="A239" s="16" t="s">
        <v>406</v>
      </c>
      <c r="B239" s="42" t="s">
        <v>299</v>
      </c>
      <c r="C239" s="43">
        <v>46404779</v>
      </c>
      <c r="D239" s="16"/>
      <c r="E239" s="16"/>
    </row>
    <row r="240" spans="1:5" x14ac:dyDescent="0.35">
      <c r="A240" s="16" t="s">
        <v>407</v>
      </c>
      <c r="B240" s="42" t="s">
        <v>299</v>
      </c>
      <c r="C240" s="43">
        <v>19799203</v>
      </c>
      <c r="D240" s="16"/>
      <c r="E240" s="16"/>
    </row>
    <row r="241" spans="1:5" x14ac:dyDescent="0.35">
      <c r="A241" s="16" t="s">
        <v>408</v>
      </c>
      <c r="B241" s="42" t="s">
        <v>299</v>
      </c>
      <c r="C241" s="43">
        <v>0</v>
      </c>
      <c r="D241" s="16"/>
      <c r="E241" s="16"/>
    </row>
    <row r="242" spans="1:5" x14ac:dyDescent="0.35">
      <c r="A242" s="16" t="s">
        <v>409</v>
      </c>
      <c r="B242" s="42" t="s">
        <v>299</v>
      </c>
      <c r="C242" s="43">
        <v>0</v>
      </c>
      <c r="D242" s="16"/>
      <c r="E242" s="16"/>
    </row>
    <row r="243" spans="1:5" x14ac:dyDescent="0.35">
      <c r="A243" s="16" t="s">
        <v>410</v>
      </c>
      <c r="B243" s="42" t="s">
        <v>299</v>
      </c>
      <c r="C243" s="43">
        <v>0</v>
      </c>
      <c r="D243" s="16"/>
      <c r="E243" s="16"/>
    </row>
    <row r="244" spans="1:5" x14ac:dyDescent="0.35">
      <c r="A244" s="16" t="s">
        <v>411</v>
      </c>
      <c r="B244" s="42" t="s">
        <v>299</v>
      </c>
      <c r="C244" s="43">
        <v>18618326</v>
      </c>
      <c r="D244" s="16"/>
      <c r="E244" s="16"/>
    </row>
    <row r="245" spans="1:5" x14ac:dyDescent="0.35">
      <c r="A245" s="16" t="s">
        <v>412</v>
      </c>
      <c r="B245" s="16"/>
      <c r="C245" s="23"/>
      <c r="D245" s="28">
        <v>84822308</v>
      </c>
      <c r="E245" s="16"/>
    </row>
    <row r="246" spans="1:5" x14ac:dyDescent="0.35">
      <c r="A246" s="41" t="s">
        <v>413</v>
      </c>
      <c r="B246" s="41"/>
      <c r="C246" s="41"/>
      <c r="D246" s="41"/>
      <c r="E246" s="41"/>
    </row>
    <row r="247" spans="1:5" x14ac:dyDescent="0.35">
      <c r="A247" s="22" t="s">
        <v>414</v>
      </c>
      <c r="B247" s="42" t="s">
        <v>299</v>
      </c>
      <c r="C247" s="43">
        <v>4025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415</v>
      </c>
      <c r="B249" s="42" t="s">
        <v>299</v>
      </c>
      <c r="C249" s="43">
        <v>160937</v>
      </c>
      <c r="D249" s="16"/>
      <c r="E249" s="16"/>
    </row>
    <row r="250" spans="1:5" x14ac:dyDescent="0.35">
      <c r="A250" s="22" t="s">
        <v>416</v>
      </c>
      <c r="B250" s="42" t="s">
        <v>299</v>
      </c>
      <c r="C250" s="43">
        <v>1074723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417</v>
      </c>
      <c r="B252" s="16"/>
      <c r="C252" s="23"/>
      <c r="D252" s="28">
        <v>1235660</v>
      </c>
      <c r="E252" s="16"/>
    </row>
    <row r="253" spans="1:5" x14ac:dyDescent="0.35">
      <c r="A253" s="41" t="s">
        <v>418</v>
      </c>
      <c r="B253" s="41"/>
      <c r="C253" s="41"/>
      <c r="D253" s="41"/>
      <c r="E253" s="41"/>
    </row>
    <row r="254" spans="1:5" x14ac:dyDescent="0.35">
      <c r="A254" s="16" t="s">
        <v>419</v>
      </c>
      <c r="B254" s="42" t="s">
        <v>299</v>
      </c>
      <c r="C254" s="43">
        <v>1733500</v>
      </c>
      <c r="D254" s="16"/>
      <c r="E254" s="16"/>
    </row>
    <row r="255" spans="1:5" x14ac:dyDescent="0.35">
      <c r="A255" s="16" t="s">
        <v>418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420</v>
      </c>
      <c r="B256" s="16"/>
      <c r="C256" s="23"/>
      <c r="D256" s="28">
        <v>1733500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421</v>
      </c>
      <c r="B258" s="16"/>
      <c r="C258" s="23"/>
      <c r="D258" s="28">
        <v>93745722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422</v>
      </c>
      <c r="B264" s="34"/>
      <c r="C264" s="34"/>
      <c r="D264" s="34"/>
      <c r="E264" s="34"/>
    </row>
    <row r="265" spans="1:5" x14ac:dyDescent="0.35">
      <c r="A265" s="41" t="s">
        <v>423</v>
      </c>
      <c r="B265" s="41"/>
      <c r="C265" s="41"/>
      <c r="D265" s="41"/>
      <c r="E265" s="41"/>
    </row>
    <row r="266" spans="1:5" x14ac:dyDescent="0.35">
      <c r="A266" s="16" t="s">
        <v>424</v>
      </c>
      <c r="B266" s="42" t="s">
        <v>299</v>
      </c>
      <c r="C266" s="43">
        <v>11162290</v>
      </c>
      <c r="D266" s="16"/>
      <c r="E266" s="16"/>
    </row>
    <row r="267" spans="1:5" x14ac:dyDescent="0.35">
      <c r="A267" s="16" t="s">
        <v>425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426</v>
      </c>
      <c r="B268" s="42" t="s">
        <v>299</v>
      </c>
      <c r="C268" s="43">
        <v>41373454</v>
      </c>
      <c r="D268" s="16"/>
      <c r="E268" s="16"/>
    </row>
    <row r="269" spans="1:5" x14ac:dyDescent="0.35">
      <c r="A269" s="16" t="s">
        <v>427</v>
      </c>
      <c r="B269" s="42" t="s">
        <v>299</v>
      </c>
      <c r="C269" s="43">
        <v>26782289</v>
      </c>
      <c r="D269" s="16"/>
      <c r="E269" s="16"/>
    </row>
    <row r="270" spans="1:5" x14ac:dyDescent="0.35">
      <c r="A270" s="16" t="s">
        <v>428</v>
      </c>
      <c r="B270" s="42" t="s">
        <v>299</v>
      </c>
      <c r="C270" s="43">
        <v>2182107</v>
      </c>
      <c r="D270" s="16"/>
      <c r="E270" s="16"/>
    </row>
    <row r="271" spans="1:5" x14ac:dyDescent="0.35">
      <c r="A271" s="16" t="s">
        <v>429</v>
      </c>
      <c r="B271" s="42" t="s">
        <v>299</v>
      </c>
      <c r="C271" s="43">
        <v>2007557</v>
      </c>
      <c r="D271" s="16"/>
      <c r="E271" s="16"/>
    </row>
    <row r="272" spans="1:5" x14ac:dyDescent="0.35">
      <c r="A272" s="16" t="s">
        <v>430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431</v>
      </c>
      <c r="B273" s="42" t="s">
        <v>299</v>
      </c>
      <c r="C273" s="43">
        <v>2690763</v>
      </c>
      <c r="D273" s="16"/>
      <c r="E273" s="16"/>
    </row>
    <row r="274" spans="1:5" x14ac:dyDescent="0.35">
      <c r="A274" s="16" t="s">
        <v>432</v>
      </c>
      <c r="B274" s="42" t="s">
        <v>299</v>
      </c>
      <c r="C274" s="43">
        <v>1512320</v>
      </c>
      <c r="D274" s="16"/>
      <c r="E274" s="16"/>
    </row>
    <row r="275" spans="1:5" x14ac:dyDescent="0.35">
      <c r="A275" s="16" t="s">
        <v>433</v>
      </c>
      <c r="B275" s="42" t="s">
        <v>299</v>
      </c>
      <c r="C275" s="43">
        <v>963413</v>
      </c>
      <c r="D275" s="16"/>
      <c r="E275" s="16"/>
    </row>
    <row r="276" spans="1:5" x14ac:dyDescent="0.35">
      <c r="A276" s="16" t="s">
        <v>434</v>
      </c>
      <c r="B276" s="16"/>
      <c r="C276" s="23"/>
      <c r="D276" s="28">
        <v>35109615</v>
      </c>
      <c r="E276" s="16"/>
    </row>
    <row r="277" spans="1:5" x14ac:dyDescent="0.35">
      <c r="A277" s="41" t="s">
        <v>435</v>
      </c>
      <c r="B277" s="41"/>
      <c r="C277" s="41"/>
      <c r="D277" s="41"/>
      <c r="E277" s="41"/>
    </row>
    <row r="278" spans="1:5" x14ac:dyDescent="0.35">
      <c r="A278" s="16" t="s">
        <v>424</v>
      </c>
      <c r="B278" s="42" t="s">
        <v>299</v>
      </c>
      <c r="C278" s="43">
        <v>0</v>
      </c>
      <c r="D278" s="16"/>
      <c r="E278" s="16"/>
    </row>
    <row r="279" spans="1:5" x14ac:dyDescent="0.35">
      <c r="A279" s="16" t="s">
        <v>425</v>
      </c>
      <c r="B279" s="42" t="s">
        <v>299</v>
      </c>
      <c r="C279" s="43">
        <v>61115705</v>
      </c>
      <c r="D279" s="16"/>
      <c r="E279" s="16"/>
    </row>
    <row r="280" spans="1:5" x14ac:dyDescent="0.35">
      <c r="A280" s="16" t="s">
        <v>436</v>
      </c>
      <c r="B280" s="42" t="s">
        <v>299</v>
      </c>
      <c r="C280" s="43">
        <v>0</v>
      </c>
      <c r="D280" s="16"/>
      <c r="E280" s="16"/>
    </row>
    <row r="281" spans="1:5" x14ac:dyDescent="0.35">
      <c r="A281" s="16" t="s">
        <v>437</v>
      </c>
      <c r="B281" s="16"/>
      <c r="C281" s="23"/>
      <c r="D281" s="28">
        <v>61115705</v>
      </c>
      <c r="E281" s="16"/>
    </row>
    <row r="282" spans="1:5" x14ac:dyDescent="0.35">
      <c r="A282" s="41" t="s">
        <v>438</v>
      </c>
      <c r="B282" s="41"/>
      <c r="C282" s="41"/>
      <c r="D282" s="41"/>
      <c r="E282" s="41"/>
    </row>
    <row r="283" spans="1:5" x14ac:dyDescent="0.35">
      <c r="A283" s="16" t="s">
        <v>393</v>
      </c>
      <c r="B283" s="42" t="s">
        <v>299</v>
      </c>
      <c r="C283" s="43">
        <v>3212912</v>
      </c>
      <c r="D283" s="16"/>
      <c r="E283" s="16"/>
    </row>
    <row r="284" spans="1:5" x14ac:dyDescent="0.35">
      <c r="A284" s="16" t="s">
        <v>394</v>
      </c>
      <c r="B284" s="42" t="s">
        <v>299</v>
      </c>
      <c r="C284" s="43">
        <v>211345</v>
      </c>
      <c r="D284" s="16"/>
      <c r="E284" s="16"/>
    </row>
    <row r="285" spans="1:5" x14ac:dyDescent="0.35">
      <c r="A285" s="16" t="s">
        <v>395</v>
      </c>
      <c r="B285" s="42" t="s">
        <v>299</v>
      </c>
      <c r="C285" s="43">
        <v>46791473</v>
      </c>
      <c r="D285" s="16"/>
      <c r="E285" s="16"/>
    </row>
    <row r="286" spans="1:5" x14ac:dyDescent="0.35">
      <c r="A286" s="16" t="s">
        <v>439</v>
      </c>
      <c r="B286" s="42" t="s">
        <v>299</v>
      </c>
      <c r="C286" s="43">
        <v>6980569</v>
      </c>
      <c r="D286" s="16"/>
      <c r="E286" s="16"/>
    </row>
    <row r="287" spans="1:5" x14ac:dyDescent="0.35">
      <c r="A287" s="16" t="s">
        <v>440</v>
      </c>
      <c r="B287" s="42" t="s">
        <v>299</v>
      </c>
      <c r="C287" s="43">
        <v>0</v>
      </c>
      <c r="D287" s="16"/>
      <c r="E287" s="16"/>
    </row>
    <row r="288" spans="1:5" x14ac:dyDescent="0.35">
      <c r="A288" s="16" t="s">
        <v>441</v>
      </c>
      <c r="B288" s="42" t="s">
        <v>299</v>
      </c>
      <c r="C288" s="43">
        <v>39642889</v>
      </c>
      <c r="D288" s="16"/>
      <c r="E288" s="16"/>
    </row>
    <row r="289" spans="1:5" x14ac:dyDescent="0.35">
      <c r="A289" s="16" t="s">
        <v>400</v>
      </c>
      <c r="B289" s="42" t="s">
        <v>299</v>
      </c>
      <c r="C289" s="43">
        <v>1131036</v>
      </c>
      <c r="D289" s="16"/>
      <c r="E289" s="16"/>
    </row>
    <row r="290" spans="1:5" x14ac:dyDescent="0.35">
      <c r="A290" s="16" t="s">
        <v>401</v>
      </c>
      <c r="B290" s="42" t="s">
        <v>299</v>
      </c>
      <c r="C290" s="43">
        <v>8119115</v>
      </c>
      <c r="D290" s="16"/>
      <c r="E290" s="16"/>
    </row>
    <row r="291" spans="1:5" x14ac:dyDescent="0.35">
      <c r="A291" s="16" t="s">
        <v>442</v>
      </c>
      <c r="B291" s="16"/>
      <c r="C291" s="23"/>
      <c r="D291" s="28">
        <v>106089339</v>
      </c>
      <c r="E291" s="16"/>
    </row>
    <row r="292" spans="1:5" x14ac:dyDescent="0.35">
      <c r="A292" s="16" t="s">
        <v>443</v>
      </c>
      <c r="B292" s="42" t="s">
        <v>299</v>
      </c>
      <c r="C292" s="43">
        <v>53865018</v>
      </c>
      <c r="D292" s="16"/>
      <c r="E292" s="16"/>
    </row>
    <row r="293" spans="1:5" x14ac:dyDescent="0.35">
      <c r="A293" s="16" t="s">
        <v>444</v>
      </c>
      <c r="B293" s="16"/>
      <c r="C293" s="23"/>
      <c r="D293" s="28">
        <v>52224321</v>
      </c>
      <c r="E293" s="16"/>
    </row>
    <row r="294" spans="1:5" x14ac:dyDescent="0.35">
      <c r="A294" s="41" t="s">
        <v>445</v>
      </c>
      <c r="B294" s="41"/>
      <c r="C294" s="41"/>
      <c r="D294" s="41"/>
      <c r="E294" s="41"/>
    </row>
    <row r="295" spans="1:5" x14ac:dyDescent="0.35">
      <c r="A295" s="16" t="s">
        <v>446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447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448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436</v>
      </c>
      <c r="B298" s="42" t="s">
        <v>299</v>
      </c>
      <c r="C298" s="43">
        <v>0</v>
      </c>
      <c r="D298" s="16"/>
      <c r="E298" s="16"/>
    </row>
    <row r="299" spans="1:5" x14ac:dyDescent="0.35">
      <c r="A299" s="16" t="s">
        <v>449</v>
      </c>
      <c r="B299" s="16"/>
      <c r="C299" s="23"/>
      <c r="D299" s="28"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450</v>
      </c>
      <c r="B301" s="41"/>
      <c r="C301" s="41"/>
      <c r="D301" s="41"/>
      <c r="E301" s="41"/>
    </row>
    <row r="302" spans="1:5" x14ac:dyDescent="0.35">
      <c r="A302" s="16" t="s">
        <v>451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452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453</v>
      </c>
      <c r="B304" s="42" t="s">
        <v>299</v>
      </c>
      <c r="C304" s="43">
        <v>0</v>
      </c>
      <c r="D304" s="16"/>
      <c r="E304" s="16"/>
    </row>
    <row r="305" spans="1:5" x14ac:dyDescent="0.35">
      <c r="A305" s="16" t="s">
        <v>454</v>
      </c>
      <c r="B305" s="42" t="s">
        <v>299</v>
      </c>
      <c r="C305" s="43">
        <v>0</v>
      </c>
      <c r="D305" s="16"/>
      <c r="E305" s="16"/>
    </row>
    <row r="306" spans="1:5" x14ac:dyDescent="0.35">
      <c r="A306" s="16" t="s">
        <v>455</v>
      </c>
      <c r="B306" s="16"/>
      <c r="C306" s="23"/>
      <c r="D306" s="28">
        <v>0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456</v>
      </c>
      <c r="B308" s="16"/>
      <c r="C308" s="23"/>
      <c r="D308" s="28">
        <v>148449641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457</v>
      </c>
      <c r="B312" s="34"/>
      <c r="C312" s="34"/>
      <c r="D312" s="34"/>
      <c r="E312" s="34"/>
    </row>
    <row r="313" spans="1:5" x14ac:dyDescent="0.35">
      <c r="A313" s="41" t="s">
        <v>458</v>
      </c>
      <c r="B313" s="41"/>
      <c r="C313" s="41"/>
      <c r="D313" s="41"/>
      <c r="E313" s="41"/>
    </row>
    <row r="314" spans="1:5" x14ac:dyDescent="0.35">
      <c r="A314" s="16" t="s">
        <v>459</v>
      </c>
      <c r="B314" s="42" t="s">
        <v>299</v>
      </c>
      <c r="C314" s="43">
        <v>0</v>
      </c>
      <c r="D314" s="16"/>
      <c r="E314" s="16"/>
    </row>
    <row r="315" spans="1:5" x14ac:dyDescent="0.35">
      <c r="A315" s="16" t="s">
        <v>460</v>
      </c>
      <c r="B315" s="42" t="s">
        <v>299</v>
      </c>
      <c r="C315" s="43">
        <v>4228424</v>
      </c>
      <c r="D315" s="16"/>
      <c r="E315" s="16"/>
    </row>
    <row r="316" spans="1:5" x14ac:dyDescent="0.35">
      <c r="A316" s="16" t="s">
        <v>461</v>
      </c>
      <c r="B316" s="42" t="s">
        <v>299</v>
      </c>
      <c r="C316" s="43">
        <v>5558497</v>
      </c>
      <c r="D316" s="16"/>
      <c r="E316" s="16"/>
    </row>
    <row r="317" spans="1:5" x14ac:dyDescent="0.35">
      <c r="A317" s="16" t="s">
        <v>462</v>
      </c>
      <c r="B317" s="42" t="s">
        <v>299</v>
      </c>
      <c r="C317" s="43">
        <v>0</v>
      </c>
      <c r="D317" s="16"/>
      <c r="E317" s="16"/>
    </row>
    <row r="318" spans="1:5" x14ac:dyDescent="0.35">
      <c r="A318" s="16" t="s">
        <v>463</v>
      </c>
      <c r="B318" s="42" t="s">
        <v>299</v>
      </c>
      <c r="C318" s="43">
        <v>0</v>
      </c>
      <c r="D318" s="16"/>
      <c r="E318" s="16"/>
    </row>
    <row r="319" spans="1:5" x14ac:dyDescent="0.35">
      <c r="A319" s="16" t="s">
        <v>464</v>
      </c>
      <c r="B319" s="42" t="s">
        <v>299</v>
      </c>
      <c r="C319" s="43">
        <v>1284899</v>
      </c>
      <c r="D319" s="16"/>
      <c r="E319" s="16"/>
    </row>
    <row r="320" spans="1:5" x14ac:dyDescent="0.35">
      <c r="A320" s="16" t="s">
        <v>465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466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467</v>
      </c>
      <c r="B322" s="42" t="s">
        <v>299</v>
      </c>
      <c r="C322" s="43">
        <v>0</v>
      </c>
      <c r="D322" s="16"/>
      <c r="E322" s="16"/>
    </row>
    <row r="323" spans="1:5" x14ac:dyDescent="0.35">
      <c r="A323" s="16" t="s">
        <v>468</v>
      </c>
      <c r="B323" s="42" t="s">
        <v>299</v>
      </c>
      <c r="C323" s="43">
        <v>2293900</v>
      </c>
      <c r="D323" s="16"/>
      <c r="E323" s="16"/>
    </row>
    <row r="324" spans="1:5" x14ac:dyDescent="0.35">
      <c r="A324" s="16" t="s">
        <v>469</v>
      </c>
      <c r="B324" s="16"/>
      <c r="C324" s="23"/>
      <c r="D324" s="28">
        <v>13365720</v>
      </c>
      <c r="E324" s="16"/>
    </row>
    <row r="325" spans="1:5" x14ac:dyDescent="0.35">
      <c r="A325" s="41" t="s">
        <v>470</v>
      </c>
      <c r="B325" s="41"/>
      <c r="C325" s="41"/>
      <c r="D325" s="41"/>
      <c r="E325" s="41"/>
    </row>
    <row r="326" spans="1:5" x14ac:dyDescent="0.35">
      <c r="A326" s="16" t="s">
        <v>471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472</v>
      </c>
      <c r="B327" s="42" t="s">
        <v>299</v>
      </c>
      <c r="C327" s="43">
        <v>60910</v>
      </c>
      <c r="D327" s="16"/>
      <c r="E327" s="16"/>
    </row>
    <row r="328" spans="1:5" x14ac:dyDescent="0.35">
      <c r="A328" s="16" t="s">
        <v>473</v>
      </c>
      <c r="B328" s="42" t="s">
        <v>299</v>
      </c>
      <c r="C328" s="43">
        <v>1028817</v>
      </c>
      <c r="D328" s="16"/>
      <c r="E328" s="16"/>
    </row>
    <row r="329" spans="1:5" x14ac:dyDescent="0.35">
      <c r="A329" s="16" t="s">
        <v>474</v>
      </c>
      <c r="B329" s="16"/>
      <c r="C329" s="23"/>
      <c r="D329" s="28">
        <v>1089727</v>
      </c>
      <c r="E329" s="16"/>
    </row>
    <row r="330" spans="1:5" x14ac:dyDescent="0.35">
      <c r="A330" s="41" t="s">
        <v>475</v>
      </c>
      <c r="B330" s="41"/>
      <c r="C330" s="41"/>
      <c r="D330" s="41"/>
      <c r="E330" s="41"/>
    </row>
    <row r="331" spans="1:5" x14ac:dyDescent="0.35">
      <c r="A331" s="16" t="s">
        <v>476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477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478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479</v>
      </c>
      <c r="B334" s="42" t="s">
        <v>299</v>
      </c>
      <c r="C334" s="43">
        <v>4991302</v>
      </c>
      <c r="D334" s="16"/>
      <c r="E334" s="16"/>
    </row>
    <row r="335" spans="1:5" x14ac:dyDescent="0.35">
      <c r="A335" s="16" t="s">
        <v>480</v>
      </c>
      <c r="B335" s="42" t="s">
        <v>299</v>
      </c>
      <c r="C335" s="43">
        <v>33155706</v>
      </c>
      <c r="D335" s="16"/>
      <c r="E335" s="16"/>
    </row>
    <row r="336" spans="1:5" x14ac:dyDescent="0.35">
      <c r="A336" s="22" t="s">
        <v>481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482</v>
      </c>
      <c r="B337" s="42" t="s">
        <v>299</v>
      </c>
      <c r="C337" s="277">
        <v>0</v>
      </c>
      <c r="D337" s="16"/>
      <c r="E337" s="16"/>
    </row>
    <row r="338" spans="1:5" x14ac:dyDescent="0.35">
      <c r="A338" s="16" t="s">
        <v>483</v>
      </c>
      <c r="B338" s="42" t="s">
        <v>299</v>
      </c>
      <c r="C338" s="43">
        <v>0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38147008</v>
      </c>
      <c r="E339" s="16"/>
    </row>
    <row r="340" spans="1:5" x14ac:dyDescent="0.35">
      <c r="A340" s="16" t="s">
        <v>484</v>
      </c>
      <c r="B340" s="16"/>
      <c r="C340" s="23"/>
      <c r="D340" s="28">
        <v>2293900</v>
      </c>
      <c r="E340" s="16"/>
    </row>
    <row r="341" spans="1:5" x14ac:dyDescent="0.35">
      <c r="A341" s="16" t="s">
        <v>485</v>
      </c>
      <c r="B341" s="16"/>
      <c r="C341" s="23"/>
      <c r="D341" s="28">
        <v>35853108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486</v>
      </c>
      <c r="B343" s="42" t="s">
        <v>299</v>
      </c>
      <c r="C343" s="256">
        <v>94334870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487</v>
      </c>
      <c r="B345" s="42" t="s">
        <v>299</v>
      </c>
      <c r="C345" s="213">
        <v>0</v>
      </c>
      <c r="D345" s="16"/>
      <c r="E345" s="16"/>
    </row>
    <row r="346" spans="1:5" x14ac:dyDescent="0.35">
      <c r="A346" s="16" t="s">
        <v>488</v>
      </c>
      <c r="B346" s="42" t="s">
        <v>299</v>
      </c>
      <c r="C346" s="213">
        <v>0</v>
      </c>
      <c r="D346" s="16"/>
      <c r="E346" s="16"/>
    </row>
    <row r="347" spans="1:5" x14ac:dyDescent="0.35">
      <c r="A347" s="16" t="s">
        <v>489</v>
      </c>
      <c r="B347" s="42" t="s">
        <v>299</v>
      </c>
      <c r="C347" s="213">
        <v>0</v>
      </c>
      <c r="D347" s="16"/>
      <c r="E347" s="16"/>
    </row>
    <row r="348" spans="1:5" x14ac:dyDescent="0.35">
      <c r="A348" s="16" t="s">
        <v>490</v>
      </c>
      <c r="B348" s="42" t="s">
        <v>299</v>
      </c>
      <c r="C348" s="213">
        <v>0</v>
      </c>
      <c r="D348" s="16"/>
      <c r="E348" s="16"/>
    </row>
    <row r="349" spans="1:5" x14ac:dyDescent="0.35">
      <c r="A349" s="16" t="s">
        <v>491</v>
      </c>
      <c r="B349" s="42" t="s">
        <v>299</v>
      </c>
      <c r="C349" s="213">
        <v>0</v>
      </c>
      <c r="D349" s="16"/>
      <c r="E349" s="16"/>
    </row>
    <row r="350" spans="1:5" x14ac:dyDescent="0.35">
      <c r="A350" s="16" t="s">
        <v>492</v>
      </c>
      <c r="B350" s="16"/>
      <c r="C350" s="23"/>
      <c r="D350" s="28">
        <v>144643425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493</v>
      </c>
      <c r="B352" s="16"/>
      <c r="C352" s="23"/>
      <c r="D352" s="28">
        <v>148449641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494</v>
      </c>
      <c r="B356" s="34"/>
      <c r="C356" s="34"/>
      <c r="D356" s="34"/>
      <c r="E356" s="34"/>
    </row>
    <row r="357" spans="1:5" x14ac:dyDescent="0.35">
      <c r="A357" s="41" t="s">
        <v>495</v>
      </c>
      <c r="B357" s="41"/>
      <c r="C357" s="41"/>
      <c r="D357" s="41"/>
      <c r="E357" s="41"/>
    </row>
    <row r="358" spans="1:5" x14ac:dyDescent="0.35">
      <c r="A358" s="16" t="s">
        <v>496</v>
      </c>
      <c r="B358" s="42" t="s">
        <v>299</v>
      </c>
      <c r="C358" s="213">
        <v>30388810</v>
      </c>
      <c r="D358" s="16"/>
      <c r="E358" s="16"/>
    </row>
    <row r="359" spans="1:5" x14ac:dyDescent="0.35">
      <c r="A359" s="16" t="s">
        <v>497</v>
      </c>
      <c r="B359" s="42" t="s">
        <v>299</v>
      </c>
      <c r="C359" s="213">
        <v>183103271</v>
      </c>
      <c r="D359" s="16"/>
      <c r="E359" s="16"/>
    </row>
    <row r="360" spans="1:5" x14ac:dyDescent="0.35">
      <c r="A360" s="16" t="s">
        <v>498</v>
      </c>
      <c r="B360" s="16"/>
      <c r="C360" s="23"/>
      <c r="D360" s="28">
        <v>213492081</v>
      </c>
      <c r="E360" s="16"/>
    </row>
    <row r="361" spans="1:5" x14ac:dyDescent="0.35">
      <c r="A361" s="41" t="s">
        <v>499</v>
      </c>
      <c r="B361" s="41"/>
      <c r="C361" s="41"/>
      <c r="D361" s="41"/>
      <c r="E361" s="41"/>
    </row>
    <row r="362" spans="1:5" x14ac:dyDescent="0.35">
      <c r="A362" s="16" t="s">
        <v>404</v>
      </c>
      <c r="B362" s="41"/>
      <c r="C362" s="43">
        <v>5954254</v>
      </c>
      <c r="D362" s="16"/>
      <c r="E362" s="41"/>
    </row>
    <row r="363" spans="1:5" x14ac:dyDescent="0.35">
      <c r="A363" s="16" t="s">
        <v>500</v>
      </c>
      <c r="B363" s="42" t="s">
        <v>299</v>
      </c>
      <c r="C363" s="43">
        <v>84822308</v>
      </c>
      <c r="D363" s="16"/>
      <c r="E363" s="16"/>
    </row>
    <row r="364" spans="1:5" x14ac:dyDescent="0.35">
      <c r="A364" s="16" t="s">
        <v>501</v>
      </c>
      <c r="B364" s="42" t="s">
        <v>299</v>
      </c>
      <c r="C364" s="43">
        <v>1235660</v>
      </c>
      <c r="D364" s="16"/>
      <c r="E364" s="16"/>
    </row>
    <row r="365" spans="1:5" x14ac:dyDescent="0.35">
      <c r="A365" s="16" t="s">
        <v>502</v>
      </c>
      <c r="B365" s="42" t="s">
        <v>299</v>
      </c>
      <c r="C365" s="43">
        <v>1733500</v>
      </c>
      <c r="D365" s="16"/>
      <c r="E365" s="16"/>
    </row>
    <row r="366" spans="1:5" x14ac:dyDescent="0.35">
      <c r="A366" s="16" t="s">
        <v>421</v>
      </c>
      <c r="B366" s="16"/>
      <c r="C366" s="23"/>
      <c r="D366" s="28">
        <v>93745722</v>
      </c>
      <c r="E366" s="16"/>
    </row>
    <row r="367" spans="1:5" x14ac:dyDescent="0.35">
      <c r="A367" s="16" t="s">
        <v>503</v>
      </c>
      <c r="B367" s="16"/>
      <c r="C367" s="23"/>
      <c r="D367" s="28">
        <v>119746359</v>
      </c>
      <c r="E367" s="16"/>
    </row>
    <row r="368" spans="1:5" x14ac:dyDescent="0.35">
      <c r="A368" s="54" t="s">
        <v>504</v>
      </c>
      <c r="B368" s="41"/>
      <c r="C368" s="41"/>
      <c r="D368" s="41"/>
      <c r="E368" s="41"/>
    </row>
    <row r="369" spans="1:6" x14ac:dyDescent="0.35">
      <c r="A369" s="28" t="s">
        <v>505</v>
      </c>
      <c r="B369" s="16"/>
      <c r="C369" s="16"/>
      <c r="D369" s="16"/>
      <c r="E369" s="16"/>
    </row>
    <row r="370" spans="1:6" x14ac:dyDescent="0.35">
      <c r="A370" s="55" t="s">
        <v>506</v>
      </c>
      <c r="B370" s="36" t="s">
        <v>299</v>
      </c>
      <c r="C370" s="237">
        <v>195039</v>
      </c>
      <c r="D370" s="28">
        <v>0</v>
      </c>
      <c r="E370" s="28"/>
    </row>
    <row r="371" spans="1:6" x14ac:dyDescent="0.35">
      <c r="A371" s="55" t="s">
        <v>507</v>
      </c>
      <c r="B371" s="36" t="s">
        <v>299</v>
      </c>
      <c r="C371" s="237">
        <v>158683</v>
      </c>
      <c r="D371" s="28">
        <v>0</v>
      </c>
      <c r="E371" s="28"/>
    </row>
    <row r="372" spans="1:6" x14ac:dyDescent="0.35">
      <c r="A372" s="55" t="s">
        <v>508</v>
      </c>
      <c r="B372" s="36" t="s">
        <v>299</v>
      </c>
      <c r="C372" s="237">
        <v>0</v>
      </c>
      <c r="D372" s="28">
        <v>0</v>
      </c>
      <c r="E372" s="28"/>
    </row>
    <row r="373" spans="1:6" x14ac:dyDescent="0.35">
      <c r="A373" s="55" t="s">
        <v>509</v>
      </c>
      <c r="B373" s="36" t="s">
        <v>299</v>
      </c>
      <c r="C373" s="237">
        <v>0</v>
      </c>
      <c r="D373" s="28">
        <v>0</v>
      </c>
      <c r="E373" s="28"/>
    </row>
    <row r="374" spans="1:6" x14ac:dyDescent="0.35">
      <c r="A374" s="55" t="s">
        <v>510</v>
      </c>
      <c r="B374" s="36" t="s">
        <v>299</v>
      </c>
      <c r="C374" s="237">
        <v>1220074</v>
      </c>
      <c r="D374" s="28">
        <v>0</v>
      </c>
      <c r="E374" s="28"/>
    </row>
    <row r="375" spans="1:6" x14ac:dyDescent="0.35">
      <c r="A375" s="55" t="s">
        <v>511</v>
      </c>
      <c r="B375" s="36" t="s">
        <v>299</v>
      </c>
      <c r="C375" s="237">
        <v>0</v>
      </c>
      <c r="D375" s="28">
        <v>0</v>
      </c>
      <c r="E375" s="28"/>
    </row>
    <row r="376" spans="1:6" x14ac:dyDescent="0.35">
      <c r="A376" s="55" t="s">
        <v>512</v>
      </c>
      <c r="B376" s="36" t="s">
        <v>299</v>
      </c>
      <c r="C376" s="237">
        <v>0</v>
      </c>
      <c r="D376" s="28">
        <v>0</v>
      </c>
      <c r="E376" s="28"/>
    </row>
    <row r="377" spans="1:6" x14ac:dyDescent="0.35">
      <c r="A377" s="55" t="s">
        <v>513</v>
      </c>
      <c r="B377" s="36" t="s">
        <v>299</v>
      </c>
      <c r="C377" s="237">
        <v>0</v>
      </c>
      <c r="D377" s="28">
        <v>0</v>
      </c>
      <c r="E377" s="28"/>
    </row>
    <row r="378" spans="1:6" x14ac:dyDescent="0.35">
      <c r="A378" s="55" t="s">
        <v>514</v>
      </c>
      <c r="B378" s="36" t="s">
        <v>299</v>
      </c>
      <c r="C378" s="237">
        <v>0</v>
      </c>
      <c r="D378" s="28">
        <v>0</v>
      </c>
      <c r="E378" s="28"/>
    </row>
    <row r="379" spans="1:6" x14ac:dyDescent="0.35">
      <c r="A379" s="55" t="s">
        <v>515</v>
      </c>
      <c r="B379" s="36" t="s">
        <v>299</v>
      </c>
      <c r="C379" s="237">
        <v>309808</v>
      </c>
      <c r="D379" s="28">
        <v>0</v>
      </c>
      <c r="E379" s="28"/>
    </row>
    <row r="380" spans="1:6" x14ac:dyDescent="0.35">
      <c r="A380" s="55" t="s">
        <v>516</v>
      </c>
      <c r="B380" s="36" t="s">
        <v>299</v>
      </c>
      <c r="C380" s="214">
        <v>589122</v>
      </c>
      <c r="D380" s="28">
        <v>0</v>
      </c>
      <c r="E380" s="215"/>
      <c r="F380" s="56"/>
    </row>
    <row r="381" spans="1:6" x14ac:dyDescent="0.35">
      <c r="A381" s="57" t="s">
        <v>517</v>
      </c>
      <c r="B381" s="42"/>
      <c r="C381" s="42"/>
      <c r="D381" s="28">
        <v>2472726</v>
      </c>
      <c r="E381" s="28"/>
      <c r="F381" s="56"/>
    </row>
    <row r="382" spans="1:6" x14ac:dyDescent="0.35">
      <c r="A382" s="52" t="s">
        <v>518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519</v>
      </c>
      <c r="B383" s="16"/>
      <c r="C383" s="23"/>
      <c r="D383" s="28">
        <v>2472726</v>
      </c>
      <c r="E383" s="16"/>
    </row>
    <row r="384" spans="1:6" x14ac:dyDescent="0.35">
      <c r="A384" s="16" t="s">
        <v>520</v>
      </c>
      <c r="B384" s="16"/>
      <c r="C384" s="23"/>
      <c r="D384" s="28">
        <v>122219085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521</v>
      </c>
      <c r="B388" s="41"/>
      <c r="C388" s="41"/>
      <c r="D388" s="41"/>
      <c r="E388" s="41"/>
    </row>
    <row r="389" spans="1:5" x14ac:dyDescent="0.35">
      <c r="A389" s="16" t="s">
        <v>522</v>
      </c>
      <c r="B389" s="42" t="s">
        <v>299</v>
      </c>
      <c r="C389" s="43">
        <v>54598631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13048651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2716325</v>
      </c>
      <c r="D391" s="16"/>
      <c r="E391" s="16"/>
    </row>
    <row r="392" spans="1:5" x14ac:dyDescent="0.35">
      <c r="A392" s="16" t="s">
        <v>523</v>
      </c>
      <c r="B392" s="42" t="s">
        <v>299</v>
      </c>
      <c r="C392" s="43">
        <v>12536040</v>
      </c>
      <c r="D392" s="16"/>
      <c r="E392" s="16"/>
    </row>
    <row r="393" spans="1:5" x14ac:dyDescent="0.35">
      <c r="A393" s="16" t="s">
        <v>524</v>
      </c>
      <c r="B393" s="42" t="s">
        <v>299</v>
      </c>
      <c r="C393" s="43">
        <v>1198546</v>
      </c>
      <c r="D393" s="16"/>
      <c r="E393" s="16"/>
    </row>
    <row r="394" spans="1:5" x14ac:dyDescent="0.35">
      <c r="A394" s="16" t="s">
        <v>525</v>
      </c>
      <c r="B394" s="42" t="s">
        <v>299</v>
      </c>
      <c r="C394" s="43">
        <v>13503688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5661935</v>
      </c>
      <c r="D395" s="16"/>
      <c r="E395" s="16"/>
    </row>
    <row r="396" spans="1:5" x14ac:dyDescent="0.35">
      <c r="A396" s="16" t="s">
        <v>526</v>
      </c>
      <c r="B396" s="42" t="s">
        <v>299</v>
      </c>
      <c r="C396" s="43">
        <v>189040</v>
      </c>
      <c r="D396" s="16"/>
      <c r="E396" s="16"/>
    </row>
    <row r="397" spans="1:5" x14ac:dyDescent="0.35">
      <c r="A397" s="16" t="s">
        <v>527</v>
      </c>
      <c r="B397" s="42" t="s">
        <v>299</v>
      </c>
      <c r="C397" s="43">
        <v>1211003</v>
      </c>
      <c r="D397" s="16"/>
      <c r="E397" s="16"/>
    </row>
    <row r="398" spans="1:5" x14ac:dyDescent="0.35">
      <c r="A398" s="16" t="s">
        <v>528</v>
      </c>
      <c r="B398" s="42" t="s">
        <v>299</v>
      </c>
      <c r="C398" s="43">
        <v>756103</v>
      </c>
      <c r="D398" s="16"/>
      <c r="E398" s="16"/>
    </row>
    <row r="399" spans="1:5" x14ac:dyDescent="0.35">
      <c r="A399" s="16" t="s">
        <v>529</v>
      </c>
      <c r="B399" s="42" t="s">
        <v>299</v>
      </c>
      <c r="C399" s="43">
        <v>777132</v>
      </c>
      <c r="D399" s="16"/>
      <c r="E399" s="16"/>
    </row>
    <row r="400" spans="1:5" x14ac:dyDescent="0.35">
      <c r="A400" s="28" t="s">
        <v>530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37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37">
        <v>6697461</v>
      </c>
      <c r="D402" s="28">
        <v>0</v>
      </c>
      <c r="E402" s="28"/>
    </row>
    <row r="403" spans="1:9" x14ac:dyDescent="0.35">
      <c r="A403" s="29" t="s">
        <v>531</v>
      </c>
      <c r="B403" s="36" t="s">
        <v>299</v>
      </c>
      <c r="C403" s="237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37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37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37">
        <v>152636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37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37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37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37">
        <v>224658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37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37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37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4">
        <v>873235</v>
      </c>
      <c r="D414" s="28">
        <v>0</v>
      </c>
      <c r="E414" s="215"/>
      <c r="F414" s="56"/>
      <c r="G414" s="56"/>
      <c r="H414" s="56"/>
      <c r="I414" s="56"/>
    </row>
    <row r="415" spans="1:9" x14ac:dyDescent="0.35">
      <c r="A415" s="58" t="s">
        <v>532</v>
      </c>
      <c r="B415" s="42"/>
      <c r="C415" s="42"/>
      <c r="D415" s="28">
        <v>7947990</v>
      </c>
      <c r="E415" s="28"/>
      <c r="F415" s="56"/>
      <c r="G415" s="56"/>
      <c r="H415" s="56"/>
      <c r="I415" s="56"/>
    </row>
    <row r="416" spans="1:9" x14ac:dyDescent="0.35">
      <c r="A416" s="28" t="s">
        <v>533</v>
      </c>
      <c r="B416" s="16"/>
      <c r="C416" s="23"/>
      <c r="D416" s="28">
        <v>114145084</v>
      </c>
      <c r="E416" s="28"/>
    </row>
    <row r="417" spans="1:13" x14ac:dyDescent="0.35">
      <c r="A417" s="28" t="s">
        <v>534</v>
      </c>
      <c r="B417" s="16"/>
      <c r="C417" s="23"/>
      <c r="D417" s="28">
        <v>8074001</v>
      </c>
      <c r="E417" s="28"/>
    </row>
    <row r="418" spans="1:13" x14ac:dyDescent="0.35">
      <c r="A418" s="28" t="s">
        <v>535</v>
      </c>
      <c r="B418" s="16"/>
      <c r="C418" s="214">
        <v>-1994212</v>
      </c>
      <c r="D418" s="28">
        <v>0</v>
      </c>
      <c r="E418" s="28"/>
    </row>
    <row r="419" spans="1:13" x14ac:dyDescent="0.35">
      <c r="A419" s="55" t="s">
        <v>536</v>
      </c>
      <c r="B419" s="42" t="s">
        <v>299</v>
      </c>
      <c r="C419" s="237">
        <v>0</v>
      </c>
      <c r="D419" s="28">
        <v>0</v>
      </c>
      <c r="E419" s="28"/>
    </row>
    <row r="420" spans="1:13" x14ac:dyDescent="0.35">
      <c r="A420" s="57" t="s">
        <v>537</v>
      </c>
      <c r="B420" s="16"/>
      <c r="C420" s="16"/>
      <c r="D420" s="28">
        <v>-1994212</v>
      </c>
      <c r="E420" s="28"/>
    </row>
    <row r="421" spans="1:13" x14ac:dyDescent="0.35">
      <c r="A421" s="28" t="s">
        <v>538</v>
      </c>
      <c r="B421" s="16"/>
      <c r="C421" s="23"/>
      <c r="D421" s="28">
        <v>6079789</v>
      </c>
      <c r="E421" s="28"/>
      <c r="F421" s="59"/>
    </row>
    <row r="422" spans="1:13" x14ac:dyDescent="0.35">
      <c r="A422" s="28" t="s">
        <v>539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540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541</v>
      </c>
      <c r="B424" s="16"/>
      <c r="C424" s="23"/>
      <c r="D424" s="28">
        <v>6079789</v>
      </c>
      <c r="E424" s="16"/>
    </row>
    <row r="425" spans="1:13" x14ac:dyDescent="0.35">
      <c r="A425" s="16" t="s">
        <v>541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1"/>
      <c r="C613" s="219" t="s">
        <v>542</v>
      </c>
      <c r="D613" s="226">
        <f>CE91-(BE91+CD91)</f>
        <v>15871</v>
      </c>
      <c r="E613" s="228">
        <f>SUM(C625:D648)+SUM(C669:D714)</f>
        <v>0</v>
      </c>
      <c r="F613" s="228">
        <f>CE65-(AX65+BD65+BE65+BG65+BJ65+BN65+BP65+BQ65+CB65+CC65+CD65)</f>
        <v>344768</v>
      </c>
      <c r="G613" s="226">
        <f>CE92-(AX92+AY92+BD92+BE92+BG92+BJ92+BN92+BP92+BQ92+CB92+CC92+CD92)</f>
        <v>50097</v>
      </c>
      <c r="H613" s="231">
        <f>CE61-(AX61+AY61+AZ61+BD61+BE61+BG61+BJ61+BN61+BO61+BP61+BQ61+BR61+CB61+CC61+CD61)</f>
        <v>49734149</v>
      </c>
      <c r="I613" s="226">
        <f>CE93-(AX93+AY93+AZ93+BD93+BE93+BF93+BG93+BJ93+BN93+BO93+BP93+BQ93+BR93+CB93+CC93+CD93)</f>
        <v>434500</v>
      </c>
      <c r="J613" s="226">
        <f>CE94-(AX94+AY94+AZ94+BA94+BD94+BE94+BF94+BG94+BJ94+BN94+BO94+BP94+BQ94+BR94+CB94+CC94+CD94)</f>
        <v>104.77</v>
      </c>
      <c r="K613" s="226">
        <f>CE90-(AW90+AX90+AY90+AZ90+BA90+BB90+BC90+BD90+BE90+BF90+BG90+BH90+BI90+BJ90+BK90+BL90+BM90+BN90+BO90+BP90+BQ90+BR90+BS90+BT90+BU90+BV90+BW90+BX90+CB90+CC90+CD90)</f>
        <v>94581</v>
      </c>
      <c r="L613" s="232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1"/>
      <c r="C614" s="219" t="s">
        <v>543</v>
      </c>
      <c r="D614" s="227" t="s">
        <v>544</v>
      </c>
      <c r="E614" s="229" t="s">
        <v>545</v>
      </c>
      <c r="F614" s="230" t="s">
        <v>546</v>
      </c>
      <c r="G614" s="227" t="s">
        <v>547</v>
      </c>
      <c r="H614" s="230" t="s">
        <v>548</v>
      </c>
      <c r="I614" s="227" t="s">
        <v>549</v>
      </c>
      <c r="J614" s="227" t="s">
        <v>550</v>
      </c>
      <c r="K614" s="219" t="s">
        <v>551</v>
      </c>
      <c r="L614" s="220" t="s">
        <v>552</v>
      </c>
    </row>
    <row r="615" spans="1:14" s="211" customFormat="1" ht="12.65" customHeight="1" x14ac:dyDescent="0.3">
      <c r="A615" s="221">
        <v>8430</v>
      </c>
      <c r="B615" s="220" t="s">
        <v>167</v>
      </c>
      <c r="C615" s="226" t="str">
        <f>BE86</f>
        <v>x</v>
      </c>
      <c r="D615" s="226"/>
      <c r="E615" s="228"/>
      <c r="F615" s="228"/>
      <c r="G615" s="226"/>
      <c r="H615" s="228"/>
      <c r="I615" s="226"/>
      <c r="J615" s="226"/>
      <c r="N615" s="222" t="s">
        <v>553</v>
      </c>
    </row>
    <row r="616" spans="1:14" s="211" customFormat="1" ht="12.65" customHeight="1" x14ac:dyDescent="0.3">
      <c r="A616" s="221"/>
      <c r="B616" s="220" t="s">
        <v>554</v>
      </c>
      <c r="C616" s="226">
        <f>CD70-CD85</f>
        <v>0</v>
      </c>
      <c r="D616" s="226">
        <f>SUM(C615:C616)</f>
        <v>0</v>
      </c>
      <c r="E616" s="228"/>
      <c r="F616" s="228"/>
      <c r="G616" s="226"/>
      <c r="H616" s="228"/>
      <c r="I616" s="226"/>
      <c r="J616" s="226"/>
      <c r="N616" s="222" t="s">
        <v>555</v>
      </c>
    </row>
    <row r="617" spans="1:14" s="211" customFormat="1" ht="12.65" customHeight="1" x14ac:dyDescent="0.3">
      <c r="A617" s="221">
        <v>8310</v>
      </c>
      <c r="B617" s="225" t="s">
        <v>556</v>
      </c>
      <c r="C617" s="226" t="str">
        <f>AX86</f>
        <v>x</v>
      </c>
      <c r="D617" s="226">
        <f>(D616/D613)*AX91</f>
        <v>0</v>
      </c>
      <c r="E617" s="228"/>
      <c r="F617" s="228"/>
      <c r="G617" s="226"/>
      <c r="H617" s="228"/>
      <c r="I617" s="226"/>
      <c r="J617" s="226"/>
      <c r="N617" s="222" t="s">
        <v>557</v>
      </c>
    </row>
    <row r="618" spans="1:14" s="211" customFormat="1" ht="12.65" customHeight="1" x14ac:dyDescent="0.3">
      <c r="A618" s="221">
        <v>8510</v>
      </c>
      <c r="B618" s="225" t="s">
        <v>172</v>
      </c>
      <c r="C618" s="226" t="str">
        <f>BJ86</f>
        <v>x</v>
      </c>
      <c r="D618" s="226">
        <f>(D616/D613)*BJ91</f>
        <v>0</v>
      </c>
      <c r="E618" s="228"/>
      <c r="F618" s="228"/>
      <c r="G618" s="226"/>
      <c r="H618" s="228"/>
      <c r="I618" s="226"/>
      <c r="J618" s="226"/>
      <c r="N618" s="222" t="s">
        <v>558</v>
      </c>
    </row>
    <row r="619" spans="1:14" s="211" customFormat="1" ht="12.65" customHeight="1" x14ac:dyDescent="0.3">
      <c r="A619" s="221">
        <v>8470</v>
      </c>
      <c r="B619" s="225" t="s">
        <v>559</v>
      </c>
      <c r="C619" s="226" t="str">
        <f>BG86</f>
        <v>x</v>
      </c>
      <c r="D619" s="226">
        <f>(D616/D613)*BG91</f>
        <v>0</v>
      </c>
      <c r="E619" s="228"/>
      <c r="F619" s="228"/>
      <c r="G619" s="226"/>
      <c r="H619" s="228"/>
      <c r="I619" s="226"/>
      <c r="J619" s="226"/>
      <c r="N619" s="222" t="s">
        <v>560</v>
      </c>
    </row>
    <row r="620" spans="1:14" s="211" customFormat="1" ht="12.65" customHeight="1" x14ac:dyDescent="0.3">
      <c r="A620" s="221">
        <v>8610</v>
      </c>
      <c r="B620" s="225" t="s">
        <v>561</v>
      </c>
      <c r="C620" s="226" t="str">
        <f>BN86</f>
        <v>x</v>
      </c>
      <c r="D620" s="226">
        <f>(D616/D613)*BN91</f>
        <v>0</v>
      </c>
      <c r="E620" s="228"/>
      <c r="F620" s="228"/>
      <c r="G620" s="226"/>
      <c r="H620" s="228"/>
      <c r="I620" s="226"/>
      <c r="J620" s="226"/>
      <c r="N620" s="222" t="s">
        <v>562</v>
      </c>
    </row>
    <row r="621" spans="1:14" s="211" customFormat="1" ht="12.65" customHeight="1" x14ac:dyDescent="0.3">
      <c r="A621" s="221">
        <v>8790</v>
      </c>
      <c r="B621" s="225" t="s">
        <v>563</v>
      </c>
      <c r="C621" s="226" t="str">
        <f>CC86</f>
        <v>x</v>
      </c>
      <c r="D621" s="226">
        <f>(D616/D613)*CC91</f>
        <v>0</v>
      </c>
      <c r="E621" s="228"/>
      <c r="F621" s="228"/>
      <c r="G621" s="226"/>
      <c r="H621" s="228"/>
      <c r="I621" s="226"/>
      <c r="J621" s="226"/>
      <c r="N621" s="222" t="s">
        <v>564</v>
      </c>
    </row>
    <row r="622" spans="1:14" s="211" customFormat="1" ht="12.65" customHeight="1" x14ac:dyDescent="0.3">
      <c r="A622" s="221">
        <v>8630</v>
      </c>
      <c r="B622" s="225" t="s">
        <v>565</v>
      </c>
      <c r="C622" s="226" t="str">
        <f>BP86</f>
        <v>x</v>
      </c>
      <c r="D622" s="226">
        <f>(D616/D613)*BP91</f>
        <v>0</v>
      </c>
      <c r="E622" s="228"/>
      <c r="F622" s="228"/>
      <c r="G622" s="226"/>
      <c r="H622" s="228"/>
      <c r="I622" s="226"/>
      <c r="J622" s="226"/>
      <c r="N622" s="222" t="s">
        <v>566</v>
      </c>
    </row>
    <row r="623" spans="1:14" s="211" customFormat="1" ht="12.65" customHeight="1" x14ac:dyDescent="0.3">
      <c r="A623" s="221">
        <v>8770</v>
      </c>
      <c r="B623" s="220" t="s">
        <v>567</v>
      </c>
      <c r="C623" s="226" t="str">
        <f>CB86</f>
        <v>x</v>
      </c>
      <c r="D623" s="226">
        <f>(D616/D613)*CB91</f>
        <v>0</v>
      </c>
      <c r="E623" s="228"/>
      <c r="F623" s="228"/>
      <c r="G623" s="226"/>
      <c r="H623" s="228"/>
      <c r="I623" s="226"/>
      <c r="J623" s="226"/>
      <c r="N623" s="222" t="s">
        <v>568</v>
      </c>
    </row>
    <row r="624" spans="1:14" s="211" customFormat="1" ht="12.65" customHeight="1" x14ac:dyDescent="0.3">
      <c r="A624" s="221">
        <v>8640</v>
      </c>
      <c r="B624" s="225" t="s">
        <v>569</v>
      </c>
      <c r="C624" s="226" t="str">
        <f>BQ86</f>
        <v>x</v>
      </c>
      <c r="D624" s="226">
        <f>(D616/D613)*BQ91</f>
        <v>0</v>
      </c>
      <c r="E624" s="228">
        <f>SUM(C617:D624)</f>
        <v>0</v>
      </c>
      <c r="F624" s="228"/>
      <c r="G624" s="226"/>
      <c r="H624" s="228"/>
      <c r="I624" s="226"/>
      <c r="J624" s="226"/>
      <c r="N624" s="222" t="s">
        <v>570</v>
      </c>
    </row>
    <row r="625" spans="1:14" s="211" customFormat="1" ht="12.65" customHeight="1" x14ac:dyDescent="0.3">
      <c r="A625" s="221">
        <v>8420</v>
      </c>
      <c r="B625" s="225" t="s">
        <v>166</v>
      </c>
      <c r="C625" s="226" t="str">
        <f>BD86</f>
        <v>x</v>
      </c>
      <c r="D625" s="226">
        <f>(D616/D613)*BD91</f>
        <v>0</v>
      </c>
      <c r="E625" s="228" t="e">
        <f>(E624/E613)*SUM(C625:D625)</f>
        <v>#DIV/0!</v>
      </c>
      <c r="F625" s="228" t="e">
        <f>SUM(C625:E625)</f>
        <v>#DIV/0!</v>
      </c>
      <c r="G625" s="226"/>
      <c r="H625" s="228"/>
      <c r="I625" s="226"/>
      <c r="J625" s="226"/>
      <c r="N625" s="222" t="s">
        <v>571</v>
      </c>
    </row>
    <row r="626" spans="1:14" s="211" customFormat="1" ht="12.65" customHeight="1" x14ac:dyDescent="0.3">
      <c r="A626" s="221">
        <v>8320</v>
      </c>
      <c r="B626" s="225" t="s">
        <v>162</v>
      </c>
      <c r="C626" s="226" t="str">
        <f>AY86</f>
        <v>x</v>
      </c>
      <c r="D626" s="226">
        <f>(D616/D613)*AY91</f>
        <v>0</v>
      </c>
      <c r="E626" s="228" t="e">
        <f>(E624/E613)*SUM(C626:D626)</f>
        <v>#DIV/0!</v>
      </c>
      <c r="F626" s="228" t="e">
        <f>(F625/F613)*AY65</f>
        <v>#DIV/0!</v>
      </c>
      <c r="G626" s="226" t="e">
        <f>SUM(C626:F626)</f>
        <v>#DIV/0!</v>
      </c>
      <c r="H626" s="228"/>
      <c r="I626" s="226"/>
      <c r="J626" s="226"/>
      <c r="N626" s="222" t="s">
        <v>572</v>
      </c>
    </row>
    <row r="627" spans="1:14" s="211" customFormat="1" ht="12.65" customHeight="1" x14ac:dyDescent="0.3">
      <c r="A627" s="221">
        <v>8650</v>
      </c>
      <c r="B627" s="225" t="s">
        <v>179</v>
      </c>
      <c r="C627" s="226" t="str">
        <f>BR86</f>
        <v>x</v>
      </c>
      <c r="D627" s="226">
        <f>(D616/D613)*BR91</f>
        <v>0</v>
      </c>
      <c r="E627" s="228" t="e">
        <f>(E624/E613)*SUM(C627:D627)</f>
        <v>#DIV/0!</v>
      </c>
      <c r="F627" s="228" t="e">
        <f>(F625/F613)*BR65</f>
        <v>#DIV/0!</v>
      </c>
      <c r="G627" s="226" t="e">
        <f>(G626/G613)*BR92</f>
        <v>#DIV/0!</v>
      </c>
      <c r="H627" s="228"/>
      <c r="I627" s="226"/>
      <c r="J627" s="226"/>
      <c r="N627" s="222" t="s">
        <v>573</v>
      </c>
    </row>
    <row r="628" spans="1:14" s="211" customFormat="1" ht="12.65" customHeight="1" x14ac:dyDescent="0.3">
      <c r="A628" s="221">
        <v>8620</v>
      </c>
      <c r="B628" s="220" t="s">
        <v>574</v>
      </c>
      <c r="C628" s="226" t="str">
        <f>BO86</f>
        <v>x</v>
      </c>
      <c r="D628" s="226">
        <f>(D616/D613)*BO91</f>
        <v>0</v>
      </c>
      <c r="E628" s="228" t="e">
        <f>(E624/E613)*SUM(C628:D628)</f>
        <v>#DIV/0!</v>
      </c>
      <c r="F628" s="228" t="e">
        <f>(F625/F613)*BO65</f>
        <v>#DIV/0!</v>
      </c>
      <c r="G628" s="226" t="e">
        <f>(G626/G613)*BO92</f>
        <v>#DIV/0!</v>
      </c>
      <c r="H628" s="228"/>
      <c r="I628" s="226"/>
      <c r="J628" s="226"/>
      <c r="N628" s="222" t="s">
        <v>575</v>
      </c>
    </row>
    <row r="629" spans="1:14" s="211" customFormat="1" ht="12.65" customHeight="1" x14ac:dyDescent="0.3">
      <c r="A629" s="221">
        <v>8330</v>
      </c>
      <c r="B629" s="225" t="s">
        <v>163</v>
      </c>
      <c r="C629" s="226" t="str">
        <f>AZ86</f>
        <v>x</v>
      </c>
      <c r="D629" s="226">
        <f>(D616/D613)*AZ91</f>
        <v>0</v>
      </c>
      <c r="E629" s="228" t="e">
        <f>(E624/E613)*SUM(C629:D629)</f>
        <v>#DIV/0!</v>
      </c>
      <c r="F629" s="228" t="e">
        <f>(F625/F613)*AZ65</f>
        <v>#DIV/0!</v>
      </c>
      <c r="G629" s="226" t="e">
        <f>(G626/G613)*AZ92</f>
        <v>#DIV/0!</v>
      </c>
      <c r="H629" s="228" t="e">
        <f>SUM(C627:G629)</f>
        <v>#DIV/0!</v>
      </c>
      <c r="I629" s="226"/>
      <c r="J629" s="226"/>
      <c r="N629" s="222" t="s">
        <v>576</v>
      </c>
    </row>
    <row r="630" spans="1:14" s="211" customFormat="1" ht="12.65" customHeight="1" x14ac:dyDescent="0.3">
      <c r="A630" s="221">
        <v>8460</v>
      </c>
      <c r="B630" s="225" t="s">
        <v>168</v>
      </c>
      <c r="C630" s="226" t="str">
        <f>BF86</f>
        <v>x</v>
      </c>
      <c r="D630" s="226">
        <f>(D616/D613)*BF91</f>
        <v>0</v>
      </c>
      <c r="E630" s="228" t="e">
        <f>(E624/E613)*SUM(C630:D630)</f>
        <v>#DIV/0!</v>
      </c>
      <c r="F630" s="228" t="e">
        <f>(F625/F613)*BF65</f>
        <v>#DIV/0!</v>
      </c>
      <c r="G630" s="226" t="e">
        <f>(G626/G613)*BF92</f>
        <v>#DIV/0!</v>
      </c>
      <c r="H630" s="228" t="e">
        <f>(H629/H613)*BF61</f>
        <v>#DIV/0!</v>
      </c>
      <c r="I630" s="226" t="e">
        <f>SUM(C630:H630)</f>
        <v>#DIV/0!</v>
      </c>
      <c r="J630" s="226"/>
      <c r="N630" s="222" t="s">
        <v>577</v>
      </c>
    </row>
    <row r="631" spans="1:14" s="211" customFormat="1" ht="12.65" customHeight="1" x14ac:dyDescent="0.3">
      <c r="A631" s="221">
        <v>8350</v>
      </c>
      <c r="B631" s="225" t="s">
        <v>578</v>
      </c>
      <c r="C631" s="226" t="str">
        <f>BA86</f>
        <v>x</v>
      </c>
      <c r="D631" s="226">
        <f>(D616/D613)*BA91</f>
        <v>0</v>
      </c>
      <c r="E631" s="228" t="e">
        <f>(E624/E613)*SUM(C631:D631)</f>
        <v>#DIV/0!</v>
      </c>
      <c r="F631" s="228" t="e">
        <f>(F625/F613)*BA65</f>
        <v>#DIV/0!</v>
      </c>
      <c r="G631" s="226" t="e">
        <f>(G626/G613)*BA92</f>
        <v>#DIV/0!</v>
      </c>
      <c r="H631" s="228" t="e">
        <f>(H629/H613)*BA61</f>
        <v>#DIV/0!</v>
      </c>
      <c r="I631" s="226" t="e">
        <f>(I630/I613)*BA93</f>
        <v>#DIV/0!</v>
      </c>
      <c r="J631" s="226" t="e">
        <f>SUM(C631:I631)</f>
        <v>#DIV/0!</v>
      </c>
      <c r="N631" s="222" t="s">
        <v>579</v>
      </c>
    </row>
    <row r="632" spans="1:14" s="211" customFormat="1" ht="12.65" customHeight="1" x14ac:dyDescent="0.3">
      <c r="A632" s="221">
        <v>8200</v>
      </c>
      <c r="B632" s="225" t="s">
        <v>580</v>
      </c>
      <c r="C632" s="226" t="str">
        <f>AW86</f>
        <v>x</v>
      </c>
      <c r="D632" s="226">
        <f>(D616/D613)*AW91</f>
        <v>0</v>
      </c>
      <c r="E632" s="228" t="e">
        <f>(E624/E613)*SUM(C632:D632)</f>
        <v>#DIV/0!</v>
      </c>
      <c r="F632" s="228" t="e">
        <f>(F625/F613)*AW65</f>
        <v>#DIV/0!</v>
      </c>
      <c r="G632" s="226" t="e">
        <f>(G626/G613)*AW92</f>
        <v>#DIV/0!</v>
      </c>
      <c r="H632" s="228" t="e">
        <f>(H629/H613)*AW61</f>
        <v>#DIV/0!</v>
      </c>
      <c r="I632" s="226" t="e">
        <f>(I630/I613)*AW93</f>
        <v>#DIV/0!</v>
      </c>
      <c r="J632" s="226" t="e">
        <f>(J631/J613)*AW94</f>
        <v>#DIV/0!</v>
      </c>
      <c r="N632" s="222" t="s">
        <v>581</v>
      </c>
    </row>
    <row r="633" spans="1:14" s="211" customFormat="1" ht="12.65" customHeight="1" x14ac:dyDescent="0.3">
      <c r="A633" s="221">
        <v>8360</v>
      </c>
      <c r="B633" s="225" t="s">
        <v>582</v>
      </c>
      <c r="C633" s="226" t="str">
        <f>BB86</f>
        <v>x</v>
      </c>
      <c r="D633" s="226">
        <f>(D616/D613)*BB91</f>
        <v>0</v>
      </c>
      <c r="E633" s="228" t="e">
        <f>(E624/E613)*SUM(C633:D633)</f>
        <v>#DIV/0!</v>
      </c>
      <c r="F633" s="228" t="e">
        <f>(F625/F613)*BB65</f>
        <v>#DIV/0!</v>
      </c>
      <c r="G633" s="226" t="e">
        <f>(G626/G613)*BB92</f>
        <v>#DIV/0!</v>
      </c>
      <c r="H633" s="228" t="e">
        <f>(H629/H613)*BB61</f>
        <v>#DIV/0!</v>
      </c>
      <c r="I633" s="226" t="e">
        <f>(I630/I613)*BB93</f>
        <v>#DIV/0!</v>
      </c>
      <c r="J633" s="226" t="e">
        <f>(J631/J613)*BB94</f>
        <v>#DIV/0!</v>
      </c>
      <c r="N633" s="222" t="s">
        <v>583</v>
      </c>
    </row>
    <row r="634" spans="1:14" s="211" customFormat="1" ht="12.65" customHeight="1" x14ac:dyDescent="0.3">
      <c r="A634" s="221">
        <v>8370</v>
      </c>
      <c r="B634" s="225" t="s">
        <v>584</v>
      </c>
      <c r="C634" s="226" t="str">
        <f>BC86</f>
        <v>x</v>
      </c>
      <c r="D634" s="226">
        <f>(D616/D613)*BC91</f>
        <v>0</v>
      </c>
      <c r="E634" s="228" t="e">
        <f>(E624/E613)*SUM(C634:D634)</f>
        <v>#DIV/0!</v>
      </c>
      <c r="F634" s="228" t="e">
        <f>(F625/F613)*BC65</f>
        <v>#DIV/0!</v>
      </c>
      <c r="G634" s="226" t="e">
        <f>(G626/G613)*BC92</f>
        <v>#DIV/0!</v>
      </c>
      <c r="H634" s="228" t="e">
        <f>(H629/H613)*BC61</f>
        <v>#DIV/0!</v>
      </c>
      <c r="I634" s="226" t="e">
        <f>(I630/I613)*BC93</f>
        <v>#DIV/0!</v>
      </c>
      <c r="J634" s="226" t="e">
        <f>(J631/J613)*BC94</f>
        <v>#DIV/0!</v>
      </c>
      <c r="N634" s="222" t="s">
        <v>585</v>
      </c>
    </row>
    <row r="635" spans="1:14" s="211" customFormat="1" ht="12.65" customHeight="1" x14ac:dyDescent="0.3">
      <c r="A635" s="221">
        <v>8490</v>
      </c>
      <c r="B635" s="225" t="s">
        <v>586</v>
      </c>
      <c r="C635" s="226" t="str">
        <f>BI86</f>
        <v>x</v>
      </c>
      <c r="D635" s="226">
        <f>(D616/D613)*BI91</f>
        <v>0</v>
      </c>
      <c r="E635" s="228" t="e">
        <f>(E624/E613)*SUM(C635:D635)</f>
        <v>#DIV/0!</v>
      </c>
      <c r="F635" s="228" t="e">
        <f>(F625/F613)*BI65</f>
        <v>#DIV/0!</v>
      </c>
      <c r="G635" s="226" t="e">
        <f>(G626/G613)*BI92</f>
        <v>#DIV/0!</v>
      </c>
      <c r="H635" s="228" t="e">
        <f>(H629/H613)*BI61</f>
        <v>#DIV/0!</v>
      </c>
      <c r="I635" s="226" t="e">
        <f>(I630/I613)*BI93</f>
        <v>#DIV/0!</v>
      </c>
      <c r="J635" s="226" t="e">
        <f>(J631/J613)*BI94</f>
        <v>#DIV/0!</v>
      </c>
      <c r="N635" s="222" t="s">
        <v>587</v>
      </c>
    </row>
    <row r="636" spans="1:14" s="211" customFormat="1" ht="12.65" customHeight="1" x14ac:dyDescent="0.3">
      <c r="A636" s="221">
        <v>8530</v>
      </c>
      <c r="B636" s="225" t="s">
        <v>588</v>
      </c>
      <c r="C636" s="226" t="str">
        <f>BK86</f>
        <v>x</v>
      </c>
      <c r="D636" s="226">
        <f>(D616/D613)*BK91</f>
        <v>0</v>
      </c>
      <c r="E636" s="228" t="e">
        <f>(E624/E613)*SUM(C636:D636)</f>
        <v>#DIV/0!</v>
      </c>
      <c r="F636" s="228" t="e">
        <f>(F625/F613)*BK65</f>
        <v>#DIV/0!</v>
      </c>
      <c r="G636" s="226" t="e">
        <f>(G626/G613)*BK92</f>
        <v>#DIV/0!</v>
      </c>
      <c r="H636" s="228" t="e">
        <f>(H629/H613)*BK61</f>
        <v>#DIV/0!</v>
      </c>
      <c r="I636" s="226" t="e">
        <f>(I630/I613)*BK93</f>
        <v>#DIV/0!</v>
      </c>
      <c r="J636" s="226" t="e">
        <f>(J631/J613)*BK94</f>
        <v>#DIV/0!</v>
      </c>
      <c r="N636" s="222" t="s">
        <v>589</v>
      </c>
    </row>
    <row r="637" spans="1:14" s="211" customFormat="1" ht="12.65" customHeight="1" x14ac:dyDescent="0.3">
      <c r="A637" s="221">
        <v>8480</v>
      </c>
      <c r="B637" s="225" t="s">
        <v>590</v>
      </c>
      <c r="C637" s="226" t="str">
        <f>BH86</f>
        <v>x</v>
      </c>
      <c r="D637" s="226">
        <f>(D616/D613)*BH91</f>
        <v>0</v>
      </c>
      <c r="E637" s="228" t="e">
        <f>(E624/E613)*SUM(C637:D637)</f>
        <v>#DIV/0!</v>
      </c>
      <c r="F637" s="228" t="e">
        <f>(F625/F613)*BH65</f>
        <v>#DIV/0!</v>
      </c>
      <c r="G637" s="226" t="e">
        <f>(G626/G613)*BH92</f>
        <v>#DIV/0!</v>
      </c>
      <c r="H637" s="228" t="e">
        <f>(H629/H613)*BH61</f>
        <v>#DIV/0!</v>
      </c>
      <c r="I637" s="226" t="e">
        <f>(I630/I613)*BH93</f>
        <v>#DIV/0!</v>
      </c>
      <c r="J637" s="226" t="e">
        <f>(J631/J613)*BH94</f>
        <v>#DIV/0!</v>
      </c>
      <c r="N637" s="222" t="s">
        <v>591</v>
      </c>
    </row>
    <row r="638" spans="1:14" s="211" customFormat="1" ht="12.65" customHeight="1" x14ac:dyDescent="0.3">
      <c r="A638" s="221">
        <v>8560</v>
      </c>
      <c r="B638" s="225" t="s">
        <v>174</v>
      </c>
      <c r="C638" s="226" t="str">
        <f>BL86</f>
        <v>x</v>
      </c>
      <c r="D638" s="226">
        <f>(D616/D613)*BL91</f>
        <v>0</v>
      </c>
      <c r="E638" s="228" t="e">
        <f>(E624/E613)*SUM(C638:D638)</f>
        <v>#DIV/0!</v>
      </c>
      <c r="F638" s="228" t="e">
        <f>(F625/F613)*BL65</f>
        <v>#DIV/0!</v>
      </c>
      <c r="G638" s="226" t="e">
        <f>(G626/G613)*BL92</f>
        <v>#DIV/0!</v>
      </c>
      <c r="H638" s="228" t="e">
        <f>(H629/H613)*BL61</f>
        <v>#DIV/0!</v>
      </c>
      <c r="I638" s="226" t="e">
        <f>(I630/I613)*BL93</f>
        <v>#DIV/0!</v>
      </c>
      <c r="J638" s="226" t="e">
        <f>(J631/J613)*BL94</f>
        <v>#DIV/0!</v>
      </c>
      <c r="N638" s="222" t="s">
        <v>592</v>
      </c>
    </row>
    <row r="639" spans="1:14" s="211" customFormat="1" ht="12.65" customHeight="1" x14ac:dyDescent="0.3">
      <c r="A639" s="221">
        <v>8590</v>
      </c>
      <c r="B639" s="225" t="s">
        <v>593</v>
      </c>
      <c r="C639" s="226" t="str">
        <f>BM86</f>
        <v>x</v>
      </c>
      <c r="D639" s="226">
        <f>(D616/D613)*BM91</f>
        <v>0</v>
      </c>
      <c r="E639" s="228" t="e">
        <f>(E624/E613)*SUM(C639:D639)</f>
        <v>#DIV/0!</v>
      </c>
      <c r="F639" s="228" t="e">
        <f>(F625/F613)*BM65</f>
        <v>#DIV/0!</v>
      </c>
      <c r="G639" s="226" t="e">
        <f>(G626/G613)*BM92</f>
        <v>#DIV/0!</v>
      </c>
      <c r="H639" s="228" t="e">
        <f>(H629/H613)*BM61</f>
        <v>#DIV/0!</v>
      </c>
      <c r="I639" s="226" t="e">
        <f>(I630/I613)*BM93</f>
        <v>#DIV/0!</v>
      </c>
      <c r="J639" s="226" t="e">
        <f>(J631/J613)*BM94</f>
        <v>#DIV/0!</v>
      </c>
      <c r="N639" s="222" t="s">
        <v>594</v>
      </c>
    </row>
    <row r="640" spans="1:14" s="211" customFormat="1" ht="12.65" customHeight="1" x14ac:dyDescent="0.3">
      <c r="A640" s="221">
        <v>8660</v>
      </c>
      <c r="B640" s="225" t="s">
        <v>595</v>
      </c>
      <c r="C640" s="226" t="str">
        <f>BS86</f>
        <v>x</v>
      </c>
      <c r="D640" s="226">
        <f>(D616/D613)*BS91</f>
        <v>0</v>
      </c>
      <c r="E640" s="228" t="e">
        <f>(E624/E613)*SUM(C640:D640)</f>
        <v>#DIV/0!</v>
      </c>
      <c r="F640" s="228" t="e">
        <f>(F625/F613)*BS65</f>
        <v>#DIV/0!</v>
      </c>
      <c r="G640" s="226" t="e">
        <f>(G626/G613)*BS92</f>
        <v>#DIV/0!</v>
      </c>
      <c r="H640" s="228" t="e">
        <f>(H629/H613)*BS61</f>
        <v>#DIV/0!</v>
      </c>
      <c r="I640" s="226" t="e">
        <f>(I630/I613)*BS93</f>
        <v>#DIV/0!</v>
      </c>
      <c r="J640" s="226" t="e">
        <f>(J631/J613)*BS94</f>
        <v>#DIV/0!</v>
      </c>
      <c r="N640" s="222" t="s">
        <v>596</v>
      </c>
    </row>
    <row r="641" spans="1:14" s="211" customFormat="1" ht="12.65" customHeight="1" x14ac:dyDescent="0.3">
      <c r="A641" s="221">
        <v>8670</v>
      </c>
      <c r="B641" s="225" t="s">
        <v>597</v>
      </c>
      <c r="C641" s="226" t="str">
        <f>BT86</f>
        <v>x</v>
      </c>
      <c r="D641" s="226">
        <f>(D616/D613)*BT91</f>
        <v>0</v>
      </c>
      <c r="E641" s="228" t="e">
        <f>(E624/E613)*SUM(C641:D641)</f>
        <v>#DIV/0!</v>
      </c>
      <c r="F641" s="228" t="e">
        <f>(F625/F613)*BT65</f>
        <v>#DIV/0!</v>
      </c>
      <c r="G641" s="226" t="e">
        <f>(G626/G613)*BT92</f>
        <v>#DIV/0!</v>
      </c>
      <c r="H641" s="228" t="e">
        <f>(H629/H613)*BT61</f>
        <v>#DIV/0!</v>
      </c>
      <c r="I641" s="226" t="e">
        <f>(I630/I613)*BT93</f>
        <v>#DIV/0!</v>
      </c>
      <c r="J641" s="226" t="e">
        <f>(J631/J613)*BT94</f>
        <v>#DIV/0!</v>
      </c>
      <c r="N641" s="222" t="s">
        <v>598</v>
      </c>
    </row>
    <row r="642" spans="1:14" s="211" customFormat="1" ht="12.65" customHeight="1" x14ac:dyDescent="0.3">
      <c r="A642" s="221">
        <v>8680</v>
      </c>
      <c r="B642" s="225" t="s">
        <v>599</v>
      </c>
      <c r="C642" s="226" t="str">
        <f>BU86</f>
        <v>x</v>
      </c>
      <c r="D642" s="226">
        <f>(D616/D613)*BU91</f>
        <v>0</v>
      </c>
      <c r="E642" s="228" t="e">
        <f>(E624/E613)*SUM(C642:D642)</f>
        <v>#DIV/0!</v>
      </c>
      <c r="F642" s="228" t="e">
        <f>(F625/F613)*BU65</f>
        <v>#DIV/0!</v>
      </c>
      <c r="G642" s="226" t="e">
        <f>(G626/G613)*BU92</f>
        <v>#DIV/0!</v>
      </c>
      <c r="H642" s="228" t="e">
        <f>(H629/H613)*BU61</f>
        <v>#DIV/0!</v>
      </c>
      <c r="I642" s="226" t="e">
        <f>(I630/I613)*BU93</f>
        <v>#DIV/0!</v>
      </c>
      <c r="J642" s="226" t="e">
        <f>(J631/J613)*BU94</f>
        <v>#DIV/0!</v>
      </c>
      <c r="N642" s="222" t="s">
        <v>600</v>
      </c>
    </row>
    <row r="643" spans="1:14" s="211" customFormat="1" ht="12.65" customHeight="1" x14ac:dyDescent="0.3">
      <c r="A643" s="221">
        <v>8690</v>
      </c>
      <c r="B643" s="225" t="s">
        <v>601</v>
      </c>
      <c r="C643" s="226" t="str">
        <f>BV86</f>
        <v>x</v>
      </c>
      <c r="D643" s="226">
        <f>(D616/D613)*BV91</f>
        <v>0</v>
      </c>
      <c r="E643" s="228" t="e">
        <f>(E624/E613)*SUM(C643:D643)</f>
        <v>#DIV/0!</v>
      </c>
      <c r="F643" s="228" t="e">
        <f>(F625/F613)*BV65</f>
        <v>#DIV/0!</v>
      </c>
      <c r="G643" s="226" t="e">
        <f>(G626/G613)*BV92</f>
        <v>#DIV/0!</v>
      </c>
      <c r="H643" s="228" t="e">
        <f>(H629/H613)*BV61</f>
        <v>#DIV/0!</v>
      </c>
      <c r="I643" s="226" t="e">
        <f>(I630/I613)*BV93</f>
        <v>#DIV/0!</v>
      </c>
      <c r="J643" s="226" t="e">
        <f>(J631/J613)*BV94</f>
        <v>#DIV/0!</v>
      </c>
      <c r="N643" s="222" t="s">
        <v>602</v>
      </c>
    </row>
    <row r="644" spans="1:14" s="211" customFormat="1" ht="12.65" customHeight="1" x14ac:dyDescent="0.3">
      <c r="A644" s="221">
        <v>8700</v>
      </c>
      <c r="B644" s="225" t="s">
        <v>603</v>
      </c>
      <c r="C644" s="226" t="str">
        <f>BW86</f>
        <v>x</v>
      </c>
      <c r="D644" s="226">
        <f>(D616/D613)*BW91</f>
        <v>0</v>
      </c>
      <c r="E644" s="228" t="e">
        <f>(E624/E613)*SUM(C644:D644)</f>
        <v>#DIV/0!</v>
      </c>
      <c r="F644" s="228" t="e">
        <f>(F625/F613)*BW65</f>
        <v>#DIV/0!</v>
      </c>
      <c r="G644" s="226" t="e">
        <f>(G626/G613)*BW92</f>
        <v>#DIV/0!</v>
      </c>
      <c r="H644" s="228" t="e">
        <f>(H629/H613)*BW61</f>
        <v>#DIV/0!</v>
      </c>
      <c r="I644" s="226" t="e">
        <f>(I630/I613)*BW93</f>
        <v>#DIV/0!</v>
      </c>
      <c r="J644" s="226" t="e">
        <f>(J631/J613)*BW94</f>
        <v>#DIV/0!</v>
      </c>
      <c r="N644" s="222" t="s">
        <v>604</v>
      </c>
    </row>
    <row r="645" spans="1:14" s="211" customFormat="1" ht="12.65" customHeight="1" x14ac:dyDescent="0.3">
      <c r="A645" s="221">
        <v>8710</v>
      </c>
      <c r="B645" s="225" t="s">
        <v>605</v>
      </c>
      <c r="C645" s="226" t="str">
        <f>BX86</f>
        <v>x</v>
      </c>
      <c r="D645" s="226">
        <f>(D616/D613)*BX91</f>
        <v>0</v>
      </c>
      <c r="E645" s="228" t="e">
        <f>(E624/E613)*SUM(C645:D645)</f>
        <v>#DIV/0!</v>
      </c>
      <c r="F645" s="228" t="e">
        <f>(F625/F613)*BX65</f>
        <v>#DIV/0!</v>
      </c>
      <c r="G645" s="226" t="e">
        <f>(G626/G613)*BX92</f>
        <v>#DIV/0!</v>
      </c>
      <c r="H645" s="228" t="e">
        <f>(H629/H613)*BX61</f>
        <v>#DIV/0!</v>
      </c>
      <c r="I645" s="226" t="e">
        <f>(I630/I613)*BX93</f>
        <v>#DIV/0!</v>
      </c>
      <c r="J645" s="226" t="e">
        <f>(J631/J613)*BX94</f>
        <v>#DIV/0!</v>
      </c>
      <c r="K645" s="228" t="e">
        <f>SUM(C632:J645)</f>
        <v>#DIV/0!</v>
      </c>
      <c r="L645" s="228"/>
      <c r="N645" s="222" t="s">
        <v>606</v>
      </c>
    </row>
    <row r="646" spans="1:14" s="211" customFormat="1" ht="12.65" customHeight="1" x14ac:dyDescent="0.3">
      <c r="A646" s="221">
        <v>8720</v>
      </c>
      <c r="B646" s="225" t="s">
        <v>607</v>
      </c>
      <c r="C646" s="226" t="str">
        <f>BY86</f>
        <v>x</v>
      </c>
      <c r="D646" s="226">
        <f>(D616/D613)*BY91</f>
        <v>0</v>
      </c>
      <c r="E646" s="228" t="e">
        <f>(E624/E613)*SUM(C646:D646)</f>
        <v>#DIV/0!</v>
      </c>
      <c r="F646" s="228" t="e">
        <f>(F625/F613)*BY65</f>
        <v>#DIV/0!</v>
      </c>
      <c r="G646" s="226" t="e">
        <f>(G626/G613)*BY92</f>
        <v>#DIV/0!</v>
      </c>
      <c r="H646" s="228" t="e">
        <f>(H629/H613)*BY61</f>
        <v>#DIV/0!</v>
      </c>
      <c r="I646" s="226" t="e">
        <f>(I630/I613)*BY93</f>
        <v>#DIV/0!</v>
      </c>
      <c r="J646" s="226" t="e">
        <f>(J631/J613)*BY94</f>
        <v>#DIV/0!</v>
      </c>
      <c r="K646" s="228">
        <v>0</v>
      </c>
      <c r="L646" s="228"/>
      <c r="N646" s="222" t="s">
        <v>608</v>
      </c>
    </row>
    <row r="647" spans="1:14" s="211" customFormat="1" ht="12.65" customHeight="1" x14ac:dyDescent="0.3">
      <c r="A647" s="221">
        <v>8730</v>
      </c>
      <c r="B647" s="225" t="s">
        <v>609</v>
      </c>
      <c r="C647" s="226" t="str">
        <f>BZ86</f>
        <v>x</v>
      </c>
      <c r="D647" s="226">
        <f>(D616/D613)*BZ91</f>
        <v>0</v>
      </c>
      <c r="E647" s="228" t="e">
        <f>(E624/E613)*SUM(C647:D647)</f>
        <v>#DIV/0!</v>
      </c>
      <c r="F647" s="228" t="e">
        <f>(F625/F613)*BZ65</f>
        <v>#DIV/0!</v>
      </c>
      <c r="G647" s="226" t="e">
        <f>(G626/G613)*BZ92</f>
        <v>#DIV/0!</v>
      </c>
      <c r="H647" s="228" t="e">
        <f>(H629/H613)*BZ61</f>
        <v>#DIV/0!</v>
      </c>
      <c r="I647" s="226" t="e">
        <f>(I630/I613)*BZ93</f>
        <v>#DIV/0!</v>
      </c>
      <c r="J647" s="226" t="e">
        <f>(J631/J613)*BZ94</f>
        <v>#DIV/0!</v>
      </c>
      <c r="K647" s="228">
        <v>0</v>
      </c>
      <c r="L647" s="228"/>
      <c r="N647" s="222" t="s">
        <v>610</v>
      </c>
    </row>
    <row r="648" spans="1:14" s="211" customFormat="1" ht="12.65" customHeight="1" x14ac:dyDescent="0.3">
      <c r="A648" s="221">
        <v>8740</v>
      </c>
      <c r="B648" s="225" t="s">
        <v>611</v>
      </c>
      <c r="C648" s="226" t="str">
        <f>CA86</f>
        <v>x</v>
      </c>
      <c r="D648" s="226">
        <f>(D616/D613)*CA91</f>
        <v>0</v>
      </c>
      <c r="E648" s="228" t="e">
        <f>(E624/E613)*SUM(C648:D648)</f>
        <v>#DIV/0!</v>
      </c>
      <c r="F648" s="228" t="e">
        <f>(F625/F613)*CA65</f>
        <v>#DIV/0!</v>
      </c>
      <c r="G648" s="226" t="e">
        <f>(G626/G613)*CA92</f>
        <v>#DIV/0!</v>
      </c>
      <c r="H648" s="228" t="e">
        <f>(H629/H613)*CA61</f>
        <v>#DIV/0!</v>
      </c>
      <c r="I648" s="226" t="e">
        <f>(I630/I613)*CA93</f>
        <v>#DIV/0!</v>
      </c>
      <c r="J648" s="226" t="e">
        <f>(J631/J613)*CA94</f>
        <v>#DIV/0!</v>
      </c>
      <c r="K648" s="228">
        <v>0</v>
      </c>
      <c r="L648" s="228" t="e">
        <f>SUM(C646:K648)</f>
        <v>#DIV/0!</v>
      </c>
      <c r="N648" s="222" t="s">
        <v>612</v>
      </c>
    </row>
    <row r="649" spans="1:14" s="211" customFormat="1" ht="12.65" customHeight="1" x14ac:dyDescent="0.3">
      <c r="A649" s="221"/>
      <c r="B649" s="221"/>
      <c r="C649" s="211">
        <f>SUM(C615:C648)</f>
        <v>0</v>
      </c>
      <c r="L649" s="224"/>
    </row>
    <row r="667" spans="1:14" s="211" customFormat="1" ht="12.65" customHeight="1" x14ac:dyDescent="0.3">
      <c r="C667" s="219" t="s">
        <v>613</v>
      </c>
      <c r="M667" s="219" t="s">
        <v>614</v>
      </c>
    </row>
    <row r="668" spans="1:14" s="211" customFormat="1" ht="12.65" customHeight="1" x14ac:dyDescent="0.3">
      <c r="C668" s="219" t="s">
        <v>543</v>
      </c>
      <c r="D668" s="219" t="s">
        <v>544</v>
      </c>
      <c r="E668" s="220" t="s">
        <v>545</v>
      </c>
      <c r="F668" s="219" t="s">
        <v>546</v>
      </c>
      <c r="G668" s="219" t="s">
        <v>547</v>
      </c>
      <c r="H668" s="219" t="s">
        <v>548</v>
      </c>
      <c r="I668" s="219" t="s">
        <v>549</v>
      </c>
      <c r="J668" s="219" t="s">
        <v>550</v>
      </c>
      <c r="K668" s="219" t="s">
        <v>551</v>
      </c>
      <c r="L668" s="220" t="s">
        <v>552</v>
      </c>
      <c r="M668" s="219" t="s">
        <v>615</v>
      </c>
    </row>
    <row r="669" spans="1:14" s="211" customFormat="1" ht="12.65" customHeight="1" x14ac:dyDescent="0.3">
      <c r="A669" s="221">
        <v>6010</v>
      </c>
      <c r="B669" s="220" t="s">
        <v>342</v>
      </c>
      <c r="C669" s="226" t="str">
        <f>C86</f>
        <v>x</v>
      </c>
      <c r="D669" s="226">
        <f>(D616/D613)*C91</f>
        <v>0</v>
      </c>
      <c r="E669" s="228" t="e">
        <f>(E624/E613)*SUM(C669:D669)</f>
        <v>#DIV/0!</v>
      </c>
      <c r="F669" s="228" t="e">
        <f>(F625/F613)*C65</f>
        <v>#DIV/0!</v>
      </c>
      <c r="G669" s="226" t="e">
        <f>(G626/G613)*C92</f>
        <v>#DIV/0!</v>
      </c>
      <c r="H669" s="228" t="e">
        <f>(H629/H613)*C61</f>
        <v>#DIV/0!</v>
      </c>
      <c r="I669" s="226" t="e">
        <f>(I630/I613)*C93</f>
        <v>#DIV/0!</v>
      </c>
      <c r="J669" s="226" t="e">
        <f>(J631/J613)*C94</f>
        <v>#DIV/0!</v>
      </c>
      <c r="K669" s="226" t="e">
        <f>(K645/K613)*C90</f>
        <v>#DIV/0!</v>
      </c>
      <c r="L669" s="226" t="e">
        <f>(L648/L613)*C95</f>
        <v>#DIV/0!</v>
      </c>
      <c r="M669" s="211" t="e">
        <f t="shared" ref="M669:M714" si="0">ROUND(SUM(D669:L669),0)</f>
        <v>#DIV/0!</v>
      </c>
      <c r="N669" s="220" t="s">
        <v>616</v>
      </c>
    </row>
    <row r="670" spans="1:14" s="211" customFormat="1" ht="12.65" customHeight="1" x14ac:dyDescent="0.3">
      <c r="A670" s="221">
        <v>6030</v>
      </c>
      <c r="B670" s="220" t="s">
        <v>343</v>
      </c>
      <c r="C670" s="226" t="str">
        <f>D86</f>
        <v>x</v>
      </c>
      <c r="D670" s="226">
        <f>(D616/D613)*D91</f>
        <v>0</v>
      </c>
      <c r="E670" s="228" t="e">
        <f>(E624/E613)*SUM(C670:D670)</f>
        <v>#DIV/0!</v>
      </c>
      <c r="F670" s="228" t="e">
        <f>(F625/F613)*D65</f>
        <v>#DIV/0!</v>
      </c>
      <c r="G670" s="226" t="e">
        <f>(G626/G613)*D92</f>
        <v>#DIV/0!</v>
      </c>
      <c r="H670" s="228" t="e">
        <f>(H629/H613)*D61</f>
        <v>#DIV/0!</v>
      </c>
      <c r="I670" s="226" t="e">
        <f>(I630/I613)*D93</f>
        <v>#DIV/0!</v>
      </c>
      <c r="J670" s="226" t="e">
        <f>(J631/J613)*D94</f>
        <v>#DIV/0!</v>
      </c>
      <c r="K670" s="226" t="e">
        <f>(K645/K613)*D90</f>
        <v>#DIV/0!</v>
      </c>
      <c r="L670" s="226" t="e">
        <f>(L648/L613)*D95</f>
        <v>#DIV/0!</v>
      </c>
      <c r="M670" s="211" t="e">
        <f t="shared" si="0"/>
        <v>#DIV/0!</v>
      </c>
      <c r="N670" s="220" t="s">
        <v>617</v>
      </c>
    </row>
    <row r="671" spans="1:14" s="211" customFormat="1" ht="12.65" customHeight="1" x14ac:dyDescent="0.3">
      <c r="A671" s="221">
        <v>6070</v>
      </c>
      <c r="B671" s="220" t="s">
        <v>618</v>
      </c>
      <c r="C671" s="226" t="str">
        <f>E86</f>
        <v>x</v>
      </c>
      <c r="D671" s="226">
        <f>(D616/D613)*E91</f>
        <v>0</v>
      </c>
      <c r="E671" s="228" t="e">
        <f>(E624/E613)*SUM(C671:D671)</f>
        <v>#DIV/0!</v>
      </c>
      <c r="F671" s="228" t="e">
        <f>(F625/F613)*E65</f>
        <v>#DIV/0!</v>
      </c>
      <c r="G671" s="226" t="e">
        <f>(G626/G613)*E92</f>
        <v>#DIV/0!</v>
      </c>
      <c r="H671" s="228" t="e">
        <f>(H629/H613)*E61</f>
        <v>#DIV/0!</v>
      </c>
      <c r="I671" s="226" t="e">
        <f>(I630/I613)*E93</f>
        <v>#DIV/0!</v>
      </c>
      <c r="J671" s="226" t="e">
        <f>(J631/J613)*E94</f>
        <v>#DIV/0!</v>
      </c>
      <c r="K671" s="226" t="e">
        <f>(K645/K613)*E90</f>
        <v>#DIV/0!</v>
      </c>
      <c r="L671" s="226" t="e">
        <f>(L648/L613)*E95</f>
        <v>#DIV/0!</v>
      </c>
      <c r="M671" s="211" t="e">
        <f t="shared" si="0"/>
        <v>#DIV/0!</v>
      </c>
      <c r="N671" s="220" t="s">
        <v>619</v>
      </c>
    </row>
    <row r="672" spans="1:14" s="211" customFormat="1" ht="12.65" customHeight="1" x14ac:dyDescent="0.3">
      <c r="A672" s="221">
        <v>6100</v>
      </c>
      <c r="B672" s="220" t="s">
        <v>620</v>
      </c>
      <c r="C672" s="226" t="str">
        <f>F86</f>
        <v>x</v>
      </c>
      <c r="D672" s="226">
        <f>(D616/D613)*F91</f>
        <v>0</v>
      </c>
      <c r="E672" s="228" t="e">
        <f>(E624/E613)*SUM(C672:D672)</f>
        <v>#DIV/0!</v>
      </c>
      <c r="F672" s="228" t="e">
        <f>(F625/F613)*F65</f>
        <v>#DIV/0!</v>
      </c>
      <c r="G672" s="226" t="e">
        <f>(G626/G613)*F92</f>
        <v>#DIV/0!</v>
      </c>
      <c r="H672" s="228" t="e">
        <f>(H629/H613)*F61</f>
        <v>#DIV/0!</v>
      </c>
      <c r="I672" s="226" t="e">
        <f>(I630/I613)*F93</f>
        <v>#DIV/0!</v>
      </c>
      <c r="J672" s="226" t="e">
        <f>(J631/J613)*F94</f>
        <v>#DIV/0!</v>
      </c>
      <c r="K672" s="226" t="e">
        <f>(K645/K613)*F90</f>
        <v>#DIV/0!</v>
      </c>
      <c r="L672" s="226" t="e">
        <f>(L648/L613)*F95</f>
        <v>#DIV/0!</v>
      </c>
      <c r="M672" s="211" t="e">
        <f t="shared" si="0"/>
        <v>#DIV/0!</v>
      </c>
      <c r="N672" s="220" t="s">
        <v>621</v>
      </c>
    </row>
    <row r="673" spans="1:14" s="211" customFormat="1" ht="12.65" customHeight="1" x14ac:dyDescent="0.3">
      <c r="A673" s="221">
        <v>6120</v>
      </c>
      <c r="B673" s="220" t="s">
        <v>622</v>
      </c>
      <c r="C673" s="226" t="str">
        <f>G86</f>
        <v>x</v>
      </c>
      <c r="D673" s="226">
        <f>(D616/D613)*G91</f>
        <v>0</v>
      </c>
      <c r="E673" s="228" t="e">
        <f>(E624/E613)*SUM(C673:D673)</f>
        <v>#DIV/0!</v>
      </c>
      <c r="F673" s="228" t="e">
        <f>(F625/F613)*G65</f>
        <v>#DIV/0!</v>
      </c>
      <c r="G673" s="226" t="e">
        <f>(G626/G613)*G92</f>
        <v>#DIV/0!</v>
      </c>
      <c r="H673" s="228" t="e">
        <f>(H629/H613)*G61</f>
        <v>#DIV/0!</v>
      </c>
      <c r="I673" s="226" t="e">
        <f>(I630/I613)*G93</f>
        <v>#DIV/0!</v>
      </c>
      <c r="J673" s="226" t="e">
        <f>(J631/J613)*G94</f>
        <v>#DIV/0!</v>
      </c>
      <c r="K673" s="226" t="e">
        <f>(K645/K613)*G90</f>
        <v>#DIV/0!</v>
      </c>
      <c r="L673" s="226" t="e">
        <f>(L648/L613)*G95</f>
        <v>#DIV/0!</v>
      </c>
      <c r="M673" s="211" t="e">
        <f t="shared" si="0"/>
        <v>#DIV/0!</v>
      </c>
      <c r="N673" s="220" t="s">
        <v>623</v>
      </c>
    </row>
    <row r="674" spans="1:14" s="211" customFormat="1" ht="12.65" customHeight="1" x14ac:dyDescent="0.3">
      <c r="A674" s="221">
        <v>6140</v>
      </c>
      <c r="B674" s="220" t="s">
        <v>624</v>
      </c>
      <c r="C674" s="226" t="str">
        <f>H86</f>
        <v>x</v>
      </c>
      <c r="D674" s="226">
        <f>(D616/D613)*H91</f>
        <v>0</v>
      </c>
      <c r="E674" s="228" t="e">
        <f>(E624/E613)*SUM(C674:D674)</f>
        <v>#DIV/0!</v>
      </c>
      <c r="F674" s="228" t="e">
        <f>(F625/F613)*H65</f>
        <v>#DIV/0!</v>
      </c>
      <c r="G674" s="226" t="e">
        <f>(G626/G613)*H92</f>
        <v>#DIV/0!</v>
      </c>
      <c r="H674" s="228" t="e">
        <f>(H629/H613)*H61</f>
        <v>#DIV/0!</v>
      </c>
      <c r="I674" s="226" t="e">
        <f>(I630/I613)*H93</f>
        <v>#DIV/0!</v>
      </c>
      <c r="J674" s="226" t="e">
        <f>(J631/J613)*H94</f>
        <v>#DIV/0!</v>
      </c>
      <c r="K674" s="226" t="e">
        <f>(K645/K613)*H90</f>
        <v>#DIV/0!</v>
      </c>
      <c r="L674" s="226" t="e">
        <f>(L648/L613)*H95</f>
        <v>#DIV/0!</v>
      </c>
      <c r="M674" s="211" t="e">
        <f t="shared" si="0"/>
        <v>#DIV/0!</v>
      </c>
      <c r="N674" s="220" t="s">
        <v>625</v>
      </c>
    </row>
    <row r="675" spans="1:14" s="211" customFormat="1" ht="12.65" customHeight="1" x14ac:dyDescent="0.3">
      <c r="A675" s="221">
        <v>6150</v>
      </c>
      <c r="B675" s="220" t="s">
        <v>626</v>
      </c>
      <c r="C675" s="226" t="str">
        <f>I86</f>
        <v>x</v>
      </c>
      <c r="D675" s="226">
        <f>(D616/D613)*I91</f>
        <v>0</v>
      </c>
      <c r="E675" s="228" t="e">
        <f>(E624/E613)*SUM(C675:D675)</f>
        <v>#DIV/0!</v>
      </c>
      <c r="F675" s="228" t="e">
        <f>(F625/F613)*I65</f>
        <v>#DIV/0!</v>
      </c>
      <c r="G675" s="226" t="e">
        <f>(G626/G613)*I92</f>
        <v>#DIV/0!</v>
      </c>
      <c r="H675" s="228" t="e">
        <f>(H629/H613)*I61</f>
        <v>#DIV/0!</v>
      </c>
      <c r="I675" s="226" t="e">
        <f>(I630/I613)*I93</f>
        <v>#DIV/0!</v>
      </c>
      <c r="J675" s="226" t="e">
        <f>(J631/J613)*I94</f>
        <v>#DIV/0!</v>
      </c>
      <c r="K675" s="226" t="e">
        <f>(K645/K613)*I90</f>
        <v>#DIV/0!</v>
      </c>
      <c r="L675" s="226" t="e">
        <f>(L648/L613)*I95</f>
        <v>#DIV/0!</v>
      </c>
      <c r="M675" s="211" t="e">
        <f t="shared" si="0"/>
        <v>#DIV/0!</v>
      </c>
      <c r="N675" s="220" t="s">
        <v>627</v>
      </c>
    </row>
    <row r="676" spans="1:14" s="211" customFormat="1" ht="12.65" customHeight="1" x14ac:dyDescent="0.3">
      <c r="A676" s="221">
        <v>6170</v>
      </c>
      <c r="B676" s="220" t="s">
        <v>125</v>
      </c>
      <c r="C676" s="226" t="str">
        <f>J86</f>
        <v>x</v>
      </c>
      <c r="D676" s="226">
        <f>(D616/D613)*J91</f>
        <v>0</v>
      </c>
      <c r="E676" s="228" t="e">
        <f>(E624/E613)*SUM(C676:D676)</f>
        <v>#DIV/0!</v>
      </c>
      <c r="F676" s="228" t="e">
        <f>(F625/F613)*J65</f>
        <v>#DIV/0!</v>
      </c>
      <c r="G676" s="226" t="e">
        <f>(G626/G613)*J92</f>
        <v>#DIV/0!</v>
      </c>
      <c r="H676" s="228" t="e">
        <f>(H629/H613)*J61</f>
        <v>#DIV/0!</v>
      </c>
      <c r="I676" s="226" t="e">
        <f>(I630/I613)*J93</f>
        <v>#DIV/0!</v>
      </c>
      <c r="J676" s="226" t="e">
        <f>(J631/J613)*J94</f>
        <v>#DIV/0!</v>
      </c>
      <c r="K676" s="226" t="e">
        <f>(K645/K613)*J90</f>
        <v>#DIV/0!</v>
      </c>
      <c r="L676" s="226" t="e">
        <f>(L648/L613)*J95</f>
        <v>#DIV/0!</v>
      </c>
      <c r="M676" s="211" t="e">
        <f t="shared" si="0"/>
        <v>#DIV/0!</v>
      </c>
      <c r="N676" s="220" t="s">
        <v>628</v>
      </c>
    </row>
    <row r="677" spans="1:14" s="211" customFormat="1" ht="12.65" customHeight="1" x14ac:dyDescent="0.3">
      <c r="A677" s="221">
        <v>6200</v>
      </c>
      <c r="B677" s="220" t="s">
        <v>348</v>
      </c>
      <c r="C677" s="226" t="str">
        <f>K86</f>
        <v>x</v>
      </c>
      <c r="D677" s="226">
        <f>(D616/D613)*K91</f>
        <v>0</v>
      </c>
      <c r="E677" s="228" t="e">
        <f>(E624/E613)*SUM(C677:D677)</f>
        <v>#DIV/0!</v>
      </c>
      <c r="F677" s="228" t="e">
        <f>(F625/F613)*K65</f>
        <v>#DIV/0!</v>
      </c>
      <c r="G677" s="226" t="e">
        <f>(G626/G613)*K92</f>
        <v>#DIV/0!</v>
      </c>
      <c r="H677" s="228" t="e">
        <f>(H629/H613)*K61</f>
        <v>#DIV/0!</v>
      </c>
      <c r="I677" s="226" t="e">
        <f>(I630/I613)*K93</f>
        <v>#DIV/0!</v>
      </c>
      <c r="J677" s="226" t="e">
        <f>(J631/J613)*K94</f>
        <v>#DIV/0!</v>
      </c>
      <c r="K677" s="226" t="e">
        <f>(K645/K613)*K90</f>
        <v>#DIV/0!</v>
      </c>
      <c r="L677" s="226" t="e">
        <f>(L648/L613)*K95</f>
        <v>#DIV/0!</v>
      </c>
      <c r="M677" s="211" t="e">
        <f t="shared" si="0"/>
        <v>#DIV/0!</v>
      </c>
      <c r="N677" s="220" t="s">
        <v>629</v>
      </c>
    </row>
    <row r="678" spans="1:14" s="211" customFormat="1" ht="12.65" customHeight="1" x14ac:dyDescent="0.3">
      <c r="A678" s="221">
        <v>6210</v>
      </c>
      <c r="B678" s="220" t="s">
        <v>349</v>
      </c>
      <c r="C678" s="226" t="str">
        <f>L86</f>
        <v>x</v>
      </c>
      <c r="D678" s="226">
        <f>(D616/D613)*L91</f>
        <v>0</v>
      </c>
      <c r="E678" s="228" t="e">
        <f>(E624/E613)*SUM(C678:D678)</f>
        <v>#DIV/0!</v>
      </c>
      <c r="F678" s="228" t="e">
        <f>(F625/F613)*L65</f>
        <v>#DIV/0!</v>
      </c>
      <c r="G678" s="226" t="e">
        <f>(G626/G613)*L92</f>
        <v>#DIV/0!</v>
      </c>
      <c r="H678" s="228" t="e">
        <f>(H629/H613)*L61</f>
        <v>#DIV/0!</v>
      </c>
      <c r="I678" s="226" t="e">
        <f>(I630/I613)*L93</f>
        <v>#DIV/0!</v>
      </c>
      <c r="J678" s="226" t="e">
        <f>(J631/J613)*L94</f>
        <v>#DIV/0!</v>
      </c>
      <c r="K678" s="226" t="e">
        <f>(K645/K613)*L90</f>
        <v>#DIV/0!</v>
      </c>
      <c r="L678" s="226" t="e">
        <f>(L648/L613)*L95</f>
        <v>#DIV/0!</v>
      </c>
      <c r="M678" s="211" t="e">
        <f t="shared" si="0"/>
        <v>#DIV/0!</v>
      </c>
      <c r="N678" s="220" t="s">
        <v>630</v>
      </c>
    </row>
    <row r="679" spans="1:14" s="211" customFormat="1" ht="12.65" customHeight="1" x14ac:dyDescent="0.3">
      <c r="A679" s="221">
        <v>6330</v>
      </c>
      <c r="B679" s="220" t="s">
        <v>631</v>
      </c>
      <c r="C679" s="226" t="str">
        <f>M86</f>
        <v>x</v>
      </c>
      <c r="D679" s="226">
        <f>(D616/D613)*M91</f>
        <v>0</v>
      </c>
      <c r="E679" s="228" t="e">
        <f>(E624/E613)*SUM(C679:D679)</f>
        <v>#DIV/0!</v>
      </c>
      <c r="F679" s="228" t="e">
        <f>(F625/F613)*M65</f>
        <v>#DIV/0!</v>
      </c>
      <c r="G679" s="226" t="e">
        <f>(G626/G613)*M92</f>
        <v>#DIV/0!</v>
      </c>
      <c r="H679" s="228" t="e">
        <f>(H629/H613)*M61</f>
        <v>#DIV/0!</v>
      </c>
      <c r="I679" s="226" t="e">
        <f>(I630/I613)*M93</f>
        <v>#DIV/0!</v>
      </c>
      <c r="J679" s="226" t="e">
        <f>(J631/J613)*M94</f>
        <v>#DIV/0!</v>
      </c>
      <c r="K679" s="226" t="e">
        <f>(K645/K613)*M90</f>
        <v>#DIV/0!</v>
      </c>
      <c r="L679" s="226" t="e">
        <f>(L648/L613)*M95</f>
        <v>#DIV/0!</v>
      </c>
      <c r="M679" s="211" t="e">
        <f t="shared" si="0"/>
        <v>#DIV/0!</v>
      </c>
      <c r="N679" s="220" t="s">
        <v>632</v>
      </c>
    </row>
    <row r="680" spans="1:14" s="211" customFormat="1" ht="12.65" customHeight="1" x14ac:dyDescent="0.3">
      <c r="A680" s="221">
        <v>6400</v>
      </c>
      <c r="B680" s="220" t="s">
        <v>633</v>
      </c>
      <c r="C680" s="226" t="str">
        <f>N86</f>
        <v>x</v>
      </c>
      <c r="D680" s="226">
        <f>(D616/D613)*N91</f>
        <v>0</v>
      </c>
      <c r="E680" s="228" t="e">
        <f>(E624/E613)*SUM(C680:D680)</f>
        <v>#DIV/0!</v>
      </c>
      <c r="F680" s="228" t="e">
        <f>(F625/F613)*N65</f>
        <v>#DIV/0!</v>
      </c>
      <c r="G680" s="226" t="e">
        <f>(G626/G613)*N92</f>
        <v>#DIV/0!</v>
      </c>
      <c r="H680" s="228" t="e">
        <f>(H629/H613)*N61</f>
        <v>#DIV/0!</v>
      </c>
      <c r="I680" s="226" t="e">
        <f>(I630/I613)*N93</f>
        <v>#DIV/0!</v>
      </c>
      <c r="J680" s="226" t="e">
        <f>(J631/J613)*N94</f>
        <v>#DIV/0!</v>
      </c>
      <c r="K680" s="226" t="e">
        <f>(K645/K613)*N90</f>
        <v>#DIV/0!</v>
      </c>
      <c r="L680" s="226" t="e">
        <f>(L648/L613)*N95</f>
        <v>#DIV/0!</v>
      </c>
      <c r="M680" s="211" t="e">
        <f t="shared" si="0"/>
        <v>#DIV/0!</v>
      </c>
      <c r="N680" s="220" t="s">
        <v>634</v>
      </c>
    </row>
    <row r="681" spans="1:14" s="211" customFormat="1" ht="12.65" customHeight="1" x14ac:dyDescent="0.3">
      <c r="A681" s="221">
        <v>7010</v>
      </c>
      <c r="B681" s="220" t="s">
        <v>635</v>
      </c>
      <c r="C681" s="226" t="str">
        <f>O86</f>
        <v>x</v>
      </c>
      <c r="D681" s="226">
        <f>(D616/D613)*O91</f>
        <v>0</v>
      </c>
      <c r="E681" s="228" t="e">
        <f>(E624/E613)*SUM(C681:D681)</f>
        <v>#DIV/0!</v>
      </c>
      <c r="F681" s="228" t="e">
        <f>(F625/F613)*O65</f>
        <v>#DIV/0!</v>
      </c>
      <c r="G681" s="226" t="e">
        <f>(G626/G613)*O92</f>
        <v>#DIV/0!</v>
      </c>
      <c r="H681" s="228" t="e">
        <f>(H629/H613)*O61</f>
        <v>#DIV/0!</v>
      </c>
      <c r="I681" s="226" t="e">
        <f>(I630/I613)*O93</f>
        <v>#DIV/0!</v>
      </c>
      <c r="J681" s="226" t="e">
        <f>(J631/J613)*O94</f>
        <v>#DIV/0!</v>
      </c>
      <c r="K681" s="226" t="e">
        <f>(K645/K613)*O90</f>
        <v>#DIV/0!</v>
      </c>
      <c r="L681" s="226" t="e">
        <f>(L648/L613)*O95</f>
        <v>#DIV/0!</v>
      </c>
      <c r="M681" s="211" t="e">
        <f t="shared" si="0"/>
        <v>#DIV/0!</v>
      </c>
      <c r="N681" s="220" t="s">
        <v>636</v>
      </c>
    </row>
    <row r="682" spans="1:14" s="211" customFormat="1" ht="12.65" customHeight="1" x14ac:dyDescent="0.3">
      <c r="A682" s="221">
        <v>7020</v>
      </c>
      <c r="B682" s="220" t="s">
        <v>637</v>
      </c>
      <c r="C682" s="226" t="str">
        <f>P86</f>
        <v>x</v>
      </c>
      <c r="D682" s="226">
        <f>(D616/D613)*P91</f>
        <v>0</v>
      </c>
      <c r="E682" s="228" t="e">
        <f>(E624/E613)*SUM(C682:D682)</f>
        <v>#DIV/0!</v>
      </c>
      <c r="F682" s="228" t="e">
        <f>(F625/F613)*P65</f>
        <v>#DIV/0!</v>
      </c>
      <c r="G682" s="226" t="e">
        <f>(G626/G613)*P92</f>
        <v>#DIV/0!</v>
      </c>
      <c r="H682" s="228" t="e">
        <f>(H629/H613)*P61</f>
        <v>#DIV/0!</v>
      </c>
      <c r="I682" s="226" t="e">
        <f>(I630/I613)*P93</f>
        <v>#DIV/0!</v>
      </c>
      <c r="J682" s="226" t="e">
        <f>(J631/J613)*P94</f>
        <v>#DIV/0!</v>
      </c>
      <c r="K682" s="226" t="e">
        <f>(K645/K613)*P90</f>
        <v>#DIV/0!</v>
      </c>
      <c r="L682" s="226" t="e">
        <f>(L648/L613)*P95</f>
        <v>#DIV/0!</v>
      </c>
      <c r="M682" s="211" t="e">
        <f t="shared" si="0"/>
        <v>#DIV/0!</v>
      </c>
      <c r="N682" s="220" t="s">
        <v>638</v>
      </c>
    </row>
    <row r="683" spans="1:14" s="211" customFormat="1" ht="12.65" customHeight="1" x14ac:dyDescent="0.3">
      <c r="A683" s="221">
        <v>7030</v>
      </c>
      <c r="B683" s="220" t="s">
        <v>639</v>
      </c>
      <c r="C683" s="226" t="str">
        <f>Q86</f>
        <v>x</v>
      </c>
      <c r="D683" s="226">
        <f>(D616/D613)*Q91</f>
        <v>0</v>
      </c>
      <c r="E683" s="228" t="e">
        <f>(E624/E613)*SUM(C683:D683)</f>
        <v>#DIV/0!</v>
      </c>
      <c r="F683" s="228" t="e">
        <f>(F625/F613)*Q65</f>
        <v>#DIV/0!</v>
      </c>
      <c r="G683" s="226" t="e">
        <f>(G626/G613)*Q92</f>
        <v>#DIV/0!</v>
      </c>
      <c r="H683" s="228" t="e">
        <f>(H629/H613)*Q61</f>
        <v>#DIV/0!</v>
      </c>
      <c r="I683" s="226" t="e">
        <f>(I630/I613)*Q93</f>
        <v>#DIV/0!</v>
      </c>
      <c r="J683" s="226" t="e">
        <f>(J631/J613)*Q94</f>
        <v>#DIV/0!</v>
      </c>
      <c r="K683" s="226" t="e">
        <f>(K645/K613)*Q90</f>
        <v>#DIV/0!</v>
      </c>
      <c r="L683" s="226" t="e">
        <f>(L648/L613)*Q95</f>
        <v>#DIV/0!</v>
      </c>
      <c r="M683" s="211" t="e">
        <f t="shared" si="0"/>
        <v>#DIV/0!</v>
      </c>
      <c r="N683" s="220" t="s">
        <v>640</v>
      </c>
    </row>
    <row r="684" spans="1:14" s="211" customFormat="1" ht="12.65" customHeight="1" x14ac:dyDescent="0.3">
      <c r="A684" s="221">
        <v>7040</v>
      </c>
      <c r="B684" s="220" t="s">
        <v>133</v>
      </c>
      <c r="C684" s="226" t="str">
        <f>R86</f>
        <v>x</v>
      </c>
      <c r="D684" s="226">
        <f>(D616/D613)*R91</f>
        <v>0</v>
      </c>
      <c r="E684" s="228" t="e">
        <f>(E624/E613)*SUM(C684:D684)</f>
        <v>#DIV/0!</v>
      </c>
      <c r="F684" s="228" t="e">
        <f>(F625/F613)*R65</f>
        <v>#DIV/0!</v>
      </c>
      <c r="G684" s="226" t="e">
        <f>(G626/G613)*R92</f>
        <v>#DIV/0!</v>
      </c>
      <c r="H684" s="228" t="e">
        <f>(H629/H613)*R61</f>
        <v>#DIV/0!</v>
      </c>
      <c r="I684" s="226" t="e">
        <f>(I630/I613)*R93</f>
        <v>#DIV/0!</v>
      </c>
      <c r="J684" s="226" t="e">
        <f>(J631/J613)*R94</f>
        <v>#DIV/0!</v>
      </c>
      <c r="K684" s="226" t="e">
        <f>(K645/K613)*R90</f>
        <v>#DIV/0!</v>
      </c>
      <c r="L684" s="226" t="e">
        <f>(L648/L613)*R95</f>
        <v>#DIV/0!</v>
      </c>
      <c r="M684" s="211" t="e">
        <f t="shared" si="0"/>
        <v>#DIV/0!</v>
      </c>
      <c r="N684" s="220" t="s">
        <v>641</v>
      </c>
    </row>
    <row r="685" spans="1:14" s="211" customFormat="1" ht="12.65" customHeight="1" x14ac:dyDescent="0.3">
      <c r="A685" s="221">
        <v>7050</v>
      </c>
      <c r="B685" s="220" t="s">
        <v>642</v>
      </c>
      <c r="C685" s="226" t="str">
        <f>S86</f>
        <v>x</v>
      </c>
      <c r="D685" s="226">
        <f>(D616/D613)*S91</f>
        <v>0</v>
      </c>
      <c r="E685" s="228" t="e">
        <f>(E624/E613)*SUM(C685:D685)</f>
        <v>#DIV/0!</v>
      </c>
      <c r="F685" s="228" t="e">
        <f>(F625/F613)*S65</f>
        <v>#DIV/0!</v>
      </c>
      <c r="G685" s="226" t="e">
        <f>(G626/G613)*S92</f>
        <v>#DIV/0!</v>
      </c>
      <c r="H685" s="228" t="e">
        <f>(H629/H613)*S61</f>
        <v>#DIV/0!</v>
      </c>
      <c r="I685" s="226" t="e">
        <f>(I630/I613)*S93</f>
        <v>#DIV/0!</v>
      </c>
      <c r="J685" s="226" t="e">
        <f>(J631/J613)*S94</f>
        <v>#DIV/0!</v>
      </c>
      <c r="K685" s="226" t="e">
        <f>(K645/K613)*S90</f>
        <v>#DIV/0!</v>
      </c>
      <c r="L685" s="226" t="e">
        <f>(L648/L613)*S95</f>
        <v>#DIV/0!</v>
      </c>
      <c r="M685" s="211" t="e">
        <f t="shared" si="0"/>
        <v>#DIV/0!</v>
      </c>
      <c r="N685" s="220" t="s">
        <v>643</v>
      </c>
    </row>
    <row r="686" spans="1:14" s="211" customFormat="1" ht="12.65" customHeight="1" x14ac:dyDescent="0.3">
      <c r="A686" s="221">
        <v>7060</v>
      </c>
      <c r="B686" s="220" t="s">
        <v>644</v>
      </c>
      <c r="C686" s="226" t="str">
        <f>T86</f>
        <v>x</v>
      </c>
      <c r="D686" s="226">
        <f>(D616/D613)*T91</f>
        <v>0</v>
      </c>
      <c r="E686" s="228" t="e">
        <f>(E624/E613)*SUM(C686:D686)</f>
        <v>#DIV/0!</v>
      </c>
      <c r="F686" s="228" t="e">
        <f>(F625/F613)*T65</f>
        <v>#DIV/0!</v>
      </c>
      <c r="G686" s="226" t="e">
        <f>(G626/G613)*T92</f>
        <v>#DIV/0!</v>
      </c>
      <c r="H686" s="228" t="e">
        <f>(H629/H613)*T61</f>
        <v>#DIV/0!</v>
      </c>
      <c r="I686" s="226" t="e">
        <f>(I630/I613)*T93</f>
        <v>#DIV/0!</v>
      </c>
      <c r="J686" s="226" t="e">
        <f>(J631/J613)*T94</f>
        <v>#DIV/0!</v>
      </c>
      <c r="K686" s="226" t="e">
        <f>(K645/K613)*T90</f>
        <v>#DIV/0!</v>
      </c>
      <c r="L686" s="226" t="e">
        <f>(L648/L613)*T95</f>
        <v>#DIV/0!</v>
      </c>
      <c r="M686" s="211" t="e">
        <f t="shared" si="0"/>
        <v>#DIV/0!</v>
      </c>
      <c r="N686" s="220" t="s">
        <v>645</v>
      </c>
    </row>
    <row r="687" spans="1:14" s="211" customFormat="1" ht="12.65" customHeight="1" x14ac:dyDescent="0.3">
      <c r="A687" s="221">
        <v>7070</v>
      </c>
      <c r="B687" s="220" t="s">
        <v>136</v>
      </c>
      <c r="C687" s="226" t="str">
        <f>U86</f>
        <v>x</v>
      </c>
      <c r="D687" s="226">
        <f>(D616/D613)*U91</f>
        <v>0</v>
      </c>
      <c r="E687" s="228" t="e">
        <f>(E624/E613)*SUM(C687:D687)</f>
        <v>#DIV/0!</v>
      </c>
      <c r="F687" s="228" t="e">
        <f>(F625/F613)*U65</f>
        <v>#DIV/0!</v>
      </c>
      <c r="G687" s="226" t="e">
        <f>(G626/G613)*U92</f>
        <v>#DIV/0!</v>
      </c>
      <c r="H687" s="228" t="e">
        <f>(H629/H613)*U61</f>
        <v>#DIV/0!</v>
      </c>
      <c r="I687" s="226" t="e">
        <f>(I630/I613)*U93</f>
        <v>#DIV/0!</v>
      </c>
      <c r="J687" s="226" t="e">
        <f>(J631/J613)*U94</f>
        <v>#DIV/0!</v>
      </c>
      <c r="K687" s="226" t="e">
        <f>(K645/K613)*U90</f>
        <v>#DIV/0!</v>
      </c>
      <c r="L687" s="226" t="e">
        <f>(L648/L613)*U95</f>
        <v>#DIV/0!</v>
      </c>
      <c r="M687" s="211" t="e">
        <f t="shared" si="0"/>
        <v>#DIV/0!</v>
      </c>
      <c r="N687" s="220" t="s">
        <v>646</v>
      </c>
    </row>
    <row r="688" spans="1:14" s="211" customFormat="1" ht="12.65" customHeight="1" x14ac:dyDescent="0.3">
      <c r="A688" s="221">
        <v>7110</v>
      </c>
      <c r="B688" s="220" t="s">
        <v>647</v>
      </c>
      <c r="C688" s="226" t="str">
        <f>V86</f>
        <v>x</v>
      </c>
      <c r="D688" s="226">
        <f>(D616/D613)*V91</f>
        <v>0</v>
      </c>
      <c r="E688" s="228" t="e">
        <f>(E624/E613)*SUM(C688:D688)</f>
        <v>#DIV/0!</v>
      </c>
      <c r="F688" s="228" t="e">
        <f>(F625/F613)*V65</f>
        <v>#DIV/0!</v>
      </c>
      <c r="G688" s="226" t="e">
        <f>(G626/G613)*V92</f>
        <v>#DIV/0!</v>
      </c>
      <c r="H688" s="228" t="e">
        <f>(H629/H613)*V61</f>
        <v>#DIV/0!</v>
      </c>
      <c r="I688" s="226" t="e">
        <f>(I630/I613)*V93</f>
        <v>#DIV/0!</v>
      </c>
      <c r="J688" s="226" t="e">
        <f>(J631/J613)*V94</f>
        <v>#DIV/0!</v>
      </c>
      <c r="K688" s="226" t="e">
        <f>(K645/K613)*V90</f>
        <v>#DIV/0!</v>
      </c>
      <c r="L688" s="226" t="e">
        <f>(L648/L613)*V95</f>
        <v>#DIV/0!</v>
      </c>
      <c r="M688" s="211" t="e">
        <f t="shared" si="0"/>
        <v>#DIV/0!</v>
      </c>
      <c r="N688" s="220" t="s">
        <v>648</v>
      </c>
    </row>
    <row r="689" spans="1:14" s="211" customFormat="1" ht="12.65" customHeight="1" x14ac:dyDescent="0.3">
      <c r="A689" s="221">
        <v>7120</v>
      </c>
      <c r="B689" s="220" t="s">
        <v>649</v>
      </c>
      <c r="C689" s="226" t="str">
        <f>W86</f>
        <v>x</v>
      </c>
      <c r="D689" s="226">
        <f>(D616/D613)*W91</f>
        <v>0</v>
      </c>
      <c r="E689" s="228" t="e">
        <f>(E624/E613)*SUM(C689:D689)</f>
        <v>#DIV/0!</v>
      </c>
      <c r="F689" s="228" t="e">
        <f>(F625/F613)*W65</f>
        <v>#DIV/0!</v>
      </c>
      <c r="G689" s="226" t="e">
        <f>(G626/G613)*W92</f>
        <v>#DIV/0!</v>
      </c>
      <c r="H689" s="228" t="e">
        <f>(H629/H613)*W61</f>
        <v>#DIV/0!</v>
      </c>
      <c r="I689" s="226" t="e">
        <f>(I630/I613)*W93</f>
        <v>#DIV/0!</v>
      </c>
      <c r="J689" s="226" t="e">
        <f>(J631/J613)*W94</f>
        <v>#DIV/0!</v>
      </c>
      <c r="K689" s="226" t="e">
        <f>(K645/K613)*W90</f>
        <v>#DIV/0!</v>
      </c>
      <c r="L689" s="226" t="e">
        <f>(L648/L613)*W95</f>
        <v>#DIV/0!</v>
      </c>
      <c r="M689" s="211" t="e">
        <f t="shared" si="0"/>
        <v>#DIV/0!</v>
      </c>
      <c r="N689" s="220" t="s">
        <v>650</v>
      </c>
    </row>
    <row r="690" spans="1:14" s="211" customFormat="1" ht="12.65" customHeight="1" x14ac:dyDescent="0.3">
      <c r="A690" s="221">
        <v>7130</v>
      </c>
      <c r="B690" s="220" t="s">
        <v>651</v>
      </c>
      <c r="C690" s="226" t="str">
        <f>X86</f>
        <v>x</v>
      </c>
      <c r="D690" s="226">
        <f>(D616/D613)*X91</f>
        <v>0</v>
      </c>
      <c r="E690" s="228" t="e">
        <f>(E624/E613)*SUM(C690:D690)</f>
        <v>#DIV/0!</v>
      </c>
      <c r="F690" s="228" t="e">
        <f>(F625/F613)*X65</f>
        <v>#DIV/0!</v>
      </c>
      <c r="G690" s="226" t="e">
        <f>(G626/G613)*X92</f>
        <v>#DIV/0!</v>
      </c>
      <c r="H690" s="228" t="e">
        <f>(H629/H613)*X61</f>
        <v>#DIV/0!</v>
      </c>
      <c r="I690" s="226" t="e">
        <f>(I630/I613)*X93</f>
        <v>#DIV/0!</v>
      </c>
      <c r="J690" s="226" t="e">
        <f>(J631/J613)*X94</f>
        <v>#DIV/0!</v>
      </c>
      <c r="K690" s="226" t="e">
        <f>(K645/K613)*X90</f>
        <v>#DIV/0!</v>
      </c>
      <c r="L690" s="226" t="e">
        <f>(L648/L613)*X95</f>
        <v>#DIV/0!</v>
      </c>
      <c r="M690" s="211" t="e">
        <f t="shared" si="0"/>
        <v>#DIV/0!</v>
      </c>
      <c r="N690" s="220" t="s">
        <v>652</v>
      </c>
    </row>
    <row r="691" spans="1:14" s="211" customFormat="1" ht="12.65" customHeight="1" x14ac:dyDescent="0.3">
      <c r="A691" s="221">
        <v>7140</v>
      </c>
      <c r="B691" s="220" t="s">
        <v>653</v>
      </c>
      <c r="C691" s="226" t="str">
        <f>Y86</f>
        <v>x</v>
      </c>
      <c r="D691" s="226">
        <f>(D616/D613)*Y91</f>
        <v>0</v>
      </c>
      <c r="E691" s="228" t="e">
        <f>(E624/E613)*SUM(C691:D691)</f>
        <v>#DIV/0!</v>
      </c>
      <c r="F691" s="228" t="e">
        <f>(F625/F613)*Y65</f>
        <v>#DIV/0!</v>
      </c>
      <c r="G691" s="226" t="e">
        <f>(G626/G613)*Y92</f>
        <v>#DIV/0!</v>
      </c>
      <c r="H691" s="228" t="e">
        <f>(H629/H613)*Y61</f>
        <v>#DIV/0!</v>
      </c>
      <c r="I691" s="226" t="e">
        <f>(I630/I613)*Y93</f>
        <v>#DIV/0!</v>
      </c>
      <c r="J691" s="226" t="e">
        <f>(J631/J613)*Y94</f>
        <v>#DIV/0!</v>
      </c>
      <c r="K691" s="226" t="e">
        <f>(K645/K613)*Y90</f>
        <v>#DIV/0!</v>
      </c>
      <c r="L691" s="226" t="e">
        <f>(L648/L613)*Y95</f>
        <v>#DIV/0!</v>
      </c>
      <c r="M691" s="211" t="e">
        <f t="shared" si="0"/>
        <v>#DIV/0!</v>
      </c>
      <c r="N691" s="220" t="s">
        <v>654</v>
      </c>
    </row>
    <row r="692" spans="1:14" s="211" customFormat="1" ht="12.65" customHeight="1" x14ac:dyDescent="0.3">
      <c r="A692" s="221">
        <v>7150</v>
      </c>
      <c r="B692" s="220" t="s">
        <v>655</v>
      </c>
      <c r="C692" s="226" t="str">
        <f>Z86</f>
        <v>x</v>
      </c>
      <c r="D692" s="226">
        <f>(D616/D613)*Z91</f>
        <v>0</v>
      </c>
      <c r="E692" s="228" t="e">
        <f>(E624/E613)*SUM(C692:D692)</f>
        <v>#DIV/0!</v>
      </c>
      <c r="F692" s="228" t="e">
        <f>(F625/F613)*Z65</f>
        <v>#DIV/0!</v>
      </c>
      <c r="G692" s="226" t="e">
        <f>(G626/G613)*Z92</f>
        <v>#DIV/0!</v>
      </c>
      <c r="H692" s="228" t="e">
        <f>(H629/H613)*Z61</f>
        <v>#DIV/0!</v>
      </c>
      <c r="I692" s="226" t="e">
        <f>(I630/I613)*Z93</f>
        <v>#DIV/0!</v>
      </c>
      <c r="J692" s="226" t="e">
        <f>(J631/J613)*Z94</f>
        <v>#DIV/0!</v>
      </c>
      <c r="K692" s="226" t="e">
        <f>(K645/K613)*Z90</f>
        <v>#DIV/0!</v>
      </c>
      <c r="L692" s="226" t="e">
        <f>(L648/L613)*Z95</f>
        <v>#DIV/0!</v>
      </c>
      <c r="M692" s="211" t="e">
        <f t="shared" si="0"/>
        <v>#DIV/0!</v>
      </c>
      <c r="N692" s="220" t="s">
        <v>656</v>
      </c>
    </row>
    <row r="693" spans="1:14" s="211" customFormat="1" ht="12.65" customHeight="1" x14ac:dyDescent="0.3">
      <c r="A693" s="221">
        <v>7160</v>
      </c>
      <c r="B693" s="220" t="s">
        <v>657</v>
      </c>
      <c r="C693" s="226" t="str">
        <f>AA86</f>
        <v>x</v>
      </c>
      <c r="D693" s="226">
        <f>(D616/D613)*AA91</f>
        <v>0</v>
      </c>
      <c r="E693" s="228" t="e">
        <f>(E624/E613)*SUM(C693:D693)</f>
        <v>#DIV/0!</v>
      </c>
      <c r="F693" s="228" t="e">
        <f>(F625/F613)*AA65</f>
        <v>#DIV/0!</v>
      </c>
      <c r="G693" s="226" t="e">
        <f>(G626/G613)*AA92</f>
        <v>#DIV/0!</v>
      </c>
      <c r="H693" s="228" t="e">
        <f>(H629/H613)*AA61</f>
        <v>#DIV/0!</v>
      </c>
      <c r="I693" s="226" t="e">
        <f>(I630/I613)*AA93</f>
        <v>#DIV/0!</v>
      </c>
      <c r="J693" s="226" t="e">
        <f>(J631/J613)*AA94</f>
        <v>#DIV/0!</v>
      </c>
      <c r="K693" s="226" t="e">
        <f>(K645/K613)*AA90</f>
        <v>#DIV/0!</v>
      </c>
      <c r="L693" s="226" t="e">
        <f>(L648/L613)*AA95</f>
        <v>#DIV/0!</v>
      </c>
      <c r="M693" s="211" t="e">
        <f t="shared" si="0"/>
        <v>#DIV/0!</v>
      </c>
      <c r="N693" s="220" t="s">
        <v>658</v>
      </c>
    </row>
    <row r="694" spans="1:14" s="211" customFormat="1" ht="12.65" customHeight="1" x14ac:dyDescent="0.3">
      <c r="A694" s="221">
        <v>7170</v>
      </c>
      <c r="B694" s="220" t="s">
        <v>142</v>
      </c>
      <c r="C694" s="226" t="str">
        <f>AB86</f>
        <v>x</v>
      </c>
      <c r="D694" s="226">
        <f>(D616/D613)*AB91</f>
        <v>0</v>
      </c>
      <c r="E694" s="228" t="e">
        <f>(E624/E613)*SUM(C694:D694)</f>
        <v>#DIV/0!</v>
      </c>
      <c r="F694" s="228" t="e">
        <f>(F625/F613)*AB65</f>
        <v>#DIV/0!</v>
      </c>
      <c r="G694" s="226" t="e">
        <f>(G626/G613)*AB92</f>
        <v>#DIV/0!</v>
      </c>
      <c r="H694" s="228" t="e">
        <f>(H629/H613)*AB61</f>
        <v>#DIV/0!</v>
      </c>
      <c r="I694" s="226" t="e">
        <f>(I630/I613)*AB93</f>
        <v>#DIV/0!</v>
      </c>
      <c r="J694" s="226" t="e">
        <f>(J631/J613)*AB94</f>
        <v>#DIV/0!</v>
      </c>
      <c r="K694" s="226" t="e">
        <f>(K645/K613)*AB90</f>
        <v>#DIV/0!</v>
      </c>
      <c r="L694" s="226" t="e">
        <f>(L648/L613)*AB95</f>
        <v>#DIV/0!</v>
      </c>
      <c r="M694" s="211" t="e">
        <f t="shared" si="0"/>
        <v>#DIV/0!</v>
      </c>
      <c r="N694" s="220" t="s">
        <v>659</v>
      </c>
    </row>
    <row r="695" spans="1:14" s="211" customFormat="1" ht="12.65" customHeight="1" x14ac:dyDescent="0.3">
      <c r="A695" s="221">
        <v>7180</v>
      </c>
      <c r="B695" s="220" t="s">
        <v>660</v>
      </c>
      <c r="C695" s="226" t="str">
        <f>AC86</f>
        <v>x</v>
      </c>
      <c r="D695" s="226">
        <f>(D616/D613)*AC91</f>
        <v>0</v>
      </c>
      <c r="E695" s="228" t="e">
        <f>(E624/E613)*SUM(C695:D695)</f>
        <v>#DIV/0!</v>
      </c>
      <c r="F695" s="228" t="e">
        <f>(F625/F613)*AC65</f>
        <v>#DIV/0!</v>
      </c>
      <c r="G695" s="226" t="e">
        <f>(G626/G613)*AC92</f>
        <v>#DIV/0!</v>
      </c>
      <c r="H695" s="228" t="e">
        <f>(H629/H613)*AC61</f>
        <v>#DIV/0!</v>
      </c>
      <c r="I695" s="226" t="e">
        <f>(I630/I613)*AC93</f>
        <v>#DIV/0!</v>
      </c>
      <c r="J695" s="226" t="e">
        <f>(J631/J613)*AC94</f>
        <v>#DIV/0!</v>
      </c>
      <c r="K695" s="226" t="e">
        <f>(K645/K613)*AC90</f>
        <v>#DIV/0!</v>
      </c>
      <c r="L695" s="226" t="e">
        <f>(L648/L613)*AC95</f>
        <v>#DIV/0!</v>
      </c>
      <c r="M695" s="211" t="e">
        <f t="shared" si="0"/>
        <v>#DIV/0!</v>
      </c>
      <c r="N695" s="220" t="s">
        <v>661</v>
      </c>
    </row>
    <row r="696" spans="1:14" s="211" customFormat="1" ht="12.65" customHeight="1" x14ac:dyDescent="0.3">
      <c r="A696" s="221">
        <v>7190</v>
      </c>
      <c r="B696" s="220" t="s">
        <v>144</v>
      </c>
      <c r="C696" s="226" t="str">
        <f>AD86</f>
        <v>x</v>
      </c>
      <c r="D696" s="226">
        <f>(D616/D613)*AD91</f>
        <v>0</v>
      </c>
      <c r="E696" s="228" t="e">
        <f>(E624/E613)*SUM(C696:D696)</f>
        <v>#DIV/0!</v>
      </c>
      <c r="F696" s="228" t="e">
        <f>(F625/F613)*AD65</f>
        <v>#DIV/0!</v>
      </c>
      <c r="G696" s="226" t="e">
        <f>(G626/G613)*AD92</f>
        <v>#DIV/0!</v>
      </c>
      <c r="H696" s="228" t="e">
        <f>(H629/H613)*AD61</f>
        <v>#DIV/0!</v>
      </c>
      <c r="I696" s="226" t="e">
        <f>(I630/I613)*AD93</f>
        <v>#DIV/0!</v>
      </c>
      <c r="J696" s="226" t="e">
        <f>(J631/J613)*AD94</f>
        <v>#DIV/0!</v>
      </c>
      <c r="K696" s="226" t="e">
        <f>(K645/K613)*AD90</f>
        <v>#DIV/0!</v>
      </c>
      <c r="L696" s="226" t="e">
        <f>(L648/L613)*AD95</f>
        <v>#DIV/0!</v>
      </c>
      <c r="M696" s="211" t="e">
        <f t="shared" si="0"/>
        <v>#DIV/0!</v>
      </c>
      <c r="N696" s="220" t="s">
        <v>662</v>
      </c>
    </row>
    <row r="697" spans="1:14" s="211" customFormat="1" ht="12.65" customHeight="1" x14ac:dyDescent="0.3">
      <c r="A697" s="221">
        <v>7200</v>
      </c>
      <c r="B697" s="220" t="s">
        <v>663</v>
      </c>
      <c r="C697" s="226" t="str">
        <f>AE86</f>
        <v>x</v>
      </c>
      <c r="D697" s="226">
        <f>(D616/D613)*AE91</f>
        <v>0</v>
      </c>
      <c r="E697" s="228" t="e">
        <f>(E624/E613)*SUM(C697:D697)</f>
        <v>#DIV/0!</v>
      </c>
      <c r="F697" s="228" t="e">
        <f>(F625/F613)*AE65</f>
        <v>#DIV/0!</v>
      </c>
      <c r="G697" s="226" t="e">
        <f>(G626/G613)*AE92</f>
        <v>#DIV/0!</v>
      </c>
      <c r="H697" s="228" t="e">
        <f>(H629/H613)*AE61</f>
        <v>#DIV/0!</v>
      </c>
      <c r="I697" s="226" t="e">
        <f>(I630/I613)*AE93</f>
        <v>#DIV/0!</v>
      </c>
      <c r="J697" s="226" t="e">
        <f>(J631/J613)*AE94</f>
        <v>#DIV/0!</v>
      </c>
      <c r="K697" s="226" t="e">
        <f>(K645/K613)*AE90</f>
        <v>#DIV/0!</v>
      </c>
      <c r="L697" s="226" t="e">
        <f>(L648/L613)*AE95</f>
        <v>#DIV/0!</v>
      </c>
      <c r="M697" s="211" t="e">
        <f t="shared" si="0"/>
        <v>#DIV/0!</v>
      </c>
      <c r="N697" s="220" t="s">
        <v>664</v>
      </c>
    </row>
    <row r="698" spans="1:14" s="211" customFormat="1" ht="12.65" customHeight="1" x14ac:dyDescent="0.3">
      <c r="A698" s="221">
        <v>7220</v>
      </c>
      <c r="B698" s="220" t="s">
        <v>665</v>
      </c>
      <c r="C698" s="226" t="str">
        <f>AF86</f>
        <v>x</v>
      </c>
      <c r="D698" s="226">
        <f>(D616/D613)*AF91</f>
        <v>0</v>
      </c>
      <c r="E698" s="228" t="e">
        <f>(E624/E613)*SUM(C698:D698)</f>
        <v>#DIV/0!</v>
      </c>
      <c r="F698" s="228" t="e">
        <f>(F625/F613)*AF65</f>
        <v>#DIV/0!</v>
      </c>
      <c r="G698" s="226" t="e">
        <f>(G626/G613)*AF92</f>
        <v>#DIV/0!</v>
      </c>
      <c r="H698" s="228" t="e">
        <f>(H629/H613)*AF61</f>
        <v>#DIV/0!</v>
      </c>
      <c r="I698" s="226" t="e">
        <f>(I630/I613)*AF93</f>
        <v>#DIV/0!</v>
      </c>
      <c r="J698" s="226" t="e">
        <f>(J631/J613)*AF94</f>
        <v>#DIV/0!</v>
      </c>
      <c r="K698" s="226" t="e">
        <f>(K645/K613)*AF90</f>
        <v>#DIV/0!</v>
      </c>
      <c r="L698" s="226" t="e">
        <f>(L648/L613)*AF95</f>
        <v>#DIV/0!</v>
      </c>
      <c r="M698" s="211" t="e">
        <f t="shared" si="0"/>
        <v>#DIV/0!</v>
      </c>
      <c r="N698" s="220" t="s">
        <v>666</v>
      </c>
    </row>
    <row r="699" spans="1:14" s="211" customFormat="1" ht="12.65" customHeight="1" x14ac:dyDescent="0.3">
      <c r="A699" s="221">
        <v>7230</v>
      </c>
      <c r="B699" s="220" t="s">
        <v>667</v>
      </c>
      <c r="C699" s="226" t="str">
        <f>AG86</f>
        <v>x</v>
      </c>
      <c r="D699" s="226">
        <f>(D616/D613)*AG91</f>
        <v>0</v>
      </c>
      <c r="E699" s="228" t="e">
        <f>(E624/E613)*SUM(C699:D699)</f>
        <v>#DIV/0!</v>
      </c>
      <c r="F699" s="228" t="e">
        <f>(F625/F613)*AG65</f>
        <v>#DIV/0!</v>
      </c>
      <c r="G699" s="226" t="e">
        <f>(G626/G613)*AG92</f>
        <v>#DIV/0!</v>
      </c>
      <c r="H699" s="228" t="e">
        <f>(H629/H613)*AG61</f>
        <v>#DIV/0!</v>
      </c>
      <c r="I699" s="226" t="e">
        <f>(I630/I613)*AG93</f>
        <v>#DIV/0!</v>
      </c>
      <c r="J699" s="226" t="e">
        <f>(J631/J613)*AG94</f>
        <v>#DIV/0!</v>
      </c>
      <c r="K699" s="226" t="e">
        <f>(K645/K613)*AG90</f>
        <v>#DIV/0!</v>
      </c>
      <c r="L699" s="226" t="e">
        <f>(L648/L613)*AG95</f>
        <v>#DIV/0!</v>
      </c>
      <c r="M699" s="211" t="e">
        <f t="shared" si="0"/>
        <v>#DIV/0!</v>
      </c>
      <c r="N699" s="220" t="s">
        <v>668</v>
      </c>
    </row>
    <row r="700" spans="1:14" s="211" customFormat="1" ht="12.65" customHeight="1" x14ac:dyDescent="0.3">
      <c r="A700" s="221">
        <v>7240</v>
      </c>
      <c r="B700" s="220" t="s">
        <v>146</v>
      </c>
      <c r="C700" s="226" t="str">
        <f>AH86</f>
        <v>x</v>
      </c>
      <c r="D700" s="226">
        <f>(D616/D613)*AH91</f>
        <v>0</v>
      </c>
      <c r="E700" s="228" t="e">
        <f>(E624/E613)*SUM(C700:D700)</f>
        <v>#DIV/0!</v>
      </c>
      <c r="F700" s="228" t="e">
        <f>(F625/F613)*AH65</f>
        <v>#DIV/0!</v>
      </c>
      <c r="G700" s="226" t="e">
        <f>(G626/G613)*AH92</f>
        <v>#DIV/0!</v>
      </c>
      <c r="H700" s="228" t="e">
        <f>(H629/H613)*AH61</f>
        <v>#DIV/0!</v>
      </c>
      <c r="I700" s="226" t="e">
        <f>(I630/I613)*AH93</f>
        <v>#DIV/0!</v>
      </c>
      <c r="J700" s="226" t="e">
        <f>(J631/J613)*AH94</f>
        <v>#DIV/0!</v>
      </c>
      <c r="K700" s="226" t="e">
        <f>(K645/K613)*AH90</f>
        <v>#DIV/0!</v>
      </c>
      <c r="L700" s="226" t="e">
        <f>(L648/L613)*AH95</f>
        <v>#DIV/0!</v>
      </c>
      <c r="M700" s="211" t="e">
        <f t="shared" si="0"/>
        <v>#DIV/0!</v>
      </c>
      <c r="N700" s="220" t="s">
        <v>669</v>
      </c>
    </row>
    <row r="701" spans="1:14" s="211" customFormat="1" ht="12.65" customHeight="1" x14ac:dyDescent="0.3">
      <c r="A701" s="221">
        <v>7250</v>
      </c>
      <c r="B701" s="220" t="s">
        <v>670</v>
      </c>
      <c r="C701" s="226" t="str">
        <f>AI86</f>
        <v>x</v>
      </c>
      <c r="D701" s="226">
        <f>(D616/D613)*AI91</f>
        <v>0</v>
      </c>
      <c r="E701" s="228" t="e">
        <f>(E624/E613)*SUM(C701:D701)</f>
        <v>#DIV/0!</v>
      </c>
      <c r="F701" s="228" t="e">
        <f>(F625/F613)*AI65</f>
        <v>#DIV/0!</v>
      </c>
      <c r="G701" s="226" t="e">
        <f>(G626/G613)*AI92</f>
        <v>#DIV/0!</v>
      </c>
      <c r="H701" s="228" t="e">
        <f>(H629/H613)*AI61</f>
        <v>#DIV/0!</v>
      </c>
      <c r="I701" s="226" t="e">
        <f>(I630/I613)*AI93</f>
        <v>#DIV/0!</v>
      </c>
      <c r="J701" s="226" t="e">
        <f>(J631/J613)*AI94</f>
        <v>#DIV/0!</v>
      </c>
      <c r="K701" s="226" t="e">
        <f>(K645/K613)*AI90</f>
        <v>#DIV/0!</v>
      </c>
      <c r="L701" s="226" t="e">
        <f>(L648/L613)*AI95</f>
        <v>#DIV/0!</v>
      </c>
      <c r="M701" s="211" t="e">
        <f t="shared" si="0"/>
        <v>#DIV/0!</v>
      </c>
      <c r="N701" s="220" t="s">
        <v>671</v>
      </c>
    </row>
    <row r="702" spans="1:14" s="211" customFormat="1" ht="12.65" customHeight="1" x14ac:dyDescent="0.3">
      <c r="A702" s="221">
        <v>7260</v>
      </c>
      <c r="B702" s="220" t="s">
        <v>148</v>
      </c>
      <c r="C702" s="226" t="str">
        <f>AJ86</f>
        <v>x</v>
      </c>
      <c r="D702" s="226">
        <f>(D616/D613)*AJ91</f>
        <v>0</v>
      </c>
      <c r="E702" s="228" t="e">
        <f>(E624/E613)*SUM(C702:D702)</f>
        <v>#DIV/0!</v>
      </c>
      <c r="F702" s="228" t="e">
        <f>(F625/F613)*AJ65</f>
        <v>#DIV/0!</v>
      </c>
      <c r="G702" s="226" t="e">
        <f>(G626/G613)*AJ92</f>
        <v>#DIV/0!</v>
      </c>
      <c r="H702" s="228" t="e">
        <f>(H629/H613)*AJ61</f>
        <v>#DIV/0!</v>
      </c>
      <c r="I702" s="226" t="e">
        <f>(I630/I613)*AJ93</f>
        <v>#DIV/0!</v>
      </c>
      <c r="J702" s="226" t="e">
        <f>(J631/J613)*AJ94</f>
        <v>#DIV/0!</v>
      </c>
      <c r="K702" s="226" t="e">
        <f>(K645/K613)*AJ90</f>
        <v>#DIV/0!</v>
      </c>
      <c r="L702" s="226" t="e">
        <f>(L648/L613)*AJ95</f>
        <v>#DIV/0!</v>
      </c>
      <c r="M702" s="211" t="e">
        <f t="shared" si="0"/>
        <v>#DIV/0!</v>
      </c>
      <c r="N702" s="220" t="s">
        <v>672</v>
      </c>
    </row>
    <row r="703" spans="1:14" s="211" customFormat="1" ht="12.65" customHeight="1" x14ac:dyDescent="0.3">
      <c r="A703" s="221">
        <v>7310</v>
      </c>
      <c r="B703" s="220" t="s">
        <v>673</v>
      </c>
      <c r="C703" s="226" t="str">
        <f>AK86</f>
        <v>x</v>
      </c>
      <c r="D703" s="226">
        <f>(D616/D613)*AK91</f>
        <v>0</v>
      </c>
      <c r="E703" s="228" t="e">
        <f>(E624/E613)*SUM(C703:D703)</f>
        <v>#DIV/0!</v>
      </c>
      <c r="F703" s="228" t="e">
        <f>(F625/F613)*AK65</f>
        <v>#DIV/0!</v>
      </c>
      <c r="G703" s="226" t="e">
        <f>(G626/G613)*AK92</f>
        <v>#DIV/0!</v>
      </c>
      <c r="H703" s="228" t="e">
        <f>(H629/H613)*AK61</f>
        <v>#DIV/0!</v>
      </c>
      <c r="I703" s="226" t="e">
        <f>(I630/I613)*AK93</f>
        <v>#DIV/0!</v>
      </c>
      <c r="J703" s="226" t="e">
        <f>(J631/J613)*AK94</f>
        <v>#DIV/0!</v>
      </c>
      <c r="K703" s="226" t="e">
        <f>(K645/K613)*AK90</f>
        <v>#DIV/0!</v>
      </c>
      <c r="L703" s="226" t="e">
        <f>(L648/L613)*AK95</f>
        <v>#DIV/0!</v>
      </c>
      <c r="M703" s="211" t="e">
        <f t="shared" si="0"/>
        <v>#DIV/0!</v>
      </c>
      <c r="N703" s="220" t="s">
        <v>674</v>
      </c>
    </row>
    <row r="704" spans="1:14" s="211" customFormat="1" ht="12.65" customHeight="1" x14ac:dyDescent="0.3">
      <c r="A704" s="221">
        <v>7320</v>
      </c>
      <c r="B704" s="220" t="s">
        <v>675</v>
      </c>
      <c r="C704" s="226" t="str">
        <f>AL86</f>
        <v>x</v>
      </c>
      <c r="D704" s="226">
        <f>(D616/D613)*AL91</f>
        <v>0</v>
      </c>
      <c r="E704" s="228" t="e">
        <f>(E624/E613)*SUM(C704:D704)</f>
        <v>#DIV/0!</v>
      </c>
      <c r="F704" s="228" t="e">
        <f>(F625/F613)*AL65</f>
        <v>#DIV/0!</v>
      </c>
      <c r="G704" s="226" t="e">
        <f>(G626/G613)*AL92</f>
        <v>#DIV/0!</v>
      </c>
      <c r="H704" s="228" t="e">
        <f>(H629/H613)*AL61</f>
        <v>#DIV/0!</v>
      </c>
      <c r="I704" s="226" t="e">
        <f>(I630/I613)*AL93</f>
        <v>#DIV/0!</v>
      </c>
      <c r="J704" s="226" t="e">
        <f>(J631/J613)*AL94</f>
        <v>#DIV/0!</v>
      </c>
      <c r="K704" s="226" t="e">
        <f>(K645/K613)*AL90</f>
        <v>#DIV/0!</v>
      </c>
      <c r="L704" s="226" t="e">
        <f>(L648/L613)*AL95</f>
        <v>#DIV/0!</v>
      </c>
      <c r="M704" s="211" t="e">
        <f t="shared" si="0"/>
        <v>#DIV/0!</v>
      </c>
      <c r="N704" s="220" t="s">
        <v>676</v>
      </c>
    </row>
    <row r="705" spans="1:14" s="211" customFormat="1" ht="12.65" customHeight="1" x14ac:dyDescent="0.3">
      <c r="A705" s="221">
        <v>7330</v>
      </c>
      <c r="B705" s="220" t="s">
        <v>677</v>
      </c>
      <c r="C705" s="226" t="str">
        <f>AM86</f>
        <v>x</v>
      </c>
      <c r="D705" s="226">
        <f>(D616/D613)*AM91</f>
        <v>0</v>
      </c>
      <c r="E705" s="228" t="e">
        <f>(E624/E613)*SUM(C705:D705)</f>
        <v>#DIV/0!</v>
      </c>
      <c r="F705" s="228" t="e">
        <f>(F625/F613)*AM65</f>
        <v>#DIV/0!</v>
      </c>
      <c r="G705" s="226" t="e">
        <f>(G626/G613)*AM92</f>
        <v>#DIV/0!</v>
      </c>
      <c r="H705" s="228" t="e">
        <f>(H629/H613)*AM61</f>
        <v>#DIV/0!</v>
      </c>
      <c r="I705" s="226" t="e">
        <f>(I630/I613)*AM93</f>
        <v>#DIV/0!</v>
      </c>
      <c r="J705" s="226" t="e">
        <f>(J631/J613)*AM94</f>
        <v>#DIV/0!</v>
      </c>
      <c r="K705" s="226" t="e">
        <f>(K645/K613)*AM90</f>
        <v>#DIV/0!</v>
      </c>
      <c r="L705" s="226" t="e">
        <f>(L648/L613)*AM95</f>
        <v>#DIV/0!</v>
      </c>
      <c r="M705" s="211" t="e">
        <f t="shared" si="0"/>
        <v>#DIV/0!</v>
      </c>
      <c r="N705" s="220" t="s">
        <v>678</v>
      </c>
    </row>
    <row r="706" spans="1:14" s="211" customFormat="1" ht="12.65" customHeight="1" x14ac:dyDescent="0.3">
      <c r="A706" s="221">
        <v>7340</v>
      </c>
      <c r="B706" s="220" t="s">
        <v>679</v>
      </c>
      <c r="C706" s="226" t="str">
        <f>AN86</f>
        <v>x</v>
      </c>
      <c r="D706" s="226">
        <f>(D616/D613)*AN91</f>
        <v>0</v>
      </c>
      <c r="E706" s="228" t="e">
        <f>(E624/E613)*SUM(C706:D706)</f>
        <v>#DIV/0!</v>
      </c>
      <c r="F706" s="228" t="e">
        <f>(F625/F613)*AN65</f>
        <v>#DIV/0!</v>
      </c>
      <c r="G706" s="226" t="e">
        <f>(G626/G613)*AN92</f>
        <v>#DIV/0!</v>
      </c>
      <c r="H706" s="228" t="e">
        <f>(H629/H613)*AN61</f>
        <v>#DIV/0!</v>
      </c>
      <c r="I706" s="226" t="e">
        <f>(I630/I613)*AN93</f>
        <v>#DIV/0!</v>
      </c>
      <c r="J706" s="226" t="e">
        <f>(J631/J613)*AN94</f>
        <v>#DIV/0!</v>
      </c>
      <c r="K706" s="226" t="e">
        <f>(K645/K613)*AN90</f>
        <v>#DIV/0!</v>
      </c>
      <c r="L706" s="226" t="e">
        <f>(L648/L613)*AN95</f>
        <v>#DIV/0!</v>
      </c>
      <c r="M706" s="211" t="e">
        <f t="shared" si="0"/>
        <v>#DIV/0!</v>
      </c>
      <c r="N706" s="220" t="s">
        <v>680</v>
      </c>
    </row>
    <row r="707" spans="1:14" s="211" customFormat="1" ht="12.65" customHeight="1" x14ac:dyDescent="0.3">
      <c r="A707" s="221">
        <v>7350</v>
      </c>
      <c r="B707" s="220" t="s">
        <v>681</v>
      </c>
      <c r="C707" s="226" t="str">
        <f>AO86</f>
        <v>x</v>
      </c>
      <c r="D707" s="226">
        <f>(D616/D613)*AO91</f>
        <v>0</v>
      </c>
      <c r="E707" s="228" t="e">
        <f>(E624/E613)*SUM(C707:D707)</f>
        <v>#DIV/0!</v>
      </c>
      <c r="F707" s="228" t="e">
        <f>(F625/F613)*AO65</f>
        <v>#DIV/0!</v>
      </c>
      <c r="G707" s="226" t="e">
        <f>(G626/G613)*AO92</f>
        <v>#DIV/0!</v>
      </c>
      <c r="H707" s="228" t="e">
        <f>(H629/H613)*AO61</f>
        <v>#DIV/0!</v>
      </c>
      <c r="I707" s="226" t="e">
        <f>(I630/I613)*AO93</f>
        <v>#DIV/0!</v>
      </c>
      <c r="J707" s="226" t="e">
        <f>(J631/J613)*AO94</f>
        <v>#DIV/0!</v>
      </c>
      <c r="K707" s="226" t="e">
        <f>(K645/K613)*AO90</f>
        <v>#DIV/0!</v>
      </c>
      <c r="L707" s="226" t="e">
        <f>(L648/L613)*AO95</f>
        <v>#DIV/0!</v>
      </c>
      <c r="M707" s="211" t="e">
        <f t="shared" si="0"/>
        <v>#DIV/0!</v>
      </c>
      <c r="N707" s="220" t="s">
        <v>682</v>
      </c>
    </row>
    <row r="708" spans="1:14" s="211" customFormat="1" ht="12.65" customHeight="1" x14ac:dyDescent="0.3">
      <c r="A708" s="221">
        <v>7380</v>
      </c>
      <c r="B708" s="220" t="s">
        <v>683</v>
      </c>
      <c r="C708" s="226" t="str">
        <f>AP86</f>
        <v>x</v>
      </c>
      <c r="D708" s="226">
        <f>(D616/D613)*AP91</f>
        <v>0</v>
      </c>
      <c r="E708" s="228" t="e">
        <f>(E624/E613)*SUM(C708:D708)</f>
        <v>#DIV/0!</v>
      </c>
      <c r="F708" s="228" t="e">
        <f>(F625/F613)*AP65</f>
        <v>#DIV/0!</v>
      </c>
      <c r="G708" s="226" t="e">
        <f>(G626/G613)*AP92</f>
        <v>#DIV/0!</v>
      </c>
      <c r="H708" s="228" t="e">
        <f>(H629/H613)*AP61</f>
        <v>#DIV/0!</v>
      </c>
      <c r="I708" s="226" t="e">
        <f>(I630/I613)*AP93</f>
        <v>#DIV/0!</v>
      </c>
      <c r="J708" s="226" t="e">
        <f>(J631/J613)*AP94</f>
        <v>#DIV/0!</v>
      </c>
      <c r="K708" s="226" t="e">
        <f>(K645/K613)*AP90</f>
        <v>#DIV/0!</v>
      </c>
      <c r="L708" s="226" t="e">
        <f>(L648/L613)*AP95</f>
        <v>#DIV/0!</v>
      </c>
      <c r="M708" s="211" t="e">
        <f t="shared" si="0"/>
        <v>#DIV/0!</v>
      </c>
      <c r="N708" s="220" t="s">
        <v>684</v>
      </c>
    </row>
    <row r="709" spans="1:14" s="211" customFormat="1" ht="12.65" customHeight="1" x14ac:dyDescent="0.3">
      <c r="A709" s="221">
        <v>7390</v>
      </c>
      <c r="B709" s="220" t="s">
        <v>685</v>
      </c>
      <c r="C709" s="226" t="str">
        <f>AQ86</f>
        <v>x</v>
      </c>
      <c r="D709" s="226">
        <f>(D616/D613)*AQ91</f>
        <v>0</v>
      </c>
      <c r="E709" s="228" t="e">
        <f>(E624/E613)*SUM(C709:D709)</f>
        <v>#DIV/0!</v>
      </c>
      <c r="F709" s="228" t="e">
        <f>(F625/F613)*AQ65</f>
        <v>#DIV/0!</v>
      </c>
      <c r="G709" s="226" t="e">
        <f>(G626/G613)*AQ92</f>
        <v>#DIV/0!</v>
      </c>
      <c r="H709" s="228" t="e">
        <f>(H629/H613)*AQ61</f>
        <v>#DIV/0!</v>
      </c>
      <c r="I709" s="226" t="e">
        <f>(I630/I613)*AQ93</f>
        <v>#DIV/0!</v>
      </c>
      <c r="J709" s="226" t="e">
        <f>(J631/J613)*AQ94</f>
        <v>#DIV/0!</v>
      </c>
      <c r="K709" s="226" t="e">
        <f>(K645/K613)*AQ90</f>
        <v>#DIV/0!</v>
      </c>
      <c r="L709" s="226" t="e">
        <f>(L648/L613)*AQ95</f>
        <v>#DIV/0!</v>
      </c>
      <c r="M709" s="211" t="e">
        <f t="shared" si="0"/>
        <v>#DIV/0!</v>
      </c>
      <c r="N709" s="220" t="s">
        <v>686</v>
      </c>
    </row>
    <row r="710" spans="1:14" s="211" customFormat="1" ht="12.65" customHeight="1" x14ac:dyDescent="0.3">
      <c r="A710" s="221">
        <v>7400</v>
      </c>
      <c r="B710" s="220" t="s">
        <v>687</v>
      </c>
      <c r="C710" s="226" t="str">
        <f>AR86</f>
        <v>x</v>
      </c>
      <c r="D710" s="226">
        <f>(D616/D613)*AR91</f>
        <v>0</v>
      </c>
      <c r="E710" s="228" t="e">
        <f>(E624/E613)*SUM(C710:D710)</f>
        <v>#DIV/0!</v>
      </c>
      <c r="F710" s="228" t="e">
        <f>(F625/F613)*AR65</f>
        <v>#DIV/0!</v>
      </c>
      <c r="G710" s="226" t="e">
        <f>(G626/G613)*AR92</f>
        <v>#DIV/0!</v>
      </c>
      <c r="H710" s="228" t="e">
        <f>(H629/H613)*AR61</f>
        <v>#DIV/0!</v>
      </c>
      <c r="I710" s="226" t="e">
        <f>(I630/I613)*AR93</f>
        <v>#DIV/0!</v>
      </c>
      <c r="J710" s="226" t="e">
        <f>(J631/J613)*AR94</f>
        <v>#DIV/0!</v>
      </c>
      <c r="K710" s="226" t="e">
        <f>(K645/K613)*AR90</f>
        <v>#DIV/0!</v>
      </c>
      <c r="L710" s="226" t="e">
        <f>(L648/L613)*AR95</f>
        <v>#DIV/0!</v>
      </c>
      <c r="M710" s="211" t="e">
        <f t="shared" si="0"/>
        <v>#DIV/0!</v>
      </c>
      <c r="N710" s="220" t="s">
        <v>688</v>
      </c>
    </row>
    <row r="711" spans="1:14" s="211" customFormat="1" ht="12.65" customHeight="1" x14ac:dyDescent="0.3">
      <c r="A711" s="221">
        <v>7410</v>
      </c>
      <c r="B711" s="220" t="s">
        <v>156</v>
      </c>
      <c r="C711" s="226" t="str">
        <f>AS86</f>
        <v>x</v>
      </c>
      <c r="D711" s="226">
        <f>(D616/D613)*AS91</f>
        <v>0</v>
      </c>
      <c r="E711" s="228" t="e">
        <f>(E624/E613)*SUM(C711:D711)</f>
        <v>#DIV/0!</v>
      </c>
      <c r="F711" s="228" t="e">
        <f>(F625/F613)*AS65</f>
        <v>#DIV/0!</v>
      </c>
      <c r="G711" s="226" t="e">
        <f>(G626/G613)*AS92</f>
        <v>#DIV/0!</v>
      </c>
      <c r="H711" s="228" t="e">
        <f>(H629/H613)*AS61</f>
        <v>#DIV/0!</v>
      </c>
      <c r="I711" s="226" t="e">
        <f>(I630/I613)*AS93</f>
        <v>#DIV/0!</v>
      </c>
      <c r="J711" s="226" t="e">
        <f>(J631/J613)*AS94</f>
        <v>#DIV/0!</v>
      </c>
      <c r="K711" s="226" t="e">
        <f>(K645/K613)*AS90</f>
        <v>#DIV/0!</v>
      </c>
      <c r="L711" s="226" t="e">
        <f>(L648/L613)*AS95</f>
        <v>#DIV/0!</v>
      </c>
      <c r="M711" s="211" t="e">
        <f t="shared" si="0"/>
        <v>#DIV/0!</v>
      </c>
      <c r="N711" s="220" t="s">
        <v>689</v>
      </c>
    </row>
    <row r="712" spans="1:14" s="211" customFormat="1" ht="12.65" customHeight="1" x14ac:dyDescent="0.3">
      <c r="A712" s="221">
        <v>7420</v>
      </c>
      <c r="B712" s="220" t="s">
        <v>690</v>
      </c>
      <c r="C712" s="226" t="str">
        <f>AT86</f>
        <v>x</v>
      </c>
      <c r="D712" s="226">
        <f>(D616/D613)*AT91</f>
        <v>0</v>
      </c>
      <c r="E712" s="228" t="e">
        <f>(E624/E613)*SUM(C712:D712)</f>
        <v>#DIV/0!</v>
      </c>
      <c r="F712" s="228" t="e">
        <f>(F625/F613)*AT65</f>
        <v>#DIV/0!</v>
      </c>
      <c r="G712" s="226" t="e">
        <f>(G626/G613)*AT92</f>
        <v>#DIV/0!</v>
      </c>
      <c r="H712" s="228" t="e">
        <f>(H629/H613)*AT61</f>
        <v>#DIV/0!</v>
      </c>
      <c r="I712" s="226" t="e">
        <f>(I630/I613)*AT93</f>
        <v>#DIV/0!</v>
      </c>
      <c r="J712" s="226" t="e">
        <f>(J631/J613)*AT94</f>
        <v>#DIV/0!</v>
      </c>
      <c r="K712" s="226" t="e">
        <f>(K645/K613)*AT90</f>
        <v>#DIV/0!</v>
      </c>
      <c r="L712" s="226" t="e">
        <f>(L648/L613)*AT95</f>
        <v>#DIV/0!</v>
      </c>
      <c r="M712" s="211" t="e">
        <f t="shared" si="0"/>
        <v>#DIV/0!</v>
      </c>
      <c r="N712" s="220" t="s">
        <v>691</v>
      </c>
    </row>
    <row r="713" spans="1:14" s="211" customFormat="1" ht="12.65" customHeight="1" x14ac:dyDescent="0.3">
      <c r="A713" s="221">
        <v>7430</v>
      </c>
      <c r="B713" s="220" t="s">
        <v>692</v>
      </c>
      <c r="C713" s="226" t="str">
        <f>AU86</f>
        <v>x</v>
      </c>
      <c r="D713" s="226">
        <f>(D616/D613)*AU91</f>
        <v>0</v>
      </c>
      <c r="E713" s="228" t="e">
        <f>(E624/E613)*SUM(C713:D713)</f>
        <v>#DIV/0!</v>
      </c>
      <c r="F713" s="228" t="e">
        <f>(F625/F613)*AU65</f>
        <v>#DIV/0!</v>
      </c>
      <c r="G713" s="226" t="e">
        <f>(G626/G613)*AU92</f>
        <v>#DIV/0!</v>
      </c>
      <c r="H713" s="228" t="e">
        <f>(H629/H613)*AU61</f>
        <v>#DIV/0!</v>
      </c>
      <c r="I713" s="226" t="e">
        <f>(I630/I613)*AU93</f>
        <v>#DIV/0!</v>
      </c>
      <c r="J713" s="226" t="e">
        <f>(J631/J613)*AU94</f>
        <v>#DIV/0!</v>
      </c>
      <c r="K713" s="226" t="e">
        <f>(K645/K613)*AU90</f>
        <v>#DIV/0!</v>
      </c>
      <c r="L713" s="226" t="e">
        <f>(L648/L613)*AU95</f>
        <v>#DIV/0!</v>
      </c>
      <c r="M713" s="211" t="e">
        <f t="shared" si="0"/>
        <v>#DIV/0!</v>
      </c>
      <c r="N713" s="220" t="s">
        <v>693</v>
      </c>
    </row>
    <row r="714" spans="1:14" s="211" customFormat="1" ht="12.65" customHeight="1" x14ac:dyDescent="0.3">
      <c r="A714" s="221">
        <v>7490</v>
      </c>
      <c r="B714" s="220" t="s">
        <v>694</v>
      </c>
      <c r="C714" s="226" t="str">
        <f>AV86</f>
        <v>x</v>
      </c>
      <c r="D714" s="226">
        <f>(D616/D613)*AV91</f>
        <v>0</v>
      </c>
      <c r="E714" s="228" t="e">
        <f>(E624/E613)*SUM(C714:D714)</f>
        <v>#DIV/0!</v>
      </c>
      <c r="F714" s="228" t="e">
        <f>(F625/F613)*AV65</f>
        <v>#DIV/0!</v>
      </c>
      <c r="G714" s="226" t="e">
        <f>(G626/G613)*AV92</f>
        <v>#DIV/0!</v>
      </c>
      <c r="H714" s="228" t="e">
        <f>(H629/H613)*AV61</f>
        <v>#DIV/0!</v>
      </c>
      <c r="I714" s="226" t="e">
        <f>(I630/I613)*AV93</f>
        <v>#DIV/0!</v>
      </c>
      <c r="J714" s="226" t="e">
        <f>(J631/J613)*AV94</f>
        <v>#DIV/0!</v>
      </c>
      <c r="K714" s="226" t="e">
        <f>(K645/K613)*AV90</f>
        <v>#DIV/0!</v>
      </c>
      <c r="L714" s="226" t="e">
        <f>(L648/L613)*AV95</f>
        <v>#DIV/0!</v>
      </c>
      <c r="M714" s="211" t="e">
        <f t="shared" si="0"/>
        <v>#DIV/0!</v>
      </c>
      <c r="N714" s="222" t="s">
        <v>695</v>
      </c>
    </row>
    <row r="715" spans="1:14" s="211" customFormat="1" ht="12.65" customHeight="1" x14ac:dyDescent="0.3"/>
    <row r="716" spans="1:14" s="211" customFormat="1" ht="12.65" customHeight="1" x14ac:dyDescent="0.3">
      <c r="C716" s="223">
        <f>SUM(C615:C648)+SUM(C669:C714)</f>
        <v>0</v>
      </c>
      <c r="D716" s="211">
        <f>SUM(D617:D648)+SUM(D669:D714)</f>
        <v>0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20" t="s">
        <v>696</v>
      </c>
    </row>
    <row r="717" spans="1:14" s="211" customFormat="1" ht="12.65" customHeight="1" x14ac:dyDescent="0.3">
      <c r="C717" s="223">
        <f>CE86</f>
        <v>0</v>
      </c>
      <c r="D717" s="211">
        <f>D616</f>
        <v>0</v>
      </c>
      <c r="E717" s="211">
        <f>E624</f>
        <v>0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0</v>
      </c>
      <c r="N717" s="220" t="s">
        <v>697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7" width="9" style="11" customWidth="1"/>
    <col min="18" max="16384" width="9" style="11"/>
  </cols>
  <sheetData>
    <row r="1" spans="1:14" customFormat="1" ht="15.75" customHeight="1" x14ac:dyDescent="0.35">
      <c r="A1" s="14" t="s">
        <v>1043</v>
      </c>
      <c r="B1" s="11" t="s">
        <v>1044</v>
      </c>
      <c r="C1" s="11" t="s">
        <v>1045</v>
      </c>
      <c r="D1" s="11" t="s">
        <v>1046</v>
      </c>
      <c r="E1" s="11" t="s">
        <v>1047</v>
      </c>
      <c r="F1" s="11" t="s">
        <v>1048</v>
      </c>
      <c r="G1" s="11" t="s">
        <v>1049</v>
      </c>
      <c r="H1" s="11" t="s">
        <v>1050</v>
      </c>
      <c r="I1" s="11" t="s">
        <v>1051</v>
      </c>
      <c r="J1" s="11" t="s">
        <v>1052</v>
      </c>
      <c r="K1" s="11" t="s">
        <v>1053</v>
      </c>
      <c r="L1" s="11" t="s">
        <v>1054</v>
      </c>
      <c r="M1" s="11" t="s">
        <v>1055</v>
      </c>
      <c r="N1" s="11" t="s">
        <v>1056</v>
      </c>
    </row>
    <row r="2" spans="1:14" customFormat="1" ht="15.75" customHeight="1" x14ac:dyDescent="0.35">
      <c r="A2" s="11" t="str">
        <f>MONTH(data!C96) &amp; "-" &amp; DAY(data!C96)</f>
        <v>12-31</v>
      </c>
      <c r="B2" s="210" t="str">
        <f>RIGHT(data!C97, 3)</f>
        <v>140</v>
      </c>
      <c r="C2" s="11" t="str">
        <f>SUBSTITUTE(LEFT(data!C98,49),",","")</f>
        <v>Kittitas Valley Healthcare</v>
      </c>
      <c r="D2" s="11" t="str">
        <f>LEFT(data!C99, 49)</f>
        <v>603 South Chestnut Street</v>
      </c>
      <c r="E2" s="11" t="str">
        <f>LEFT(data!C100, 100)</f>
        <v>Ellensburg</v>
      </c>
      <c r="F2" s="11" t="str">
        <f>LEFT(data!C101, 2)</f>
        <v>El</v>
      </c>
      <c r="G2" s="11" t="str">
        <f>LEFT(data!C102, 100)</f>
        <v>98926</v>
      </c>
      <c r="H2" s="11" t="str">
        <f>LEFT(data!C103, 100)</f>
        <v xml:space="preserve">Kittitas  </v>
      </c>
      <c r="I2" s="11" t="str">
        <f>LEFT(data!C104, 49)</f>
        <v>Julie Petersen</v>
      </c>
      <c r="J2" s="11" t="str">
        <f>LEFT(data!C105, 49)</f>
        <v>Jason Adler</v>
      </c>
      <c r="K2" s="11" t="str">
        <f>LEFT(data!C107, 49)</f>
        <v>(509) 962-9841</v>
      </c>
      <c r="L2" s="11" t="str">
        <f>LEFT(data!C108, 49)</f>
        <v>(509 962-7351</v>
      </c>
      <c r="M2" s="11" t="str">
        <f>LEFT(data!C109, 49)</f>
        <v>Jeannette Ring, CPA</v>
      </c>
      <c r="N2" s="11" t="str">
        <f>LEFT(data!C110, 49)</f>
        <v>jring@dzacpa.com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A32" sqref="A32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9" width="8.6640625" style="9" customWidth="1"/>
    <col min="90" max="16384" width="8.6640625" style="9"/>
  </cols>
  <sheetData>
    <row r="1" spans="1:84" s="10" customFormat="1" ht="12.65" customHeight="1" x14ac:dyDescent="0.35">
      <c r="A1" s="12" t="s">
        <v>1057</v>
      </c>
      <c r="B1" s="12" t="s">
        <v>1058</v>
      </c>
      <c r="C1" s="12" t="s">
        <v>1059</v>
      </c>
      <c r="D1" s="12" t="s">
        <v>1060</v>
      </c>
      <c r="E1" s="12" t="s">
        <v>1061</v>
      </c>
      <c r="F1" s="12" t="s">
        <v>1062</v>
      </c>
      <c r="G1" s="12" t="s">
        <v>1063</v>
      </c>
      <c r="H1" s="12" t="s">
        <v>1064</v>
      </c>
      <c r="I1" s="12" t="s">
        <v>1065</v>
      </c>
      <c r="J1" s="12" t="s">
        <v>1066</v>
      </c>
      <c r="K1" s="12" t="s">
        <v>1067</v>
      </c>
      <c r="L1" s="12" t="s">
        <v>1068</v>
      </c>
      <c r="M1" s="12" t="s">
        <v>1069</v>
      </c>
      <c r="N1" s="12" t="s">
        <v>1070</v>
      </c>
      <c r="O1" s="12" t="s">
        <v>1071</v>
      </c>
      <c r="P1" s="12" t="s">
        <v>1072</v>
      </c>
      <c r="Q1" s="12" t="s">
        <v>1073</v>
      </c>
      <c r="R1" s="12" t="s">
        <v>1074</v>
      </c>
      <c r="S1" s="12" t="s">
        <v>1075</v>
      </c>
      <c r="T1" s="12" t="s">
        <v>1076</v>
      </c>
      <c r="U1" s="12" t="s">
        <v>1077</v>
      </c>
      <c r="V1" s="12" t="s">
        <v>1078</v>
      </c>
      <c r="W1" s="12" t="s">
        <v>1079</v>
      </c>
      <c r="X1" s="12" t="s">
        <v>1080</v>
      </c>
      <c r="Y1" s="12" t="s">
        <v>1081</v>
      </c>
      <c r="Z1" s="12" t="s">
        <v>1082</v>
      </c>
      <c r="AA1" s="12" t="s">
        <v>1083</v>
      </c>
      <c r="AB1" s="12" t="s">
        <v>1084</v>
      </c>
      <c r="AC1" s="12" t="s">
        <v>1085</v>
      </c>
      <c r="AD1" s="12" t="s">
        <v>1086</v>
      </c>
      <c r="AE1" s="12" t="s">
        <v>1087</v>
      </c>
      <c r="AF1" s="12" t="s">
        <v>1088</v>
      </c>
      <c r="AG1" s="12" t="s">
        <v>1089</v>
      </c>
      <c r="AH1" s="12" t="s">
        <v>1090</v>
      </c>
      <c r="AI1" s="12" t="s">
        <v>1091</v>
      </c>
      <c r="AJ1" s="12" t="s">
        <v>1092</v>
      </c>
      <c r="AK1" s="12" t="s">
        <v>1093</v>
      </c>
      <c r="AL1" s="12" t="s">
        <v>1094</v>
      </c>
      <c r="AM1" s="12" t="s">
        <v>1095</v>
      </c>
      <c r="AN1" s="12" t="s">
        <v>1096</v>
      </c>
      <c r="AO1" s="12" t="s">
        <v>1097</v>
      </c>
      <c r="AP1" s="12" t="s">
        <v>1098</v>
      </c>
      <c r="AQ1" s="12" t="s">
        <v>1099</v>
      </c>
      <c r="AR1" s="12" t="s">
        <v>1100</v>
      </c>
      <c r="AS1" s="12" t="s">
        <v>1101</v>
      </c>
      <c r="AT1" s="12" t="s">
        <v>1102</v>
      </c>
      <c r="AU1" s="12" t="s">
        <v>1103</v>
      </c>
      <c r="AV1" s="12" t="s">
        <v>1104</v>
      </c>
      <c r="AW1" s="12" t="s">
        <v>1105</v>
      </c>
      <c r="AX1" s="12" t="s">
        <v>1106</v>
      </c>
      <c r="AY1" s="12" t="s">
        <v>1107</v>
      </c>
      <c r="AZ1" s="12" t="s">
        <v>1108</v>
      </c>
      <c r="BA1" s="12" t="s">
        <v>1109</v>
      </c>
      <c r="BB1" s="12" t="s">
        <v>1110</v>
      </c>
      <c r="BC1" s="12" t="s">
        <v>1111</v>
      </c>
      <c r="BD1" s="12" t="s">
        <v>1112</v>
      </c>
      <c r="BE1" s="12" t="s">
        <v>1113</v>
      </c>
      <c r="BF1" s="12" t="s">
        <v>1114</v>
      </c>
      <c r="BG1" s="12" t="s">
        <v>1115</v>
      </c>
      <c r="BH1" s="12" t="s">
        <v>1116</v>
      </c>
      <c r="BI1" s="12" t="s">
        <v>1117</v>
      </c>
      <c r="BJ1" s="12" t="s">
        <v>1118</v>
      </c>
      <c r="BK1" s="12" t="s">
        <v>1119</v>
      </c>
      <c r="BL1" s="12" t="s">
        <v>1120</v>
      </c>
      <c r="BM1" s="12" t="s">
        <v>1121</v>
      </c>
      <c r="BN1" s="12" t="s">
        <v>1122</v>
      </c>
      <c r="BO1" s="12" t="s">
        <v>1123</v>
      </c>
      <c r="BP1" s="12" t="s">
        <v>1124</v>
      </c>
      <c r="BQ1" s="12" t="s">
        <v>1125</v>
      </c>
      <c r="BR1" s="12" t="s">
        <v>1126</v>
      </c>
      <c r="BS1" s="12" t="s">
        <v>1127</v>
      </c>
      <c r="BT1" s="12" t="s">
        <v>1128</v>
      </c>
      <c r="BU1" s="12" t="s">
        <v>1129</v>
      </c>
      <c r="BV1" s="12" t="s">
        <v>1130</v>
      </c>
      <c r="BW1" s="12" t="s">
        <v>1131</v>
      </c>
      <c r="BX1" s="12" t="s">
        <v>1132</v>
      </c>
      <c r="BY1" s="12" t="s">
        <v>1133</v>
      </c>
      <c r="BZ1" s="12" t="s">
        <v>1134</v>
      </c>
      <c r="CA1" s="12" t="s">
        <v>1135</v>
      </c>
      <c r="CB1" s="12" t="s">
        <v>1136</v>
      </c>
      <c r="CC1" s="12" t="s">
        <v>1137</v>
      </c>
      <c r="CD1" s="12" t="s">
        <v>1138</v>
      </c>
      <c r="CE1" s="12" t="s">
        <v>1139</v>
      </c>
      <c r="CF1" s="12" t="s">
        <v>1140</v>
      </c>
    </row>
    <row r="2" spans="1:84" s="178" customFormat="1" ht="12.65" customHeight="1" x14ac:dyDescent="0.35">
      <c r="A2" s="12" t="str">
        <f>RIGHT(data!C97,3)</f>
        <v>140</v>
      </c>
      <c r="B2" s="209" t="str">
        <f>RIGHT(data!C96,4)</f>
        <v>2023</v>
      </c>
      <c r="C2" s="12" t="s">
        <v>1141</v>
      </c>
      <c r="D2" s="208">
        <f>ROUND(N(data!C181),0)</f>
        <v>4104312</v>
      </c>
      <c r="E2" s="208">
        <f>ROUND(N(data!C182),0)</f>
        <v>39459</v>
      </c>
      <c r="F2" s="208">
        <f>ROUND(N(data!C183),0)</f>
        <v>502104</v>
      </c>
      <c r="G2" s="208">
        <f>ROUND(N(data!C184),0)</f>
        <v>5998844</v>
      </c>
      <c r="H2" s="208">
        <f>ROUND(N(data!C185),0)</f>
        <v>54819</v>
      </c>
      <c r="I2" s="208">
        <f>ROUND(N(data!C186),0)</f>
        <v>3406511</v>
      </c>
      <c r="J2" s="208">
        <f>ROUND(N(data!C187)+N(data!C188),0)</f>
        <v>855943</v>
      </c>
      <c r="K2" s="208">
        <f>ROUND(N(data!C191),0)</f>
        <v>15463</v>
      </c>
      <c r="L2" s="208">
        <f>ROUND(N(data!C192),0)</f>
        <v>212230</v>
      </c>
      <c r="M2" s="208">
        <f>ROUND(N(data!C195),0)</f>
        <v>1545048</v>
      </c>
      <c r="N2" s="208">
        <f>ROUND(N(data!C196),0)</f>
        <v>548735</v>
      </c>
      <c r="O2" s="208">
        <f>ROUND(N(data!C199),0)</f>
        <v>1070406</v>
      </c>
      <c r="P2" s="208">
        <f>ROUND(N(data!C200),0)</f>
        <v>0</v>
      </c>
      <c r="Q2" s="208">
        <f>ROUND(N(data!C201),0)</f>
        <v>0</v>
      </c>
      <c r="R2" s="208">
        <f>ROUND(N(data!C204),0)</f>
        <v>0</v>
      </c>
      <c r="S2" s="208">
        <f>ROUND(N(data!C205),0)</f>
        <v>1428448</v>
      </c>
      <c r="T2" s="208">
        <f>ROUND(N(data!B211),0)</f>
        <v>3212912</v>
      </c>
      <c r="U2" s="208">
        <f>ROUND(N(data!C211),0)</f>
        <v>121426</v>
      </c>
      <c r="V2" s="208">
        <f>ROUND(N(data!D211),0)</f>
        <v>0</v>
      </c>
      <c r="W2" s="208">
        <f>ROUND(N(data!B212),0)</f>
        <v>211345</v>
      </c>
      <c r="X2" s="208">
        <f>ROUND(N(data!C212),0)</f>
        <v>841418</v>
      </c>
      <c r="Y2" s="208">
        <f>ROUND(N(data!D212),0)</f>
        <v>0</v>
      </c>
      <c r="Z2" s="208">
        <f>ROUND(N(data!B213),0)</f>
        <v>48482067</v>
      </c>
      <c r="AA2" s="208">
        <f>ROUND(N(data!C213),0)</f>
        <v>3218374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6980569</v>
      </c>
      <c r="AG2" s="208">
        <f>ROUND(N(data!C215),0)</f>
        <v>2591573</v>
      </c>
      <c r="AH2" s="208">
        <f>ROUND(N(data!D215),0)</f>
        <v>0</v>
      </c>
      <c r="AI2" s="208">
        <f>ROUND(N(data!B216),0)</f>
        <v>33367301</v>
      </c>
      <c r="AJ2" s="208">
        <f>ROUND(N(data!C216),0)</f>
        <v>3048992</v>
      </c>
      <c r="AK2" s="208">
        <f>ROUND(N(data!D216),0)</f>
        <v>749060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5716029</v>
      </c>
      <c r="AP2" s="208">
        <f>ROUND(N(data!C218),0)</f>
        <v>5170103</v>
      </c>
      <c r="AQ2" s="208">
        <f>ROUND(N(data!D218),0)</f>
        <v>1205267</v>
      </c>
      <c r="AR2" s="208">
        <f>ROUND(N(data!B219),0)</f>
        <v>8119115</v>
      </c>
      <c r="AS2" s="208">
        <f>ROUND(N(data!C219),0)</f>
        <v>15538109</v>
      </c>
      <c r="AT2" s="208">
        <f>ROUND(N(data!D219),0)</f>
        <v>6987944</v>
      </c>
      <c r="AU2" s="208">
        <v>0</v>
      </c>
      <c r="AV2" s="208">
        <v>0</v>
      </c>
      <c r="AW2" s="208">
        <v>0</v>
      </c>
      <c r="AX2" s="208">
        <f>ROUND(N(data!B225),0)</f>
        <v>220006</v>
      </c>
      <c r="AY2" s="208">
        <f>ROUND(N(data!C225),0)</f>
        <v>48288</v>
      </c>
      <c r="AZ2" s="208">
        <f>ROUND(N(data!D225),0)</f>
        <v>0</v>
      </c>
      <c r="BA2" s="208">
        <f>ROUND(N(data!B226),0)</f>
        <v>22210502</v>
      </c>
      <c r="BB2" s="208">
        <f>ROUND(N(data!C226),0)</f>
        <v>2593651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4691980</v>
      </c>
      <c r="BH2" s="208">
        <f>ROUND(N(data!C228),0)</f>
        <v>412734</v>
      </c>
      <c r="BI2" s="208">
        <f>ROUND(N(data!D228),0)</f>
        <v>0</v>
      </c>
      <c r="BJ2" s="208">
        <f>ROUND(N(data!B229),0)</f>
        <v>25516990</v>
      </c>
      <c r="BK2" s="208">
        <f>ROUND(N(data!C229),0)</f>
        <v>2523748</v>
      </c>
      <c r="BL2" s="208">
        <f>ROUND(N(data!D229),0)</f>
        <v>748949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1225541</v>
      </c>
      <c r="BQ2" s="208">
        <f>ROUND(N(data!C231),0)</f>
        <v>1636095</v>
      </c>
      <c r="BR2" s="208">
        <f>ROUND(N(data!D231),0)</f>
        <v>1032620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46007652</v>
      </c>
      <c r="BW2" s="208">
        <f>ROUND(N(data!C240),0)</f>
        <v>18466230</v>
      </c>
      <c r="BX2" s="208">
        <f>ROUND(N(data!C241),0)</f>
        <v>0</v>
      </c>
      <c r="BY2" s="208">
        <f>ROUND(N(data!C242),0)</f>
        <v>0</v>
      </c>
      <c r="BZ2" s="208">
        <f>ROUND(N(data!C243),0)</f>
        <v>0</v>
      </c>
      <c r="CA2" s="208">
        <f>ROUND(N(data!C244),0)</f>
        <v>39208452</v>
      </c>
      <c r="CB2" s="208">
        <f>ROUND(N(data!C247),0)</f>
        <v>490</v>
      </c>
      <c r="CC2" s="208">
        <f>ROUND(N(data!C249),0)</f>
        <v>225805</v>
      </c>
      <c r="CD2" s="208">
        <f>ROUND(N(data!C250),0)</f>
        <v>1869094</v>
      </c>
      <c r="CE2" s="208">
        <f>ROUND(N(data!C254)+N(data!C255),0)</f>
        <v>0</v>
      </c>
      <c r="CF2" s="208">
        <f>ROUND(N(data!D237),0)</f>
        <v>5541525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1142</v>
      </c>
      <c r="B1" s="12" t="s">
        <v>1143</v>
      </c>
      <c r="C1" s="12" t="s">
        <v>1144</v>
      </c>
      <c r="D1" s="10" t="s">
        <v>1145</v>
      </c>
      <c r="E1" s="10" t="s">
        <v>1146</v>
      </c>
      <c r="F1" s="10" t="s">
        <v>1147</v>
      </c>
      <c r="G1" s="10" t="s">
        <v>1148</v>
      </c>
      <c r="H1" s="10" t="s">
        <v>1149</v>
      </c>
      <c r="I1" s="10" t="s">
        <v>1150</v>
      </c>
      <c r="J1" s="10" t="s">
        <v>1151</v>
      </c>
      <c r="K1" s="10" t="s">
        <v>1152</v>
      </c>
      <c r="L1" s="10" t="s">
        <v>1153</v>
      </c>
      <c r="M1" s="10" t="s">
        <v>1154</v>
      </c>
      <c r="N1" s="10" t="s">
        <v>1155</v>
      </c>
      <c r="O1" s="10" t="s">
        <v>1156</v>
      </c>
      <c r="P1" s="10" t="s">
        <v>1157</v>
      </c>
      <c r="Q1" s="10" t="s">
        <v>1158</v>
      </c>
      <c r="R1" s="10" t="s">
        <v>1159</v>
      </c>
      <c r="S1" s="10" t="s">
        <v>1160</v>
      </c>
      <c r="T1" s="10" t="s">
        <v>1161</v>
      </c>
      <c r="U1" s="10" t="s">
        <v>1162</v>
      </c>
      <c r="V1" s="10" t="s">
        <v>1163</v>
      </c>
      <c r="W1" s="10" t="s">
        <v>1164</v>
      </c>
      <c r="X1" s="10" t="s">
        <v>1165</v>
      </c>
      <c r="Y1" s="10" t="s">
        <v>1166</v>
      </c>
      <c r="Z1" s="10" t="s">
        <v>1167</v>
      </c>
      <c r="AA1" s="10" t="s">
        <v>1168</v>
      </c>
      <c r="AB1" s="10" t="s">
        <v>1169</v>
      </c>
      <c r="AC1" s="10" t="s">
        <v>1170</v>
      </c>
      <c r="AD1" s="10" t="s">
        <v>1171</v>
      </c>
      <c r="AE1" s="10" t="s">
        <v>1172</v>
      </c>
      <c r="AF1" s="10" t="s">
        <v>1173</v>
      </c>
      <c r="AG1" s="10" t="s">
        <v>1174</v>
      </c>
      <c r="AH1" s="10" t="s">
        <v>1175</v>
      </c>
      <c r="AI1" s="10" t="s">
        <v>1176</v>
      </c>
      <c r="AJ1" s="10" t="s">
        <v>1177</v>
      </c>
      <c r="AK1" s="10" t="s">
        <v>1178</v>
      </c>
      <c r="AL1" s="10" t="s">
        <v>1179</v>
      </c>
      <c r="AM1" s="10" t="s">
        <v>1180</v>
      </c>
      <c r="AN1" s="10" t="s">
        <v>1181</v>
      </c>
      <c r="AO1" s="10" t="s">
        <v>1182</v>
      </c>
      <c r="AP1" s="10" t="s">
        <v>1183</v>
      </c>
      <c r="AQ1" s="10" t="s">
        <v>1184</v>
      </c>
      <c r="AR1" s="10" t="s">
        <v>1185</v>
      </c>
      <c r="AS1" s="10" t="s">
        <v>1186</v>
      </c>
      <c r="AT1" s="10" t="s">
        <v>1187</v>
      </c>
      <c r="AU1" s="10" t="s">
        <v>1188</v>
      </c>
      <c r="AV1" s="10" t="s">
        <v>1189</v>
      </c>
      <c r="AW1" s="10" t="s">
        <v>1190</v>
      </c>
      <c r="AX1" s="10" t="s">
        <v>1191</v>
      </c>
      <c r="AY1" s="10" t="s">
        <v>1192</v>
      </c>
      <c r="AZ1" s="10" t="s">
        <v>1193</v>
      </c>
      <c r="BA1" s="10" t="s">
        <v>1194</v>
      </c>
      <c r="BB1" s="10" t="s">
        <v>1195</v>
      </c>
      <c r="BC1" s="10" t="s">
        <v>1196</v>
      </c>
      <c r="BD1" s="10" t="s">
        <v>1197</v>
      </c>
      <c r="BE1" s="10" t="s">
        <v>1198</v>
      </c>
      <c r="BF1" s="10" t="s">
        <v>1199</v>
      </c>
      <c r="BG1" s="10" t="s">
        <v>1200</v>
      </c>
      <c r="BH1" s="10" t="s">
        <v>1201</v>
      </c>
      <c r="BI1" s="10" t="s">
        <v>1202</v>
      </c>
      <c r="BJ1" s="10" t="s">
        <v>1203</v>
      </c>
      <c r="BK1" s="10" t="s">
        <v>1204</v>
      </c>
      <c r="BL1" s="10" t="s">
        <v>1205</v>
      </c>
      <c r="BM1" s="10" t="s">
        <v>1206</v>
      </c>
      <c r="BN1" s="10" t="s">
        <v>1207</v>
      </c>
      <c r="BO1" s="10" t="s">
        <v>1208</v>
      </c>
      <c r="BP1" s="10" t="s">
        <v>1209</v>
      </c>
      <c r="BQ1" s="10" t="s">
        <v>1210</v>
      </c>
      <c r="BR1" s="10" t="s">
        <v>1211</v>
      </c>
      <c r="BS1" s="10" t="s">
        <v>1212</v>
      </c>
    </row>
    <row r="2" spans="1:87" s="178" customFormat="1" ht="12.65" customHeight="1" x14ac:dyDescent="0.35">
      <c r="A2" s="12" t="str">
        <f>RIGHT(data!C97,3)</f>
        <v>140</v>
      </c>
      <c r="B2" s="12" t="str">
        <f>RIGHT(data!C96,4)</f>
        <v>2023</v>
      </c>
      <c r="C2" s="12" t="s">
        <v>1141</v>
      </c>
      <c r="D2" s="207">
        <f>ROUND(N(data!C127),0)</f>
        <v>856</v>
      </c>
      <c r="E2" s="207">
        <f>ROUND(N(data!C128),0)</f>
        <v>9</v>
      </c>
      <c r="F2" s="207">
        <f>ROUND(N(data!C129),0)</f>
        <v>0</v>
      </c>
      <c r="G2" s="207">
        <f>ROUND(N(data!C130),0)</f>
        <v>226</v>
      </c>
      <c r="H2" s="207">
        <f>ROUND(N(data!D127),0)</f>
        <v>3143</v>
      </c>
      <c r="I2" s="207">
        <f>ROUND(N(data!D128),0)</f>
        <v>62</v>
      </c>
      <c r="J2" s="207">
        <f>ROUND(N(data!D129),0)</f>
        <v>0</v>
      </c>
      <c r="K2" s="207">
        <f>ROUND(N(data!D130),0)</f>
        <v>369</v>
      </c>
      <c r="L2" s="207">
        <f>ROUND(N(data!C132),0)</f>
        <v>6</v>
      </c>
      <c r="M2" s="207">
        <f>ROUND(N(data!C133),0)</f>
        <v>0</v>
      </c>
      <c r="N2" s="207">
        <f>ROUND(N(data!C134),0)</f>
        <v>19</v>
      </c>
      <c r="O2" s="207">
        <f>ROUND(N(data!C135),0)</f>
        <v>0</v>
      </c>
      <c r="P2" s="207">
        <f>ROUND(N(data!C136),0)</f>
        <v>0</v>
      </c>
      <c r="Q2" s="207">
        <f>ROUND(N(data!C137),0)</f>
        <v>0</v>
      </c>
      <c r="R2" s="207">
        <f>ROUND(N(data!C138),0)</f>
        <v>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25</v>
      </c>
      <c r="X2" s="207">
        <f>ROUND(N(data!C145),0)</f>
        <v>6</v>
      </c>
      <c r="Y2" s="207">
        <f>ROUND(N(data!B154),0)</f>
        <v>438</v>
      </c>
      <c r="Z2" s="207">
        <f>ROUND(N(data!B155),0)</f>
        <v>1361</v>
      </c>
      <c r="AA2" s="207">
        <f>ROUND(N(data!B156),0)</f>
        <v>0</v>
      </c>
      <c r="AB2" s="207">
        <f>ROUND(N(data!B157),0)</f>
        <v>12916206</v>
      </c>
      <c r="AC2" s="207">
        <f>ROUND(N(data!B158),0)</f>
        <v>93771280</v>
      </c>
      <c r="AD2" s="207">
        <f>ROUND(N(data!C154),0)</f>
        <v>147</v>
      </c>
      <c r="AE2" s="207">
        <f>ROUND(N(data!C155),0)</f>
        <v>25</v>
      </c>
      <c r="AF2" s="207">
        <f>ROUND(N(data!C156),0)</f>
        <v>0</v>
      </c>
      <c r="AG2" s="207">
        <f>ROUND(N(data!C157),0)</f>
        <v>4638813</v>
      </c>
      <c r="AH2" s="207">
        <f>ROUND(N(data!C158),0)</f>
        <v>38158588</v>
      </c>
      <c r="AI2" s="207">
        <f>ROUND(N(data!D154),0)</f>
        <v>271</v>
      </c>
      <c r="AJ2" s="207">
        <f>ROUND(N(data!D155),0)</f>
        <v>1757</v>
      </c>
      <c r="AK2" s="207">
        <f>ROUND(N(data!D156),0)</f>
        <v>0</v>
      </c>
      <c r="AL2" s="207">
        <f>ROUND(N(data!D157),0)</f>
        <v>8330002</v>
      </c>
      <c r="AM2" s="207">
        <f>ROUND(N(data!D158),0)</f>
        <v>82594507</v>
      </c>
      <c r="AN2" s="207">
        <f>ROUND(N(data!B160),0)</f>
        <v>7</v>
      </c>
      <c r="AO2" s="207">
        <f>ROUND(N(data!B161),0)</f>
        <v>46</v>
      </c>
      <c r="AP2" s="207">
        <f>ROUND(N(data!B162),0)</f>
        <v>0</v>
      </c>
      <c r="AQ2" s="207">
        <f>ROUND(N(data!B163),0)</f>
        <v>4388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2</v>
      </c>
      <c r="AY2" s="207">
        <f>ROUND(N(data!D161),0)</f>
        <v>16</v>
      </c>
      <c r="AZ2" s="207">
        <f>ROUND(N(data!D162),0)</f>
        <v>0</v>
      </c>
      <c r="BA2" s="207">
        <f>ROUND(N(data!D163),0)</f>
        <v>25837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11268917</v>
      </c>
      <c r="BS2" s="207">
        <f>ROUND(N(data!C173),0)</f>
        <v>8242807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1213</v>
      </c>
      <c r="B1" s="12" t="s">
        <v>1214</v>
      </c>
      <c r="C1" s="12" t="s">
        <v>1215</v>
      </c>
      <c r="D1" s="10" t="s">
        <v>1216</v>
      </c>
      <c r="E1" s="10" t="s">
        <v>1217</v>
      </c>
      <c r="F1" s="10" t="s">
        <v>1218</v>
      </c>
      <c r="G1" s="10" t="s">
        <v>1219</v>
      </c>
      <c r="H1" s="10" t="s">
        <v>1220</v>
      </c>
      <c r="I1" s="10" t="s">
        <v>1221</v>
      </c>
      <c r="J1" s="10" t="s">
        <v>1222</v>
      </c>
      <c r="K1" s="10" t="s">
        <v>1223</v>
      </c>
      <c r="L1" s="10" t="s">
        <v>1224</v>
      </c>
      <c r="M1" s="10" t="s">
        <v>1225</v>
      </c>
      <c r="N1" s="10" t="s">
        <v>1226</v>
      </c>
      <c r="O1" s="10" t="s">
        <v>1227</v>
      </c>
      <c r="P1" s="10" t="s">
        <v>1228</v>
      </c>
      <c r="Q1" s="10" t="s">
        <v>1229</v>
      </c>
      <c r="R1" s="10" t="s">
        <v>1230</v>
      </c>
      <c r="S1" s="10" t="s">
        <v>1231</v>
      </c>
      <c r="T1" s="10" t="s">
        <v>1232</v>
      </c>
      <c r="U1" s="10" t="s">
        <v>1233</v>
      </c>
      <c r="V1" s="10" t="s">
        <v>1234</v>
      </c>
      <c r="W1" s="10" t="s">
        <v>1235</v>
      </c>
      <c r="X1" s="10" t="s">
        <v>1236</v>
      </c>
      <c r="Y1" s="10" t="s">
        <v>1237</v>
      </c>
      <c r="Z1" s="10" t="s">
        <v>1238</v>
      </c>
      <c r="AA1" s="10" t="s">
        <v>1239</v>
      </c>
      <c r="AB1" s="10" t="s">
        <v>1240</v>
      </c>
      <c r="AC1" s="10" t="s">
        <v>1241</v>
      </c>
      <c r="AD1" s="10" t="s">
        <v>1242</v>
      </c>
      <c r="AE1" s="10" t="s">
        <v>1243</v>
      </c>
      <c r="AF1" s="10" t="s">
        <v>1244</v>
      </c>
      <c r="AG1" s="10" t="s">
        <v>1245</v>
      </c>
      <c r="AH1" s="10" t="s">
        <v>1246</v>
      </c>
      <c r="AI1" s="10" t="s">
        <v>1247</v>
      </c>
      <c r="AJ1" s="10" t="s">
        <v>1248</v>
      </c>
      <c r="AK1" s="10" t="s">
        <v>1249</v>
      </c>
      <c r="AL1" s="10" t="s">
        <v>1250</v>
      </c>
      <c r="AM1" s="10" t="s">
        <v>1251</v>
      </c>
      <c r="AN1" s="10" t="s">
        <v>1252</v>
      </c>
      <c r="AO1" s="10" t="s">
        <v>1253</v>
      </c>
      <c r="AP1" s="10" t="s">
        <v>1254</v>
      </c>
      <c r="AQ1" s="10" t="s">
        <v>1255</v>
      </c>
      <c r="AR1" s="10" t="s">
        <v>1256</v>
      </c>
      <c r="AS1" s="10" t="s">
        <v>1257</v>
      </c>
      <c r="AT1" s="10" t="s">
        <v>1258</v>
      </c>
      <c r="AU1" s="10" t="s">
        <v>1259</v>
      </c>
      <c r="AV1" s="10" t="s">
        <v>1260</v>
      </c>
      <c r="AW1" s="10" t="s">
        <v>1261</v>
      </c>
      <c r="AX1" s="10" t="s">
        <v>1262</v>
      </c>
      <c r="AY1" s="10" t="s">
        <v>1263</v>
      </c>
      <c r="AZ1" s="10" t="s">
        <v>1264</v>
      </c>
      <c r="BA1" s="10" t="s">
        <v>1265</v>
      </c>
      <c r="BB1" s="10" t="s">
        <v>1266</v>
      </c>
      <c r="BC1" s="10" t="s">
        <v>1267</v>
      </c>
      <c r="BD1" s="10" t="s">
        <v>1268</v>
      </c>
      <c r="BE1" s="10" t="s">
        <v>1269</v>
      </c>
      <c r="BF1" s="10" t="s">
        <v>1270</v>
      </c>
      <c r="BG1" s="10" t="s">
        <v>1271</v>
      </c>
      <c r="BH1" s="10" t="s">
        <v>1272</v>
      </c>
      <c r="BI1" s="10" t="s">
        <v>1273</v>
      </c>
      <c r="BJ1" s="10" t="s">
        <v>1274</v>
      </c>
      <c r="BK1" s="10" t="s">
        <v>1275</v>
      </c>
      <c r="BL1" s="10" t="s">
        <v>1276</v>
      </c>
      <c r="BM1" s="10" t="s">
        <v>1277</v>
      </c>
      <c r="BN1" s="10" t="s">
        <v>1278</v>
      </c>
      <c r="BO1" s="10" t="s">
        <v>1279</v>
      </c>
      <c r="BP1" s="10" t="s">
        <v>1280</v>
      </c>
      <c r="BQ1" s="10" t="s">
        <v>1281</v>
      </c>
      <c r="BR1" s="10" t="s">
        <v>1282</v>
      </c>
      <c r="BS1" s="10" t="s">
        <v>1283</v>
      </c>
      <c r="BT1" s="10" t="s">
        <v>1284</v>
      </c>
      <c r="BU1" s="10" t="s">
        <v>1285</v>
      </c>
      <c r="BV1" s="10" t="s">
        <v>1286</v>
      </c>
      <c r="BW1" s="10" t="s">
        <v>1287</v>
      </c>
      <c r="BX1" s="10" t="s">
        <v>1288</v>
      </c>
      <c r="BY1" s="10" t="s">
        <v>1289</v>
      </c>
      <c r="BZ1" s="10" t="s">
        <v>1290</v>
      </c>
      <c r="CA1" s="10" t="s">
        <v>1291</v>
      </c>
      <c r="CB1" s="10" t="s">
        <v>1292</v>
      </c>
      <c r="CC1" s="10" t="s">
        <v>1293</v>
      </c>
      <c r="CD1" s="10" t="s">
        <v>1294</v>
      </c>
      <c r="CE1" s="10" t="s">
        <v>1295</v>
      </c>
      <c r="CF1" s="10" t="s">
        <v>1296</v>
      </c>
      <c r="CG1" s="10" t="s">
        <v>1297</v>
      </c>
      <c r="CH1" s="10" t="s">
        <v>1298</v>
      </c>
      <c r="CI1" s="10" t="s">
        <v>1299</v>
      </c>
      <c r="CJ1" s="10" t="s">
        <v>1300</v>
      </c>
      <c r="CK1" s="10" t="s">
        <v>1301</v>
      </c>
      <c r="CL1" s="10" t="s">
        <v>1302</v>
      </c>
      <c r="CM1" s="10" t="s">
        <v>1303</v>
      </c>
      <c r="CN1" s="10" t="s">
        <v>1304</v>
      </c>
      <c r="CO1" s="10" t="s">
        <v>1305</v>
      </c>
      <c r="CP1" s="10" t="s">
        <v>1306</v>
      </c>
      <c r="CQ1" s="206" t="s">
        <v>1307</v>
      </c>
      <c r="CR1" s="206" t="s">
        <v>1308</v>
      </c>
      <c r="CS1" s="206" t="s">
        <v>1309</v>
      </c>
      <c r="CT1" s="206" t="s">
        <v>1310</v>
      </c>
      <c r="CU1" s="206" t="s">
        <v>1311</v>
      </c>
      <c r="CV1" s="206" t="s">
        <v>1312</v>
      </c>
      <c r="CW1" s="206" t="s">
        <v>1313</v>
      </c>
      <c r="CX1" s="206" t="s">
        <v>1314</v>
      </c>
      <c r="CY1" s="206" t="s">
        <v>1315</v>
      </c>
      <c r="CZ1" s="206" t="s">
        <v>1316</v>
      </c>
      <c r="DA1" s="206" t="s">
        <v>1317</v>
      </c>
      <c r="DB1" s="206" t="s">
        <v>1318</v>
      </c>
      <c r="DC1" s="206" t="s">
        <v>1319</v>
      </c>
      <c r="DD1" s="206" t="s">
        <v>1320</v>
      </c>
      <c r="DE1" s="10" t="s">
        <v>1321</v>
      </c>
      <c r="DF1" s="10" t="s">
        <v>1322</v>
      </c>
      <c r="DG1" s="10" t="s">
        <v>1323</v>
      </c>
      <c r="DH1" s="10" t="s">
        <v>1324</v>
      </c>
    </row>
    <row r="2" spans="1:112" s="178" customFormat="1" ht="12.65" customHeight="1" x14ac:dyDescent="0.35">
      <c r="A2" s="208" t="str">
        <f>RIGHT(data!C97,3)</f>
        <v>140</v>
      </c>
      <c r="B2" s="209" t="str">
        <f>RIGHT(data!C96,4)</f>
        <v>2023</v>
      </c>
      <c r="C2" s="12" t="s">
        <v>1141</v>
      </c>
      <c r="D2" s="207">
        <f>ROUND(N(data!C181),0)</f>
        <v>4104312</v>
      </c>
      <c r="E2" s="207">
        <f>ROUND(N(data!C267),0)</f>
        <v>0</v>
      </c>
      <c r="F2" s="207">
        <f>ROUND(N(data!C268),0)</f>
        <v>16493939</v>
      </c>
      <c r="G2" s="207">
        <f>ROUND(N(data!C269),0)</f>
        <v>0</v>
      </c>
      <c r="H2" s="207">
        <f>ROUND(N(data!C270),0)</f>
        <v>1300000</v>
      </c>
      <c r="I2" s="207">
        <f>ROUND(N(data!C271),0)</f>
        <v>1184640</v>
      </c>
      <c r="J2" s="207">
        <f>ROUND(N(data!C272),0)</f>
        <v>1014666</v>
      </c>
      <c r="K2" s="207">
        <f>ROUND(N(data!C273),0)</f>
        <v>2824106</v>
      </c>
      <c r="L2" s="207">
        <f>ROUND(N(data!C274),0)</f>
        <v>2096089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0</v>
      </c>
      <c r="Q2" s="207">
        <f>ROUND(N(data!C283),0)</f>
        <v>3334338</v>
      </c>
      <c r="R2" s="207">
        <f>ROUND(N(data!C284),0)</f>
        <v>1052763</v>
      </c>
      <c r="S2" s="207">
        <f>ROUND(N(data!C285),0)</f>
        <v>51700441</v>
      </c>
      <c r="T2" s="207">
        <f>ROUND(N(data!C286),0)</f>
        <v>0</v>
      </c>
      <c r="U2" s="207">
        <f>ROUND(N(data!C287),0)</f>
        <v>9572142</v>
      </c>
      <c r="V2" s="207">
        <f>ROUND(N(data!C288),0)</f>
        <v>35667233</v>
      </c>
      <c r="W2" s="207">
        <f>ROUND(N(data!C289),0)</f>
        <v>9680865</v>
      </c>
      <c r="X2" s="207">
        <f>ROUND(N(data!C290),0)</f>
        <v>16669280</v>
      </c>
      <c r="Y2" s="207">
        <f>ROUND(N(data!C291),0)</f>
        <v>0</v>
      </c>
      <c r="Z2" s="207">
        <f>ROUND(N(data!C292),0)</f>
        <v>59297966</v>
      </c>
      <c r="AA2" s="207">
        <f>ROUND(N(data!C295),0)</f>
        <v>47222772</v>
      </c>
      <c r="AB2" s="207">
        <f>ROUND(N(data!C296),0)</f>
        <v>0</v>
      </c>
      <c r="AC2" s="207">
        <f>ROUND(N(data!C297),0)</f>
        <v>0</v>
      </c>
      <c r="AD2" s="207">
        <f>ROUND(N(data!C298),0)</f>
        <v>0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6161448</v>
      </c>
      <c r="AK2" s="207">
        <f>ROUND(N(data!C316),0)</f>
        <v>5263441</v>
      </c>
      <c r="AL2" s="207">
        <f>ROUND(N(data!C317),0)</f>
        <v>286510</v>
      </c>
      <c r="AM2" s="207">
        <f>ROUND(N(data!C318),0)</f>
        <v>0</v>
      </c>
      <c r="AN2" s="207">
        <f>ROUND(N(data!C319),0)</f>
        <v>0</v>
      </c>
      <c r="AO2" s="207">
        <f>ROUND(N(data!C320),0)</f>
        <v>0</v>
      </c>
      <c r="AP2" s="207">
        <f>ROUND(N(data!C321),0)</f>
        <v>0</v>
      </c>
      <c r="AQ2" s="207">
        <f>ROUND(N(data!C322),0)</f>
        <v>65000</v>
      </c>
      <c r="AR2" s="207">
        <f>ROUND(N(data!C323),0)</f>
        <v>3874347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3885811</v>
      </c>
      <c r="AY2" s="207">
        <f>ROUND(N(data!C334),0)</f>
        <v>3452729</v>
      </c>
      <c r="AZ2" s="207">
        <f>ROUND(N(data!C335),0)</f>
        <v>31776052</v>
      </c>
      <c r="BA2" s="207">
        <f>ROUND(N(data!C336),0)</f>
        <v>0</v>
      </c>
      <c r="BB2" s="207">
        <f>ROUND(N(data!C337),0)</f>
        <v>0</v>
      </c>
      <c r="BC2" s="207">
        <f>ROUND(N(data!C338),0)</f>
        <v>5432167</v>
      </c>
      <c r="BD2" s="207">
        <f>ROUND(N(data!C339),0)</f>
        <v>0</v>
      </c>
      <c r="BE2" s="207">
        <f>ROUND(N(data!C343),0)</f>
        <v>99581298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611.77</v>
      </c>
      <c r="BL2" s="207">
        <f>ROUND(N(data!C358),0)</f>
        <v>25915245</v>
      </c>
      <c r="BM2" s="207">
        <f>ROUND(N(data!C359),0)</f>
        <v>214524379</v>
      </c>
      <c r="BN2" s="207">
        <f>ROUND(N(data!C363),0)</f>
        <v>103682333</v>
      </c>
      <c r="BO2" s="207">
        <f>ROUND(N(data!C364),0)</f>
        <v>2094899</v>
      </c>
      <c r="BP2" s="207">
        <f>ROUND(N(data!C365),0)</f>
        <v>0</v>
      </c>
      <c r="BQ2" s="207">
        <f>ROUND(N(data!D381),0)</f>
        <v>1778095</v>
      </c>
      <c r="BR2" s="207">
        <f>ROUND(N(data!C370),0)</f>
        <v>199833</v>
      </c>
      <c r="BS2" s="207">
        <f>ROUND(N(data!C371),0)</f>
        <v>278694</v>
      </c>
      <c r="BT2" s="207">
        <f>ROUND(N(data!C372),0)</f>
        <v>0</v>
      </c>
      <c r="BU2" s="207">
        <f>ROUND(N(data!C373),0)</f>
        <v>29262</v>
      </c>
      <c r="BV2" s="207">
        <f>ROUND(N(data!C374),0)</f>
        <v>0</v>
      </c>
      <c r="BW2" s="207">
        <f>ROUND(N(data!C375),0)</f>
        <v>0</v>
      </c>
      <c r="BX2" s="207">
        <f>ROUND(N(data!C376),0)</f>
        <v>0</v>
      </c>
      <c r="BY2" s="207">
        <f>ROUND(N(data!C377),0)</f>
        <v>0</v>
      </c>
      <c r="BZ2" s="207">
        <f>ROUND(N(data!C378),0)</f>
        <v>196445</v>
      </c>
      <c r="CA2" s="207">
        <f>ROUND(N(data!C379),0)</f>
        <v>390678</v>
      </c>
      <c r="CB2" s="207">
        <f>ROUND(N(data!C380),0)</f>
        <v>683183</v>
      </c>
      <c r="CC2" s="207">
        <f>ROUND(N(data!C382),0)</f>
        <v>0</v>
      </c>
      <c r="CD2" s="207">
        <f>ROUND(N(data!C389),0)</f>
        <v>59535376</v>
      </c>
      <c r="CE2" s="207">
        <f>ROUND(N(data!C390),0)</f>
        <v>14961992</v>
      </c>
      <c r="CF2" s="207">
        <f>ROUND(N(data!C391),0)</f>
        <v>5543969</v>
      </c>
      <c r="CG2" s="207">
        <f>ROUND(N(data!C392),0)</f>
        <v>15251946</v>
      </c>
      <c r="CH2" s="207">
        <f>ROUND(N(data!C393),0)</f>
        <v>1360017</v>
      </c>
      <c r="CI2" s="207">
        <f>ROUND(N(data!C394),0)</f>
        <v>14939902</v>
      </c>
      <c r="CJ2" s="207">
        <f>ROUND(N(data!C395),0)</f>
        <v>7214516</v>
      </c>
      <c r="CK2" s="207">
        <f>ROUND(N(data!C396),0)</f>
        <v>227693</v>
      </c>
      <c r="CL2" s="207">
        <f>ROUND(N(data!C397),0)</f>
        <v>2093783</v>
      </c>
      <c r="CM2" s="207">
        <f>ROUND(N(data!C398),0)</f>
        <v>1070406</v>
      </c>
      <c r="CN2" s="207">
        <f>ROUND(N(data!C399),0)</f>
        <v>1428448</v>
      </c>
      <c r="CO2" s="207">
        <f>ROUND(N(data!C362),0)</f>
        <v>5541525</v>
      </c>
      <c r="CP2" s="207">
        <f>ROUND(N(data!D415),0)</f>
        <v>5187203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2535683</v>
      </c>
      <c r="CY2" s="61">
        <f>ROUND(N(data!C409),0)</f>
        <v>0</v>
      </c>
      <c r="CZ2" s="61">
        <f>ROUND(N(data!C410),0)</f>
        <v>238852</v>
      </c>
      <c r="DA2" s="61">
        <f>ROUND(N(data!C411),0)</f>
        <v>608516</v>
      </c>
      <c r="DB2" s="61">
        <f>ROUND(N(data!C412),0)</f>
        <v>0</v>
      </c>
      <c r="DC2" s="61">
        <f>ROUND(N(data!C413),0)</f>
        <v>0</v>
      </c>
      <c r="DD2" s="61">
        <f>ROUND(N(data!C414),0)</f>
        <v>1804152</v>
      </c>
      <c r="DE2" s="61">
        <f>ROUND(N(data!C419),0)</f>
        <v>0</v>
      </c>
      <c r="DF2" s="207">
        <f>ROUND(N(data!D420),0)</f>
        <v>3162717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topLeftCell="A53"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1325</v>
      </c>
      <c r="B1" s="12" t="s">
        <v>1326</v>
      </c>
      <c r="C1" s="10" t="s">
        <v>1327</v>
      </c>
      <c r="D1" s="12" t="s">
        <v>1328</v>
      </c>
      <c r="E1" s="10" t="s">
        <v>1329</v>
      </c>
      <c r="F1" s="10" t="s">
        <v>1330</v>
      </c>
      <c r="G1" s="10" t="s">
        <v>1331</v>
      </c>
      <c r="H1" s="10" t="s">
        <v>1332</v>
      </c>
      <c r="I1" s="10" t="s">
        <v>1333</v>
      </c>
      <c r="J1" s="10" t="s">
        <v>1334</v>
      </c>
      <c r="K1" s="10" t="s">
        <v>1335</v>
      </c>
      <c r="L1" s="10" t="s">
        <v>1336</v>
      </c>
      <c r="M1" s="10" t="s">
        <v>1337</v>
      </c>
      <c r="N1" s="10" t="s">
        <v>1338</v>
      </c>
      <c r="O1" s="10" t="s">
        <v>1339</v>
      </c>
      <c r="P1" s="10" t="s">
        <v>1307</v>
      </c>
      <c r="Q1" s="10" t="s">
        <v>1308</v>
      </c>
      <c r="R1" s="10" t="s">
        <v>1309</v>
      </c>
      <c r="S1" s="10" t="s">
        <v>1310</v>
      </c>
      <c r="T1" s="10" t="s">
        <v>1311</v>
      </c>
      <c r="U1" s="10" t="s">
        <v>1312</v>
      </c>
      <c r="V1" s="10" t="s">
        <v>1313</v>
      </c>
      <c r="W1" s="10" t="s">
        <v>1314</v>
      </c>
      <c r="X1" s="10" t="s">
        <v>1315</v>
      </c>
      <c r="Y1" s="10" t="s">
        <v>1316</v>
      </c>
      <c r="Z1" s="10" t="s">
        <v>1317</v>
      </c>
      <c r="AA1" s="10" t="s">
        <v>1318</v>
      </c>
      <c r="AB1" s="10" t="s">
        <v>1319</v>
      </c>
      <c r="AC1" s="10" t="s">
        <v>1320</v>
      </c>
      <c r="AD1" s="10" t="s">
        <v>1340</v>
      </c>
      <c r="AE1" s="10" t="s">
        <v>1341</v>
      </c>
      <c r="AF1" s="10" t="s">
        <v>1342</v>
      </c>
      <c r="AG1" s="10" t="s">
        <v>1343</v>
      </c>
      <c r="AH1" s="10" t="s">
        <v>1344</v>
      </c>
      <c r="AI1" s="10" t="s">
        <v>1345</v>
      </c>
      <c r="AJ1" s="10" t="s">
        <v>1346</v>
      </c>
      <c r="AK1" s="10" t="s">
        <v>1347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140</v>
      </c>
      <c r="B2" s="209" t="str">
        <f>RIGHT(data!$C$96,4)</f>
        <v>2023</v>
      </c>
      <c r="C2" s="12" t="str">
        <f>data!C$55</f>
        <v>6010</v>
      </c>
      <c r="D2" s="12" t="s">
        <v>1141</v>
      </c>
      <c r="E2" s="207">
        <f>ROUND(N(data!C59), 0)</f>
        <v>505</v>
      </c>
      <c r="F2" s="315">
        <f>ROUND(N(data!C60), 2)</f>
        <v>16.57</v>
      </c>
      <c r="G2" s="207">
        <f>ROUND(N(data!C61), 0)</f>
        <v>1701327</v>
      </c>
      <c r="H2" s="207">
        <f>ROUND(N(data!C62), 0)</f>
        <v>427565</v>
      </c>
      <c r="I2" s="207">
        <f>ROUND(N(data!C63), 0)</f>
        <v>0</v>
      </c>
      <c r="J2" s="207">
        <f>ROUND(N(data!C64), 0)</f>
        <v>85017</v>
      </c>
      <c r="K2" s="207">
        <f>ROUND(N(data!C65), 0)</f>
        <v>0</v>
      </c>
      <c r="L2" s="207">
        <f>ROUND(N(data!C66), 0)</f>
        <v>186946</v>
      </c>
      <c r="M2" s="207">
        <f>ROUND(N(data!C67), 0)</f>
        <v>143165</v>
      </c>
      <c r="N2" s="207">
        <f>ROUND(N(data!C68), 0)</f>
        <v>0</v>
      </c>
      <c r="O2" s="207">
        <f>ROUND(N(data!C69), 0)</f>
        <v>3948</v>
      </c>
      <c r="P2" s="207">
        <f>ROUND(N(data!C70), 0)</f>
        <v>0</v>
      </c>
      <c r="Q2" s="207">
        <f>ROUND(N(data!C71), 0)</f>
        <v>0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1098</v>
      </c>
      <c r="X2" s="207">
        <f>ROUND(N(data!C78), 0)</f>
        <v>0</v>
      </c>
      <c r="Y2" s="207">
        <f>ROUND(N(data!C79), 0)</f>
        <v>0</v>
      </c>
      <c r="Z2" s="207">
        <f>ROUND(N(data!C80), 0)</f>
        <v>1062</v>
      </c>
      <c r="AA2" s="207">
        <f>ROUND(N(data!C81), 0)</f>
        <v>0</v>
      </c>
      <c r="AB2" s="207">
        <f>ROUND(N(data!C82), 0)</f>
        <v>0</v>
      </c>
      <c r="AC2" s="207">
        <f>ROUND(N(data!C83), 0)</f>
        <v>1788</v>
      </c>
      <c r="AD2" s="207">
        <f>ROUND(N(data!C84), 0)</f>
        <v>0</v>
      </c>
      <c r="AE2" s="207">
        <f>ROUND(N(data!C89), 0)</f>
        <v>1703106</v>
      </c>
      <c r="AF2" s="207">
        <f>ROUND(N(data!C87), 0)</f>
        <v>1713113</v>
      </c>
      <c r="AG2" s="207">
        <f>ROUND(N(data!C90), 0)</f>
        <v>2897</v>
      </c>
      <c r="AH2" s="207">
        <f>ROUND(N(data!C91), 0)</f>
        <v>2382</v>
      </c>
      <c r="AI2" s="207">
        <f>ROUND(N(data!C92), 0)</f>
        <v>2073</v>
      </c>
      <c r="AJ2" s="207">
        <f>ROUND(N(data!C93), 0)</f>
        <v>20959</v>
      </c>
      <c r="AK2" s="315">
        <f>ROUND(N(data!C94), 2)</f>
        <v>16.45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140</v>
      </c>
      <c r="B3" s="209" t="str">
        <f>RIGHT(data!$C$96,4)</f>
        <v>2023</v>
      </c>
      <c r="C3" s="12" t="str">
        <f>data!D$55</f>
        <v>6030</v>
      </c>
      <c r="D3" s="12" t="s">
        <v>1141</v>
      </c>
      <c r="E3" s="207">
        <f>ROUND(N(data!D59), 0)</f>
        <v>0</v>
      </c>
      <c r="F3" s="315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5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140</v>
      </c>
      <c r="B4" s="209" t="str">
        <f>RIGHT(data!$C$96,4)</f>
        <v>2023</v>
      </c>
      <c r="C4" s="12" t="str">
        <f>data!E$55</f>
        <v>6070</v>
      </c>
      <c r="D4" s="12" t="s">
        <v>1141</v>
      </c>
      <c r="E4" s="207">
        <f>ROUND(N(data!E59), 0)</f>
        <v>2638</v>
      </c>
      <c r="F4" s="315">
        <f>ROUND(N(data!E60), 2)</f>
        <v>14.91</v>
      </c>
      <c r="G4" s="207">
        <f>ROUND(N(data!E61), 0)</f>
        <v>1386387</v>
      </c>
      <c r="H4" s="207">
        <f>ROUND(N(data!E62), 0)</f>
        <v>348417</v>
      </c>
      <c r="I4" s="207">
        <f>ROUND(N(data!E63), 0)</f>
        <v>591662</v>
      </c>
      <c r="J4" s="207">
        <f>ROUND(N(data!E64), 0)</f>
        <v>95311</v>
      </c>
      <c r="K4" s="207">
        <f>ROUND(N(data!E65), 0)</f>
        <v>0</v>
      </c>
      <c r="L4" s="207">
        <f>ROUND(N(data!E66), 0)</f>
        <v>422996</v>
      </c>
      <c r="M4" s="207">
        <f>ROUND(N(data!E67), 0)</f>
        <v>409232</v>
      </c>
      <c r="N4" s="207">
        <f>ROUND(N(data!E68), 0)</f>
        <v>0</v>
      </c>
      <c r="O4" s="207">
        <f>ROUND(N(data!E69), 0)</f>
        <v>39940</v>
      </c>
      <c r="P4" s="207">
        <f>ROUND(N(data!E70), 0)</f>
        <v>0</v>
      </c>
      <c r="Q4" s="207">
        <f>ROUND(N(data!E71), 0)</f>
        <v>0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23245</v>
      </c>
      <c r="X4" s="207">
        <f>ROUND(N(data!E78), 0)</f>
        <v>0</v>
      </c>
      <c r="Y4" s="207">
        <f>ROUND(N(data!E79), 0)</f>
        <v>0</v>
      </c>
      <c r="Z4" s="207">
        <f>ROUND(N(data!E80), 0)</f>
        <v>0</v>
      </c>
      <c r="AA4" s="207">
        <f>ROUND(N(data!E81), 0)</f>
        <v>0</v>
      </c>
      <c r="AB4" s="207">
        <f>ROUND(N(data!E82), 0)</f>
        <v>0</v>
      </c>
      <c r="AC4" s="207">
        <f>ROUND(N(data!E83), 0)</f>
        <v>16695</v>
      </c>
      <c r="AD4" s="207">
        <f>ROUND(N(data!E84), 0)</f>
        <v>0</v>
      </c>
      <c r="AE4" s="207">
        <f>ROUND(N(data!E89), 0)</f>
        <v>5878581</v>
      </c>
      <c r="AF4" s="207">
        <f>ROUND(N(data!E87), 0)</f>
        <v>5742184</v>
      </c>
      <c r="AG4" s="207">
        <f>ROUND(N(data!E90), 0)</f>
        <v>8281</v>
      </c>
      <c r="AH4" s="207">
        <f>ROUND(N(data!E91), 0)</f>
        <v>6274</v>
      </c>
      <c r="AI4" s="207">
        <f>ROUND(N(data!E92), 0)</f>
        <v>5930</v>
      </c>
      <c r="AJ4" s="207">
        <f>ROUND(N(data!E93), 0)</f>
        <v>53834</v>
      </c>
      <c r="AK4" s="315">
        <f>ROUND(N(data!E94), 2)</f>
        <v>14.87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140</v>
      </c>
      <c r="B5" s="209" t="str">
        <f>RIGHT(data!$C$96,4)</f>
        <v>2023</v>
      </c>
      <c r="C5" s="12" t="str">
        <f>data!F$55</f>
        <v>6100</v>
      </c>
      <c r="D5" s="12" t="s">
        <v>1141</v>
      </c>
      <c r="E5" s="207">
        <f>ROUND(N(data!F59), 0)</f>
        <v>0</v>
      </c>
      <c r="F5" s="315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5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140</v>
      </c>
      <c r="B6" s="209" t="str">
        <f>RIGHT(data!$C$96,4)</f>
        <v>2023</v>
      </c>
      <c r="C6" s="12" t="str">
        <f>data!G$55</f>
        <v>6120</v>
      </c>
      <c r="D6" s="12" t="s">
        <v>1141</v>
      </c>
      <c r="E6" s="207">
        <f>ROUND(N(data!G59), 0)</f>
        <v>0</v>
      </c>
      <c r="F6" s="315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5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140</v>
      </c>
      <c r="B7" s="209" t="str">
        <f>RIGHT(data!$C$96,4)</f>
        <v>2023</v>
      </c>
      <c r="C7" s="12" t="str">
        <f>data!H$55</f>
        <v>6140</v>
      </c>
      <c r="D7" s="12" t="s">
        <v>1141</v>
      </c>
      <c r="E7" s="207">
        <f>ROUND(N(data!H59), 0)</f>
        <v>0</v>
      </c>
      <c r="F7" s="315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5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140</v>
      </c>
      <c r="B8" s="209" t="str">
        <f>RIGHT(data!$C$96,4)</f>
        <v>2023</v>
      </c>
      <c r="C8" s="12" t="str">
        <f>data!I$55</f>
        <v>6150</v>
      </c>
      <c r="D8" s="12" t="s">
        <v>1141</v>
      </c>
      <c r="E8" s="207">
        <f>ROUND(N(data!I59), 0)</f>
        <v>0</v>
      </c>
      <c r="F8" s="315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5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140</v>
      </c>
      <c r="B9" s="209" t="str">
        <f>RIGHT(data!$C$96,4)</f>
        <v>2023</v>
      </c>
      <c r="C9" s="12" t="str">
        <f>data!J$55</f>
        <v>6170</v>
      </c>
      <c r="D9" s="12" t="s">
        <v>1141</v>
      </c>
      <c r="E9" s="207">
        <f>ROUND(N(data!J59), 0)</f>
        <v>369</v>
      </c>
      <c r="F9" s="315">
        <f>ROUND(N(data!J60), 2)</f>
        <v>2.6</v>
      </c>
      <c r="G9" s="207">
        <f>ROUND(N(data!J61), 0)</f>
        <v>309842</v>
      </c>
      <c r="H9" s="207">
        <f>ROUND(N(data!J62), 0)</f>
        <v>77867</v>
      </c>
      <c r="I9" s="207">
        <f>ROUND(N(data!J63), 0)</f>
        <v>0</v>
      </c>
      <c r="J9" s="207">
        <f>ROUND(N(data!J64), 0)</f>
        <v>21735</v>
      </c>
      <c r="K9" s="207">
        <f>ROUND(N(data!J65), 0)</f>
        <v>0</v>
      </c>
      <c r="L9" s="207">
        <f>ROUND(N(data!J66), 0)</f>
        <v>29199</v>
      </c>
      <c r="M9" s="207">
        <f>ROUND(N(data!J67), 0)</f>
        <v>12453</v>
      </c>
      <c r="N9" s="207">
        <f>ROUND(N(data!J68), 0)</f>
        <v>0</v>
      </c>
      <c r="O9" s="207">
        <f>ROUND(N(data!J69), 0)</f>
        <v>2071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2071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635670</v>
      </c>
      <c r="AF9" s="207">
        <f>ROUND(N(data!J87), 0)</f>
        <v>635670</v>
      </c>
      <c r="AG9" s="207">
        <f>ROUND(N(data!J90), 0)</f>
        <v>252</v>
      </c>
      <c r="AH9" s="207">
        <f>ROUND(N(data!J91), 0)</f>
        <v>0</v>
      </c>
      <c r="AI9" s="207">
        <f>ROUND(N(data!J92), 0)</f>
        <v>180</v>
      </c>
      <c r="AJ9" s="207">
        <f>ROUND(N(data!J93), 0)</f>
        <v>3976</v>
      </c>
      <c r="AK9" s="315">
        <f>ROUND(N(data!J94), 2)</f>
        <v>2.6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140</v>
      </c>
      <c r="B10" s="209" t="str">
        <f>RIGHT(data!$C$96,4)</f>
        <v>2023</v>
      </c>
      <c r="C10" s="12" t="str">
        <f>data!K$55</f>
        <v>6200</v>
      </c>
      <c r="D10" s="12" t="s">
        <v>1141</v>
      </c>
      <c r="E10" s="207">
        <f>ROUND(N(data!K59), 0)</f>
        <v>0</v>
      </c>
      <c r="F10" s="315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140</v>
      </c>
      <c r="B11" s="209" t="str">
        <f>RIGHT(data!$C$96,4)</f>
        <v>2023</v>
      </c>
      <c r="C11" s="12" t="str">
        <f>data!L$55</f>
        <v>6210</v>
      </c>
      <c r="D11" s="12" t="s">
        <v>1141</v>
      </c>
      <c r="E11" s="207">
        <f>ROUND(N(data!L59), 0)</f>
        <v>62</v>
      </c>
      <c r="F11" s="315">
        <f>ROUND(N(data!L60), 2)</f>
        <v>0.35</v>
      </c>
      <c r="G11" s="207">
        <f>ROUND(N(data!L61), 0)</f>
        <v>32584</v>
      </c>
      <c r="H11" s="207">
        <f>ROUND(N(data!L62), 0)</f>
        <v>8189</v>
      </c>
      <c r="I11" s="207">
        <f>ROUND(N(data!L63), 0)</f>
        <v>13906</v>
      </c>
      <c r="J11" s="207">
        <f>ROUND(N(data!L64), 0)</f>
        <v>2240</v>
      </c>
      <c r="K11" s="207">
        <f>ROUND(N(data!L65), 0)</f>
        <v>0</v>
      </c>
      <c r="L11" s="207">
        <f>ROUND(N(data!L66), 0)</f>
        <v>9942</v>
      </c>
      <c r="M11" s="207">
        <f>ROUND(N(data!L67), 0)</f>
        <v>9637</v>
      </c>
      <c r="N11" s="207">
        <f>ROUND(N(data!L68), 0)</f>
        <v>0</v>
      </c>
      <c r="O11" s="207">
        <f>ROUND(N(data!L69), 0)</f>
        <v>392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392</v>
      </c>
      <c r="AD11" s="207">
        <f>ROUND(N(data!L84), 0)</f>
        <v>0</v>
      </c>
      <c r="AE11" s="207">
        <f>ROUND(N(data!L89), 0)</f>
        <v>139603</v>
      </c>
      <c r="AF11" s="207">
        <f>ROUND(N(data!L87), 0)</f>
        <v>136397</v>
      </c>
      <c r="AG11" s="207">
        <f>ROUND(N(data!L90), 0)</f>
        <v>195</v>
      </c>
      <c r="AH11" s="207">
        <f>ROUND(N(data!L91), 0)</f>
        <v>147</v>
      </c>
      <c r="AI11" s="207">
        <f>ROUND(N(data!L92), 0)</f>
        <v>139</v>
      </c>
      <c r="AJ11" s="207">
        <f>ROUND(N(data!L93), 0)</f>
        <v>1265</v>
      </c>
      <c r="AK11" s="315">
        <f>ROUND(N(data!L94), 2)</f>
        <v>0.35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140</v>
      </c>
      <c r="B12" s="209" t="str">
        <f>RIGHT(data!$C$96,4)</f>
        <v>2023</v>
      </c>
      <c r="C12" s="12" t="str">
        <f>data!M$55</f>
        <v>6330</v>
      </c>
      <c r="D12" s="12" t="s">
        <v>1141</v>
      </c>
      <c r="E12" s="207">
        <f>ROUND(N(data!M59), 0)</f>
        <v>0</v>
      </c>
      <c r="F12" s="315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140</v>
      </c>
      <c r="B13" s="209" t="str">
        <f>RIGHT(data!$C$96,4)</f>
        <v>2023</v>
      </c>
      <c r="C13" s="12" t="str">
        <f>data!N$55</f>
        <v>6400</v>
      </c>
      <c r="D13" s="12" t="s">
        <v>1141</v>
      </c>
      <c r="E13" s="207">
        <f>ROUND(N(data!N59), 0)</f>
        <v>0</v>
      </c>
      <c r="F13" s="315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140</v>
      </c>
      <c r="B14" s="209" t="str">
        <f>RIGHT(data!$C$96,4)</f>
        <v>2023</v>
      </c>
      <c r="C14" s="12" t="str">
        <f>data!O$55</f>
        <v>7010</v>
      </c>
      <c r="D14" s="12" t="s">
        <v>1141</v>
      </c>
      <c r="E14" s="207">
        <f>ROUND(N(data!O59), 0)</f>
        <v>226</v>
      </c>
      <c r="F14" s="315">
        <f>ROUND(N(data!O60), 2)</f>
        <v>13.91</v>
      </c>
      <c r="G14" s="207">
        <f>ROUND(N(data!O61), 0)</f>
        <v>1659559</v>
      </c>
      <c r="H14" s="207">
        <f>ROUND(N(data!O62), 0)</f>
        <v>417068</v>
      </c>
      <c r="I14" s="207">
        <f>ROUND(N(data!O63), 0)</f>
        <v>0</v>
      </c>
      <c r="J14" s="207">
        <f>ROUND(N(data!O64), 0)</f>
        <v>116415</v>
      </c>
      <c r="K14" s="207">
        <f>ROUND(N(data!O65), 0)</f>
        <v>0</v>
      </c>
      <c r="L14" s="207">
        <f>ROUND(N(data!O66), 0)</f>
        <v>156397</v>
      </c>
      <c r="M14" s="207">
        <f>ROUND(N(data!O67), 0)</f>
        <v>141435</v>
      </c>
      <c r="N14" s="207">
        <f>ROUND(N(data!O68), 0)</f>
        <v>0</v>
      </c>
      <c r="O14" s="207">
        <f>ROUND(N(data!O69), 0)</f>
        <v>16175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5085</v>
      </c>
      <c r="X14" s="207">
        <f>ROUND(N(data!O78), 0)</f>
        <v>0</v>
      </c>
      <c r="Y14" s="207">
        <f>ROUND(N(data!O79), 0)</f>
        <v>0</v>
      </c>
      <c r="Z14" s="207">
        <f>ROUND(N(data!O80), 0)</f>
        <v>11090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2869</v>
      </c>
      <c r="AE14" s="207">
        <f>ROUND(N(data!O89), 0)</f>
        <v>1733584</v>
      </c>
      <c r="AF14" s="207">
        <f>ROUND(N(data!O87), 0)</f>
        <v>1243433</v>
      </c>
      <c r="AG14" s="207">
        <f>ROUND(N(data!O90), 0)</f>
        <v>2862</v>
      </c>
      <c r="AH14" s="207">
        <f>ROUND(N(data!O91), 0)</f>
        <v>1884</v>
      </c>
      <c r="AI14" s="207">
        <f>ROUND(N(data!O92), 0)</f>
        <v>2049</v>
      </c>
      <c r="AJ14" s="207">
        <f>ROUND(N(data!O93), 0)</f>
        <v>23857</v>
      </c>
      <c r="AK14" s="315">
        <f>ROUND(N(data!O94), 2)</f>
        <v>13.91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140</v>
      </c>
      <c r="B15" s="209" t="str">
        <f>RIGHT(data!$C$96,4)</f>
        <v>2023</v>
      </c>
      <c r="C15" s="12" t="str">
        <f>data!P$55</f>
        <v>7020</v>
      </c>
      <c r="D15" s="12" t="s">
        <v>1141</v>
      </c>
      <c r="E15" s="207">
        <f>ROUND(N(data!P59), 0)</f>
        <v>137850</v>
      </c>
      <c r="F15" s="315">
        <f>ROUND(N(data!P60), 2)</f>
        <v>10.48</v>
      </c>
      <c r="G15" s="207">
        <f>ROUND(N(data!P61), 0)</f>
        <v>891352</v>
      </c>
      <c r="H15" s="207">
        <f>ROUND(N(data!P62), 0)</f>
        <v>224008</v>
      </c>
      <c r="I15" s="207">
        <f>ROUND(N(data!P63), 0)</f>
        <v>0</v>
      </c>
      <c r="J15" s="207">
        <f>ROUND(N(data!P64), 0)</f>
        <v>5593495</v>
      </c>
      <c r="K15" s="207">
        <f>ROUND(N(data!P65), 0)</f>
        <v>2919</v>
      </c>
      <c r="L15" s="207">
        <f>ROUND(N(data!P66), 0)</f>
        <v>745700</v>
      </c>
      <c r="M15" s="207">
        <f>ROUND(N(data!P67), 0)</f>
        <v>549876</v>
      </c>
      <c r="N15" s="207">
        <f>ROUND(N(data!P68), 0)</f>
        <v>14161</v>
      </c>
      <c r="O15" s="207">
        <f>ROUND(N(data!P69), 0)</f>
        <v>151413</v>
      </c>
      <c r="P15" s="207">
        <f>ROUND(N(data!P70), 0)</f>
        <v>0</v>
      </c>
      <c r="Q15" s="207">
        <f>ROUND(N(data!P71), 0)</f>
        <v>0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132072</v>
      </c>
      <c r="X15" s="207">
        <f>ROUND(N(data!P78), 0)</f>
        <v>0</v>
      </c>
      <c r="Y15" s="207">
        <f>ROUND(N(data!P79), 0)</f>
        <v>0</v>
      </c>
      <c r="Z15" s="207">
        <f>ROUND(N(data!P80), 0)</f>
        <v>10537</v>
      </c>
      <c r="AA15" s="207">
        <f>ROUND(N(data!P81), 0)</f>
        <v>0</v>
      </c>
      <c r="AB15" s="207">
        <f>ROUND(N(data!P82), 0)</f>
        <v>0</v>
      </c>
      <c r="AC15" s="207">
        <f>ROUND(N(data!P83), 0)</f>
        <v>8804</v>
      </c>
      <c r="AD15" s="207">
        <f>ROUND(N(data!P84), 0)</f>
        <v>0</v>
      </c>
      <c r="AE15" s="207">
        <f>ROUND(N(data!P89), 0)</f>
        <v>28705448</v>
      </c>
      <c r="AF15" s="207">
        <f>ROUND(N(data!P87), 0)</f>
        <v>3480044</v>
      </c>
      <c r="AG15" s="207">
        <f>ROUND(N(data!P90), 0)</f>
        <v>11127</v>
      </c>
      <c r="AH15" s="207">
        <f>ROUND(N(data!P91), 0)</f>
        <v>0</v>
      </c>
      <c r="AI15" s="207">
        <f>ROUND(N(data!P92), 0)</f>
        <v>7966</v>
      </c>
      <c r="AJ15" s="207">
        <f>ROUND(N(data!P93), 0)</f>
        <v>60100</v>
      </c>
      <c r="AK15" s="315">
        <f>ROUND(N(data!P94), 2)</f>
        <v>4.88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140</v>
      </c>
      <c r="B16" s="209" t="str">
        <f>RIGHT(data!$C$96,4)</f>
        <v>2023</v>
      </c>
      <c r="C16" s="12" t="str">
        <f>data!Q$55</f>
        <v>7030</v>
      </c>
      <c r="D16" s="12" t="s">
        <v>1141</v>
      </c>
      <c r="E16" s="207">
        <f>ROUND(N(data!Q59), 0)</f>
        <v>137850</v>
      </c>
      <c r="F16" s="315">
        <f>ROUND(N(data!Q60), 2)</f>
        <v>20.51</v>
      </c>
      <c r="G16" s="207">
        <f>ROUND(N(data!Q61), 0)</f>
        <v>2510195</v>
      </c>
      <c r="H16" s="207">
        <f>ROUND(N(data!Q62), 0)</f>
        <v>630844</v>
      </c>
      <c r="I16" s="207">
        <f>ROUND(N(data!Q63), 0)</f>
        <v>805905</v>
      </c>
      <c r="J16" s="207">
        <f>ROUND(N(data!Q64), 0)</f>
        <v>490006</v>
      </c>
      <c r="K16" s="207">
        <f>ROUND(N(data!Q65), 0)</f>
        <v>3390</v>
      </c>
      <c r="L16" s="207">
        <f>ROUND(N(data!Q66), 0)</f>
        <v>142666</v>
      </c>
      <c r="M16" s="207">
        <f>ROUND(N(data!Q67), 0)</f>
        <v>50011</v>
      </c>
      <c r="N16" s="207">
        <f>ROUND(N(data!Q68), 0)</f>
        <v>0</v>
      </c>
      <c r="O16" s="207">
        <f>ROUND(N(data!Q69), 0)</f>
        <v>6464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271</v>
      </c>
      <c r="X16" s="207">
        <f>ROUND(N(data!Q78), 0)</f>
        <v>0</v>
      </c>
      <c r="Y16" s="207">
        <f>ROUND(N(data!Q79), 0)</f>
        <v>0</v>
      </c>
      <c r="Z16" s="207">
        <f>ROUND(N(data!Q80), 0)</f>
        <v>6193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5885435</v>
      </c>
      <c r="AF16" s="207">
        <f>ROUND(N(data!Q87), 0)</f>
        <v>262557</v>
      </c>
      <c r="AG16" s="207">
        <f>ROUND(N(data!Q90), 0)</f>
        <v>1012</v>
      </c>
      <c r="AH16" s="207">
        <f>ROUND(N(data!Q91), 0)</f>
        <v>44</v>
      </c>
      <c r="AI16" s="207">
        <f>ROUND(N(data!Q92), 0)</f>
        <v>724</v>
      </c>
      <c r="AJ16" s="207">
        <f>ROUND(N(data!Q93), 0)</f>
        <v>0</v>
      </c>
      <c r="AK16" s="315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140</v>
      </c>
      <c r="B17" s="209" t="str">
        <f>RIGHT(data!$C$96,4)</f>
        <v>2023</v>
      </c>
      <c r="C17" s="12" t="str">
        <f>data!R$55</f>
        <v>7040</v>
      </c>
      <c r="D17" s="12" t="s">
        <v>1141</v>
      </c>
      <c r="E17" s="207">
        <f>ROUND(N(data!R59), 0)</f>
        <v>0</v>
      </c>
      <c r="F17" s="315">
        <f>ROUND(N(data!R60), 2)</f>
        <v>0</v>
      </c>
      <c r="G17" s="207">
        <f>ROUND(N(data!R61), 0)</f>
        <v>0</v>
      </c>
      <c r="H17" s="207">
        <f>ROUND(N(data!R62), 0)</f>
        <v>0</v>
      </c>
      <c r="I17" s="207">
        <f>ROUND(N(data!R63), 0)</f>
        <v>0</v>
      </c>
      <c r="J17" s="207">
        <f>ROUND(N(data!R64), 0)</f>
        <v>0</v>
      </c>
      <c r="K17" s="207">
        <f>ROUND(N(data!R65), 0)</f>
        <v>0</v>
      </c>
      <c r="L17" s="207">
        <f>ROUND(N(data!R66), 0)</f>
        <v>0</v>
      </c>
      <c r="M17" s="207">
        <f>ROUND(N(data!R67), 0)</f>
        <v>0</v>
      </c>
      <c r="N17" s="207">
        <f>ROUND(N(data!R68), 0)</f>
        <v>0</v>
      </c>
      <c r="O17" s="207">
        <f>ROUND(N(data!R69), 0)</f>
        <v>0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0</v>
      </c>
      <c r="AD17" s="207">
        <f>ROUND(N(data!R84), 0)</f>
        <v>0</v>
      </c>
      <c r="AE17" s="207">
        <f>ROUND(N(data!R89), 0)</f>
        <v>0</v>
      </c>
      <c r="AF17" s="207">
        <f>ROUND(N(data!R87), 0)</f>
        <v>0</v>
      </c>
      <c r="AG17" s="207">
        <f>ROUND(N(data!R90), 0)</f>
        <v>0</v>
      </c>
      <c r="AH17" s="207">
        <f>ROUND(N(data!R91), 0)</f>
        <v>0</v>
      </c>
      <c r="AI17" s="207">
        <f>ROUND(N(data!R92), 0)</f>
        <v>0</v>
      </c>
      <c r="AJ17" s="207">
        <f>ROUND(N(data!R93), 0)</f>
        <v>0</v>
      </c>
      <c r="AK17" s="315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140</v>
      </c>
      <c r="B18" s="209" t="str">
        <f>RIGHT(data!$C$96,4)</f>
        <v>2023</v>
      </c>
      <c r="C18" s="12" t="str">
        <f>data!S$55</f>
        <v>7050</v>
      </c>
      <c r="D18" s="12" t="s">
        <v>1141</v>
      </c>
      <c r="E18" s="207">
        <f>ROUND(N(data!S59), 0)</f>
        <v>0</v>
      </c>
      <c r="F18" s="315">
        <f>ROUND(N(data!S60), 2)</f>
        <v>6.23</v>
      </c>
      <c r="G18" s="207">
        <f>ROUND(N(data!S61), 0)</f>
        <v>351153</v>
      </c>
      <c r="H18" s="207">
        <f>ROUND(N(data!S62), 0)</f>
        <v>88249</v>
      </c>
      <c r="I18" s="207">
        <f>ROUND(N(data!S63), 0)</f>
        <v>0</v>
      </c>
      <c r="J18" s="207">
        <f>ROUND(N(data!S64), 0)</f>
        <v>183324</v>
      </c>
      <c r="K18" s="207">
        <f>ROUND(N(data!S65), 0)</f>
        <v>0</v>
      </c>
      <c r="L18" s="207">
        <f>ROUND(N(data!S66), 0)</f>
        <v>10452</v>
      </c>
      <c r="M18" s="207">
        <f>ROUND(N(data!S67), 0)</f>
        <v>0</v>
      </c>
      <c r="N18" s="207">
        <f>ROUND(N(data!S68), 0)</f>
        <v>0</v>
      </c>
      <c r="O18" s="207">
        <f>ROUND(N(data!S69), 0)</f>
        <v>46677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44604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2073</v>
      </c>
      <c r="AD18" s="207">
        <f>ROUND(N(data!S84), 0)</f>
        <v>47284</v>
      </c>
      <c r="AE18" s="207">
        <f>ROUND(N(data!S89), 0)</f>
        <v>9697258</v>
      </c>
      <c r="AF18" s="207">
        <f>ROUND(N(data!S87), 0)</f>
        <v>1413603</v>
      </c>
      <c r="AG18" s="207">
        <f>ROUND(N(data!S90), 0)</f>
        <v>0</v>
      </c>
      <c r="AH18" s="207">
        <f>ROUND(N(data!S91), 0)</f>
        <v>0</v>
      </c>
      <c r="AI18" s="207">
        <f>ROUND(N(data!S92), 0)</f>
        <v>0</v>
      </c>
      <c r="AJ18" s="207">
        <f>ROUND(N(data!S93), 0)</f>
        <v>0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140</v>
      </c>
      <c r="B19" s="209" t="str">
        <f>RIGHT(data!$C$96,4)</f>
        <v>2023</v>
      </c>
      <c r="C19" s="12" t="str">
        <f>data!T$55</f>
        <v>7060</v>
      </c>
      <c r="D19" s="12" t="s">
        <v>1141</v>
      </c>
      <c r="E19" s="207">
        <f>ROUND(N(data!T59), 0)</f>
        <v>0</v>
      </c>
      <c r="F19" s="315">
        <f>ROUND(N(data!T60), 2)</f>
        <v>0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0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0</v>
      </c>
      <c r="AF19" s="207">
        <f>ROUND(N(data!T87), 0)</f>
        <v>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5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140</v>
      </c>
      <c r="B20" s="209" t="str">
        <f>RIGHT(data!$C$96,4)</f>
        <v>2023</v>
      </c>
      <c r="C20" s="12" t="str">
        <f>data!U$55</f>
        <v>7070</v>
      </c>
      <c r="D20" s="12" t="s">
        <v>1141</v>
      </c>
      <c r="E20" s="207">
        <f>ROUND(N(data!U59), 0)</f>
        <v>279343</v>
      </c>
      <c r="F20" s="315">
        <f>ROUND(N(data!U60), 2)</f>
        <v>27.76</v>
      </c>
      <c r="G20" s="207">
        <f>ROUND(N(data!U61), 0)</f>
        <v>2020713</v>
      </c>
      <c r="H20" s="207">
        <f>ROUND(N(data!U62), 0)</f>
        <v>507831</v>
      </c>
      <c r="I20" s="207">
        <f>ROUND(N(data!U63), 0)</f>
        <v>4375</v>
      </c>
      <c r="J20" s="207">
        <f>ROUND(N(data!U64), 0)</f>
        <v>2124985</v>
      </c>
      <c r="K20" s="207">
        <f>ROUND(N(data!U65), 0)</f>
        <v>0</v>
      </c>
      <c r="L20" s="207">
        <f>ROUND(N(data!U66), 0)</f>
        <v>1262191</v>
      </c>
      <c r="M20" s="207">
        <f>ROUND(N(data!U67), 0)</f>
        <v>199650</v>
      </c>
      <c r="N20" s="207">
        <f>ROUND(N(data!U68), 0)</f>
        <v>976</v>
      </c>
      <c r="O20" s="207">
        <f>ROUND(N(data!U69), 0)</f>
        <v>195002</v>
      </c>
      <c r="P20" s="207">
        <f>ROUND(N(data!U70), 0)</f>
        <v>0</v>
      </c>
      <c r="Q20" s="207">
        <f>ROUND(N(data!U71), 0)</f>
        <v>0</v>
      </c>
      <c r="R20" s="207">
        <f>ROUND(N(data!U72), 0)</f>
        <v>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165273</v>
      </c>
      <c r="X20" s="207">
        <f>ROUND(N(data!U78), 0)</f>
        <v>0</v>
      </c>
      <c r="Y20" s="207">
        <f>ROUND(N(data!U79), 0)</f>
        <v>0</v>
      </c>
      <c r="Z20" s="207">
        <f>ROUND(N(data!U80), 0)</f>
        <v>8085</v>
      </c>
      <c r="AA20" s="207">
        <f>ROUND(N(data!U81), 0)</f>
        <v>0</v>
      </c>
      <c r="AB20" s="207">
        <f>ROUND(N(data!U82), 0)</f>
        <v>0</v>
      </c>
      <c r="AC20" s="207">
        <f>ROUND(N(data!U83), 0)</f>
        <v>21644</v>
      </c>
      <c r="AD20" s="207">
        <f>ROUND(N(data!U84), 0)</f>
        <v>0</v>
      </c>
      <c r="AE20" s="207">
        <f>ROUND(N(data!U89), 0)</f>
        <v>25734117</v>
      </c>
      <c r="AF20" s="207">
        <f>ROUND(N(data!U87), 0)</f>
        <v>1864902</v>
      </c>
      <c r="AG20" s="207">
        <f>ROUND(N(data!U90), 0)</f>
        <v>4040</v>
      </c>
      <c r="AH20" s="207">
        <f>ROUND(N(data!U91), 0)</f>
        <v>0</v>
      </c>
      <c r="AI20" s="207">
        <f>ROUND(N(data!U92), 0)</f>
        <v>2892</v>
      </c>
      <c r="AJ20" s="207">
        <f>ROUND(N(data!U93), 0)</f>
        <v>2722</v>
      </c>
      <c r="AK20" s="315">
        <f>ROUND(N(data!U94), 2)</f>
        <v>0.04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140</v>
      </c>
      <c r="B21" s="209" t="str">
        <f>RIGHT(data!$C$96,4)</f>
        <v>2023</v>
      </c>
      <c r="C21" s="12" t="str">
        <f>data!V$55</f>
        <v>7110</v>
      </c>
      <c r="D21" s="12" t="s">
        <v>1141</v>
      </c>
      <c r="E21" s="207">
        <f>ROUND(N(data!V59), 0)</f>
        <v>0</v>
      </c>
      <c r="F21" s="315">
        <f>ROUND(N(data!V60), 2)</f>
        <v>0</v>
      </c>
      <c r="G21" s="207">
        <f>ROUND(N(data!V61), 0)</f>
        <v>0</v>
      </c>
      <c r="H21" s="207">
        <f>ROUND(N(data!V62), 0)</f>
        <v>0</v>
      </c>
      <c r="I21" s="207">
        <f>ROUND(N(data!V63), 0)</f>
        <v>0</v>
      </c>
      <c r="J21" s="207">
        <f>ROUND(N(data!V64), 0)</f>
        <v>0</v>
      </c>
      <c r="K21" s="207">
        <f>ROUND(N(data!V65), 0)</f>
        <v>0</v>
      </c>
      <c r="L21" s="207">
        <f>ROUND(N(data!V66), 0)</f>
        <v>0</v>
      </c>
      <c r="M21" s="207">
        <f>ROUND(N(data!V67), 0)</f>
        <v>0</v>
      </c>
      <c r="N21" s="207">
        <f>ROUND(N(data!V68), 0)</f>
        <v>0</v>
      </c>
      <c r="O21" s="207">
        <f>ROUND(N(data!V69), 0)</f>
        <v>0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0</v>
      </c>
      <c r="AD21" s="207">
        <f>ROUND(N(data!V84), 0)</f>
        <v>0</v>
      </c>
      <c r="AE21" s="207">
        <f>ROUND(N(data!V89), 0)</f>
        <v>0</v>
      </c>
      <c r="AF21" s="207">
        <f>ROUND(N(data!V87), 0)</f>
        <v>0</v>
      </c>
      <c r="AG21" s="207">
        <f>ROUND(N(data!V90), 0)</f>
        <v>0</v>
      </c>
      <c r="AH21" s="207">
        <f>ROUND(N(data!V91), 0)</f>
        <v>0</v>
      </c>
      <c r="AI21" s="207">
        <f>ROUND(N(data!V92), 0)</f>
        <v>0</v>
      </c>
      <c r="AJ21" s="207">
        <f>ROUND(N(data!V93), 0)</f>
        <v>0</v>
      </c>
      <c r="AK21" s="315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140</v>
      </c>
      <c r="B22" s="209" t="str">
        <f>RIGHT(data!$C$96,4)</f>
        <v>2023</v>
      </c>
      <c r="C22" s="12" t="str">
        <f>data!W$55</f>
        <v>7120</v>
      </c>
      <c r="D22" s="12" t="s">
        <v>1141</v>
      </c>
      <c r="E22" s="207">
        <f>ROUND(N(data!W59), 0)</f>
        <v>2279</v>
      </c>
      <c r="F22" s="315">
        <f>ROUND(N(data!W60), 2)</f>
        <v>1.32</v>
      </c>
      <c r="G22" s="207">
        <f>ROUND(N(data!W61), 0)</f>
        <v>160440</v>
      </c>
      <c r="H22" s="207">
        <f>ROUND(N(data!W62), 0)</f>
        <v>40321</v>
      </c>
      <c r="I22" s="207">
        <f>ROUND(N(data!W63), 0)</f>
        <v>2500</v>
      </c>
      <c r="J22" s="207">
        <f>ROUND(N(data!W64), 0)</f>
        <v>14634</v>
      </c>
      <c r="K22" s="207">
        <f>ROUND(N(data!W65), 0)</f>
        <v>0</v>
      </c>
      <c r="L22" s="207">
        <f>ROUND(N(data!W66), 0)</f>
        <v>-30000</v>
      </c>
      <c r="M22" s="207">
        <f>ROUND(N(data!W67), 0)</f>
        <v>14578</v>
      </c>
      <c r="N22" s="207">
        <f>ROUND(N(data!W68), 0)</f>
        <v>107532</v>
      </c>
      <c r="O22" s="207">
        <f>ROUND(N(data!W69), 0)</f>
        <v>441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441</v>
      </c>
      <c r="AD22" s="207">
        <f>ROUND(N(data!W84), 0)</f>
        <v>0</v>
      </c>
      <c r="AE22" s="207">
        <f>ROUND(N(data!W89), 0)</f>
        <v>8819270</v>
      </c>
      <c r="AF22" s="207">
        <f>ROUND(N(data!W87), 0)</f>
        <v>208240</v>
      </c>
      <c r="AG22" s="207">
        <f>ROUND(N(data!W90), 0)</f>
        <v>295</v>
      </c>
      <c r="AH22" s="207">
        <f>ROUND(N(data!W91), 0)</f>
        <v>0</v>
      </c>
      <c r="AI22" s="207">
        <f>ROUND(N(data!W92), 0)</f>
        <v>211</v>
      </c>
      <c r="AJ22" s="207">
        <f>ROUND(N(data!W93), 0)</f>
        <v>4034</v>
      </c>
      <c r="AK22" s="315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140</v>
      </c>
      <c r="B23" s="209" t="str">
        <f>RIGHT(data!$C$96,4)</f>
        <v>2023</v>
      </c>
      <c r="C23" s="12" t="str">
        <f>data!X$55</f>
        <v>7130</v>
      </c>
      <c r="D23" s="12" t="s">
        <v>1141</v>
      </c>
      <c r="E23" s="207">
        <f>ROUND(N(data!X59), 0)</f>
        <v>7302</v>
      </c>
      <c r="F23" s="315">
        <f>ROUND(N(data!X60), 2)</f>
        <v>10.69</v>
      </c>
      <c r="G23" s="207">
        <f>ROUND(N(data!X61), 0)</f>
        <v>972306</v>
      </c>
      <c r="H23" s="207">
        <f>ROUND(N(data!X62), 0)</f>
        <v>244353</v>
      </c>
      <c r="I23" s="207">
        <f>ROUND(N(data!X63), 0)</f>
        <v>0</v>
      </c>
      <c r="J23" s="207">
        <f>ROUND(N(data!X64), 0)</f>
        <v>57377</v>
      </c>
      <c r="K23" s="207">
        <f>ROUND(N(data!X65), 0)</f>
        <v>0</v>
      </c>
      <c r="L23" s="207">
        <f>ROUND(N(data!X66), 0)</f>
        <v>0</v>
      </c>
      <c r="M23" s="207">
        <f>ROUND(N(data!X67), 0)</f>
        <v>46700</v>
      </c>
      <c r="N23" s="207">
        <f>ROUND(N(data!X68), 0)</f>
        <v>0</v>
      </c>
      <c r="O23" s="207">
        <f>ROUND(N(data!X69), 0)</f>
        <v>68343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67008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1335</v>
      </c>
      <c r="AD23" s="207">
        <f>ROUND(N(data!X84), 0)</f>
        <v>0</v>
      </c>
      <c r="AE23" s="207">
        <f>ROUND(N(data!X89), 0)</f>
        <v>30259535</v>
      </c>
      <c r="AF23" s="207">
        <f>ROUND(N(data!X87), 0)</f>
        <v>1523482</v>
      </c>
      <c r="AG23" s="207">
        <f>ROUND(N(data!X90), 0)</f>
        <v>945</v>
      </c>
      <c r="AH23" s="207">
        <f>ROUND(N(data!X91), 0)</f>
        <v>0</v>
      </c>
      <c r="AI23" s="207">
        <f>ROUND(N(data!X92), 0)</f>
        <v>675</v>
      </c>
      <c r="AJ23" s="207">
        <f>ROUND(N(data!X93), 0)</f>
        <v>12926</v>
      </c>
      <c r="AK23" s="315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140</v>
      </c>
      <c r="B24" s="209" t="str">
        <f>RIGHT(data!$C$96,4)</f>
        <v>2023</v>
      </c>
      <c r="C24" s="12" t="str">
        <f>data!Y$55</f>
        <v>7140</v>
      </c>
      <c r="D24" s="12" t="s">
        <v>1141</v>
      </c>
      <c r="E24" s="207">
        <f>ROUND(N(data!Y59), 0)</f>
        <v>28800</v>
      </c>
      <c r="F24" s="315">
        <f>ROUND(N(data!Y60), 2)</f>
        <v>14.8</v>
      </c>
      <c r="G24" s="207">
        <f>ROUND(N(data!Y61), 0)</f>
        <v>1175374</v>
      </c>
      <c r="H24" s="207">
        <f>ROUND(N(data!Y62), 0)</f>
        <v>295386</v>
      </c>
      <c r="I24" s="207">
        <f>ROUND(N(data!Y63), 0)</f>
        <v>-26179</v>
      </c>
      <c r="J24" s="207">
        <f>ROUND(N(data!Y64), 0)</f>
        <v>65349</v>
      </c>
      <c r="K24" s="207">
        <f>ROUND(N(data!Y65), 0)</f>
        <v>0</v>
      </c>
      <c r="L24" s="207">
        <f>ROUND(N(data!Y66), 0)</f>
        <v>729367</v>
      </c>
      <c r="M24" s="207">
        <f>ROUND(N(data!Y67), 0)</f>
        <v>183737</v>
      </c>
      <c r="N24" s="207">
        <f>ROUND(N(data!Y68), 0)</f>
        <v>13896</v>
      </c>
      <c r="O24" s="207">
        <f>ROUND(N(data!Y69), 0)</f>
        <v>447196</v>
      </c>
      <c r="P24" s="207">
        <f>ROUND(N(data!Y70), 0)</f>
        <v>0</v>
      </c>
      <c r="Q24" s="207">
        <f>ROUND(N(data!Y71), 0)</f>
        <v>0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437414</v>
      </c>
      <c r="X24" s="207">
        <f>ROUND(N(data!Y78), 0)</f>
        <v>0</v>
      </c>
      <c r="Y24" s="207">
        <f>ROUND(N(data!Y79), 0)</f>
        <v>0</v>
      </c>
      <c r="Z24" s="207">
        <f>ROUND(N(data!Y80), 0)</f>
        <v>6200</v>
      </c>
      <c r="AA24" s="207">
        <f>ROUND(N(data!Y81), 0)</f>
        <v>0</v>
      </c>
      <c r="AB24" s="207">
        <f>ROUND(N(data!Y82), 0)</f>
        <v>0</v>
      </c>
      <c r="AC24" s="207">
        <f>ROUND(N(data!Y83), 0)</f>
        <v>3582</v>
      </c>
      <c r="AD24" s="207">
        <f>ROUND(N(data!Y84), 0)</f>
        <v>2990</v>
      </c>
      <c r="AE24" s="207">
        <f>ROUND(N(data!Y89), 0)</f>
        <v>14501250</v>
      </c>
      <c r="AF24" s="207">
        <f>ROUND(N(data!Y87), 0)</f>
        <v>385602</v>
      </c>
      <c r="AG24" s="207">
        <f>ROUND(N(data!Y90), 0)</f>
        <v>3718</v>
      </c>
      <c r="AH24" s="207">
        <f>ROUND(N(data!Y91), 0)</f>
        <v>0</v>
      </c>
      <c r="AI24" s="207">
        <f>ROUND(N(data!Y92), 0)</f>
        <v>2663</v>
      </c>
      <c r="AJ24" s="207">
        <f>ROUND(N(data!Y93), 0)</f>
        <v>50870</v>
      </c>
      <c r="AK24" s="315">
        <f>ROUND(N(data!Y94), 2)</f>
        <v>0.01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140</v>
      </c>
      <c r="B25" s="209" t="str">
        <f>RIGHT(data!$C$96,4)</f>
        <v>2023</v>
      </c>
      <c r="C25" s="12" t="str">
        <f>data!Z$55</f>
        <v>7150</v>
      </c>
      <c r="D25" s="12" t="s">
        <v>1141</v>
      </c>
      <c r="E25" s="207">
        <f>ROUND(N(data!Z59), 0)</f>
        <v>0</v>
      </c>
      <c r="F25" s="315">
        <f>ROUND(N(data!Z60), 2)</f>
        <v>0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0</v>
      </c>
      <c r="M25" s="207">
        <f>ROUND(N(data!Z67), 0)</f>
        <v>0</v>
      </c>
      <c r="N25" s="207">
        <f>ROUND(N(data!Z68), 0)</f>
        <v>0</v>
      </c>
      <c r="O25" s="207">
        <f>ROUND(N(data!Z69), 0)</f>
        <v>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5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140</v>
      </c>
      <c r="B26" s="209" t="str">
        <f>RIGHT(data!$C$96,4)</f>
        <v>2023</v>
      </c>
      <c r="C26" s="12" t="str">
        <f>data!AA$55</f>
        <v>7160</v>
      </c>
      <c r="D26" s="12" t="s">
        <v>1141</v>
      </c>
      <c r="E26" s="207">
        <f>ROUND(N(data!AA59), 0)</f>
        <v>0</v>
      </c>
      <c r="F26" s="315">
        <f>ROUND(N(data!AA60), 2)</f>
        <v>0</v>
      </c>
      <c r="G26" s="207">
        <f>ROUND(N(data!AA61), 0)</f>
        <v>0</v>
      </c>
      <c r="H26" s="207">
        <f>ROUND(N(data!AA62), 0)</f>
        <v>0</v>
      </c>
      <c r="I26" s="207">
        <f>ROUND(N(data!AA63), 0)</f>
        <v>0</v>
      </c>
      <c r="J26" s="207">
        <f>ROUND(N(data!AA64), 0)</f>
        <v>0</v>
      </c>
      <c r="K26" s="207">
        <f>ROUND(N(data!AA65), 0)</f>
        <v>0</v>
      </c>
      <c r="L26" s="207">
        <f>ROUND(N(data!AA66), 0)</f>
        <v>0</v>
      </c>
      <c r="M26" s="207">
        <f>ROUND(N(data!AA67), 0)</f>
        <v>0</v>
      </c>
      <c r="N26" s="207">
        <f>ROUND(N(data!AA68), 0)</f>
        <v>0</v>
      </c>
      <c r="O26" s="207">
        <f>ROUND(N(data!AA69), 0)</f>
        <v>0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0</v>
      </c>
      <c r="AD26" s="207">
        <f>ROUND(N(data!AA84), 0)</f>
        <v>0</v>
      </c>
      <c r="AE26" s="207">
        <f>ROUND(N(data!AA89), 0)</f>
        <v>0</v>
      </c>
      <c r="AF26" s="207">
        <f>ROUND(N(data!AA87), 0)</f>
        <v>0</v>
      </c>
      <c r="AG26" s="207">
        <f>ROUND(N(data!AA90), 0)</f>
        <v>0</v>
      </c>
      <c r="AH26" s="207">
        <f>ROUND(N(data!AA91), 0)</f>
        <v>0</v>
      </c>
      <c r="AI26" s="207">
        <f>ROUND(N(data!AA92), 0)</f>
        <v>0</v>
      </c>
      <c r="AJ26" s="207">
        <f>ROUND(N(data!AA93), 0)</f>
        <v>0</v>
      </c>
      <c r="AK26" s="315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140</v>
      </c>
      <c r="B27" s="209" t="str">
        <f>RIGHT(data!$C$96,4)</f>
        <v>2023</v>
      </c>
      <c r="C27" s="12" t="str">
        <f>data!AB$55</f>
        <v>7170</v>
      </c>
      <c r="D27" s="12" t="s">
        <v>1141</v>
      </c>
      <c r="E27" s="207">
        <f>ROUND(N(data!AB59), 0)</f>
        <v>0</v>
      </c>
      <c r="F27" s="315">
        <f>ROUND(N(data!AB60), 2)</f>
        <v>16.78</v>
      </c>
      <c r="G27" s="207">
        <f>ROUND(N(data!AB61), 0)</f>
        <v>1912271</v>
      </c>
      <c r="H27" s="207">
        <f>ROUND(N(data!AB62), 0)</f>
        <v>480578</v>
      </c>
      <c r="I27" s="207">
        <f>ROUND(N(data!AB63), 0)</f>
        <v>0</v>
      </c>
      <c r="J27" s="207">
        <f>ROUND(N(data!AB64), 0)</f>
        <v>3621906</v>
      </c>
      <c r="K27" s="207">
        <f>ROUND(N(data!AB65), 0)</f>
        <v>0</v>
      </c>
      <c r="L27" s="207">
        <f>ROUND(N(data!AB66), 0)</f>
        <v>258874</v>
      </c>
      <c r="M27" s="207">
        <f>ROUND(N(data!AB67), 0)</f>
        <v>57473</v>
      </c>
      <c r="N27" s="207">
        <f>ROUND(N(data!AB68), 0)</f>
        <v>-2575</v>
      </c>
      <c r="O27" s="207">
        <f>ROUND(N(data!AB69), 0)</f>
        <v>8894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1461</v>
      </c>
      <c r="X27" s="207">
        <f>ROUND(N(data!AB78), 0)</f>
        <v>0</v>
      </c>
      <c r="Y27" s="207">
        <f>ROUND(N(data!AB79), 0)</f>
        <v>0</v>
      </c>
      <c r="Z27" s="207">
        <f>ROUND(N(data!AB80), 0)</f>
        <v>0</v>
      </c>
      <c r="AA27" s="207">
        <f>ROUND(N(data!AB81), 0)</f>
        <v>0</v>
      </c>
      <c r="AB27" s="207">
        <f>ROUND(N(data!AB82), 0)</f>
        <v>0</v>
      </c>
      <c r="AC27" s="207">
        <f>ROUND(N(data!AB83), 0)</f>
        <v>7433</v>
      </c>
      <c r="AD27" s="207">
        <f>ROUND(N(data!AB84), 0)</f>
        <v>4769</v>
      </c>
      <c r="AE27" s="207">
        <f>ROUND(N(data!AB89), 0)</f>
        <v>24378720</v>
      </c>
      <c r="AF27" s="207">
        <f>ROUND(N(data!AB87), 0)</f>
        <v>4169297</v>
      </c>
      <c r="AG27" s="207">
        <f>ROUND(N(data!AB90), 0)</f>
        <v>1163</v>
      </c>
      <c r="AH27" s="207">
        <f>ROUND(N(data!AB91), 0)</f>
        <v>0</v>
      </c>
      <c r="AI27" s="207">
        <f>ROUND(N(data!AB92), 0)</f>
        <v>984</v>
      </c>
      <c r="AJ27" s="207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140</v>
      </c>
      <c r="B28" s="209" t="str">
        <f>RIGHT(data!$C$96,4)</f>
        <v>2023</v>
      </c>
      <c r="C28" s="12" t="str">
        <f>data!AC$55</f>
        <v>7180</v>
      </c>
      <c r="D28" s="12" t="s">
        <v>1141</v>
      </c>
      <c r="E28" s="207">
        <f>ROUND(N(data!AC59), 0)</f>
        <v>1225</v>
      </c>
      <c r="F28" s="315">
        <f>ROUND(N(data!AC60), 2)</f>
        <v>8.5500000000000007</v>
      </c>
      <c r="G28" s="207">
        <f>ROUND(N(data!AC61), 0)</f>
        <v>851671</v>
      </c>
      <c r="H28" s="207">
        <f>ROUND(N(data!AC62), 0)</f>
        <v>214036</v>
      </c>
      <c r="I28" s="207">
        <f>ROUND(N(data!AC63), 0)</f>
        <v>23104</v>
      </c>
      <c r="J28" s="207">
        <f>ROUND(N(data!AC64), 0)</f>
        <v>71116</v>
      </c>
      <c r="K28" s="207">
        <f>ROUND(N(data!AC65), 0)</f>
        <v>0</v>
      </c>
      <c r="L28" s="207">
        <f>ROUND(N(data!AC66), 0)</f>
        <v>46250</v>
      </c>
      <c r="M28" s="207">
        <f>ROUND(N(data!AC67), 0)</f>
        <v>51000</v>
      </c>
      <c r="N28" s="207">
        <f>ROUND(N(data!AC68), 0)</f>
        <v>9958</v>
      </c>
      <c r="O28" s="207">
        <f>ROUND(N(data!AC69), 0)</f>
        <v>37090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32856</v>
      </c>
      <c r="X28" s="207">
        <f>ROUND(N(data!AC78), 0)</f>
        <v>0</v>
      </c>
      <c r="Y28" s="207">
        <f>ROUND(N(data!AC79), 0)</f>
        <v>0</v>
      </c>
      <c r="Z28" s="207">
        <f>ROUND(N(data!AC80), 0)</f>
        <v>4234</v>
      </c>
      <c r="AA28" s="207">
        <f>ROUND(N(data!AC81), 0)</f>
        <v>0</v>
      </c>
      <c r="AB28" s="207">
        <f>ROUND(N(data!AC82), 0)</f>
        <v>0</v>
      </c>
      <c r="AC28" s="207">
        <f>ROUND(N(data!AC83), 0)</f>
        <v>0</v>
      </c>
      <c r="AD28" s="207">
        <f>ROUND(N(data!AC84), 0)</f>
        <v>0</v>
      </c>
      <c r="AE28" s="207">
        <f>ROUND(N(data!AC89), 0)</f>
        <v>5661557</v>
      </c>
      <c r="AF28" s="207">
        <f>ROUND(N(data!AC87), 0)</f>
        <v>897048</v>
      </c>
      <c r="AG28" s="207">
        <f>ROUND(N(data!AC90), 0)</f>
        <v>1032</v>
      </c>
      <c r="AH28" s="207">
        <f>ROUND(N(data!AC91), 0)</f>
        <v>0</v>
      </c>
      <c r="AI28" s="207">
        <f>ROUND(N(data!AC92), 0)</f>
        <v>738</v>
      </c>
      <c r="AJ28" s="207">
        <f>ROUND(N(data!AC93), 0)</f>
        <v>16331</v>
      </c>
      <c r="AK28" s="315">
        <f>ROUND(N(data!AC94), 2)</f>
        <v>0.84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140</v>
      </c>
      <c r="B29" s="209" t="str">
        <f>RIGHT(data!$C$96,4)</f>
        <v>2023</v>
      </c>
      <c r="C29" s="12" t="str">
        <f>data!AD$55</f>
        <v>7190</v>
      </c>
      <c r="D29" s="12" t="s">
        <v>1141</v>
      </c>
      <c r="E29" s="207">
        <f>ROUND(N(data!AD59), 0)</f>
        <v>0</v>
      </c>
      <c r="F29" s="315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5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140</v>
      </c>
      <c r="B30" s="209" t="str">
        <f>RIGHT(data!$C$96,4)</f>
        <v>2023</v>
      </c>
      <c r="C30" s="12" t="str">
        <f>data!AE$55</f>
        <v>7200</v>
      </c>
      <c r="D30" s="12" t="s">
        <v>1141</v>
      </c>
      <c r="E30" s="207">
        <f>ROUND(N(data!AE59), 0)</f>
        <v>14431</v>
      </c>
      <c r="F30" s="315">
        <f>ROUND(N(data!AE60), 2)</f>
        <v>3.46</v>
      </c>
      <c r="G30" s="207">
        <f>ROUND(N(data!AE61), 0)</f>
        <v>274137</v>
      </c>
      <c r="H30" s="207">
        <f>ROUND(N(data!AE62), 0)</f>
        <v>68894</v>
      </c>
      <c r="I30" s="207">
        <f>ROUND(N(data!AE63), 0)</f>
        <v>0</v>
      </c>
      <c r="J30" s="207">
        <f>ROUND(N(data!AE64), 0)</f>
        <v>17585</v>
      </c>
      <c r="K30" s="207">
        <f>ROUND(N(data!AE65), 0)</f>
        <v>0</v>
      </c>
      <c r="L30" s="207">
        <f>ROUND(N(data!AE66), 0)</f>
        <v>1044439</v>
      </c>
      <c r="M30" s="207">
        <f>ROUND(N(data!AE67), 0)</f>
        <v>0</v>
      </c>
      <c r="N30" s="207">
        <f>ROUND(N(data!AE68), 0)</f>
        <v>0</v>
      </c>
      <c r="O30" s="207">
        <f>ROUND(N(data!AE69), 0)</f>
        <v>13049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9244</v>
      </c>
      <c r="X30" s="207">
        <f>ROUND(N(data!AE78), 0)</f>
        <v>0</v>
      </c>
      <c r="Y30" s="207">
        <f>ROUND(N(data!AE79), 0)</f>
        <v>0</v>
      </c>
      <c r="Z30" s="207">
        <f>ROUND(N(data!AE80), 0)</f>
        <v>1595</v>
      </c>
      <c r="AA30" s="207">
        <f>ROUND(N(data!AE81), 0)</f>
        <v>0</v>
      </c>
      <c r="AB30" s="207">
        <f>ROUND(N(data!AE82), 0)</f>
        <v>0</v>
      </c>
      <c r="AC30" s="207">
        <f>ROUND(N(data!AE83), 0)</f>
        <v>2210</v>
      </c>
      <c r="AD30" s="207">
        <f>ROUND(N(data!AE84), 0)</f>
        <v>0</v>
      </c>
      <c r="AE30" s="207">
        <f>ROUND(N(data!AE89), 0)</f>
        <v>4194766</v>
      </c>
      <c r="AF30" s="207">
        <f>ROUND(N(data!AE87), 0)</f>
        <v>174755</v>
      </c>
      <c r="AG30" s="207">
        <f>ROUND(N(data!AE90), 0)</f>
        <v>0</v>
      </c>
      <c r="AH30" s="207">
        <f>ROUND(N(data!AE91), 0)</f>
        <v>0</v>
      </c>
      <c r="AI30" s="207">
        <f>ROUND(N(data!AE92), 0)</f>
        <v>5755</v>
      </c>
      <c r="AJ30" s="207">
        <f>ROUND(N(data!AE93), 0)</f>
        <v>6805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140</v>
      </c>
      <c r="B31" s="209" t="str">
        <f>RIGHT(data!$C$96,4)</f>
        <v>2023</v>
      </c>
      <c r="C31" s="12" t="str">
        <f>data!AF$55</f>
        <v>7220</v>
      </c>
      <c r="D31" s="12" t="s">
        <v>1141</v>
      </c>
      <c r="E31" s="207">
        <f>ROUND(N(data!AF59), 0)</f>
        <v>0</v>
      </c>
      <c r="F31" s="315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5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140</v>
      </c>
      <c r="B32" s="209" t="str">
        <f>RIGHT(data!$C$96,4)</f>
        <v>2023</v>
      </c>
      <c r="C32" s="12" t="str">
        <f>data!AG$55</f>
        <v>7230</v>
      </c>
      <c r="D32" s="12" t="s">
        <v>1141</v>
      </c>
      <c r="E32" s="207">
        <f>ROUND(N(data!AG59), 0)</f>
        <v>17212</v>
      </c>
      <c r="F32" s="315">
        <f>ROUND(N(data!AG60), 2)</f>
        <v>28.74</v>
      </c>
      <c r="G32" s="207">
        <f>ROUND(N(data!AG61), 0)</f>
        <v>4674691</v>
      </c>
      <c r="H32" s="207">
        <f>ROUND(N(data!AG62), 0)</f>
        <v>1174809</v>
      </c>
      <c r="I32" s="207">
        <f>ROUND(N(data!AG63), 0)</f>
        <v>1203307</v>
      </c>
      <c r="J32" s="207">
        <f>ROUND(N(data!AG64), 0)</f>
        <v>353735</v>
      </c>
      <c r="K32" s="207">
        <f>ROUND(N(data!AG65), 0)</f>
        <v>0</v>
      </c>
      <c r="L32" s="207">
        <f>ROUND(N(data!AG66), 0)</f>
        <v>1155771</v>
      </c>
      <c r="M32" s="207">
        <f>ROUND(N(data!AG67), 0)</f>
        <v>254998</v>
      </c>
      <c r="N32" s="207">
        <f>ROUND(N(data!AG68), 0)</f>
        <v>0</v>
      </c>
      <c r="O32" s="207">
        <f>ROUND(N(data!AG69), 0)</f>
        <v>106004</v>
      </c>
      <c r="P32" s="207">
        <f>ROUND(N(data!AG70), 0)</f>
        <v>0</v>
      </c>
      <c r="Q32" s="207">
        <f>ROUND(N(data!AG71), 0)</f>
        <v>0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2037</v>
      </c>
      <c r="X32" s="207">
        <f>ROUND(N(data!AG78), 0)</f>
        <v>0</v>
      </c>
      <c r="Y32" s="207">
        <f>ROUND(N(data!AG79), 0)</f>
        <v>0</v>
      </c>
      <c r="Z32" s="207">
        <f>ROUND(N(data!AG80), 0)</f>
        <v>64701</v>
      </c>
      <c r="AA32" s="207">
        <f>ROUND(N(data!AG81), 0)</f>
        <v>0</v>
      </c>
      <c r="AB32" s="207">
        <f>ROUND(N(data!AG82), 0)</f>
        <v>0</v>
      </c>
      <c r="AC32" s="207">
        <f>ROUND(N(data!AG83), 0)</f>
        <v>39266</v>
      </c>
      <c r="AD32" s="207">
        <f>ROUND(N(data!AG84), 0)</f>
        <v>0</v>
      </c>
      <c r="AE32" s="207">
        <f>ROUND(N(data!AG89), 0)</f>
        <v>27702275</v>
      </c>
      <c r="AF32" s="207">
        <f>ROUND(N(data!AG87), 0)</f>
        <v>525347</v>
      </c>
      <c r="AG32" s="207">
        <f>ROUND(N(data!AG90), 0)</f>
        <v>5160</v>
      </c>
      <c r="AH32" s="207">
        <f>ROUND(N(data!AG91), 0)</f>
        <v>687</v>
      </c>
      <c r="AI32" s="207">
        <f>ROUND(N(data!AG92), 0)</f>
        <v>3696</v>
      </c>
      <c r="AJ32" s="207">
        <f>ROUND(N(data!AG93), 0)</f>
        <v>68837</v>
      </c>
      <c r="AK32" s="315">
        <f>ROUND(N(data!AG94), 2)</f>
        <v>22.93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140</v>
      </c>
      <c r="B33" s="209" t="str">
        <f>RIGHT(data!$C$96,4)</f>
        <v>2023</v>
      </c>
      <c r="C33" s="12" t="str">
        <f>data!AH$55</f>
        <v>7240</v>
      </c>
      <c r="D33" s="12" t="s">
        <v>1141</v>
      </c>
      <c r="E33" s="207">
        <f>ROUND(N(data!AH59), 0)</f>
        <v>0</v>
      </c>
      <c r="F33" s="315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140</v>
      </c>
      <c r="B34" s="209" t="str">
        <f>RIGHT(data!$C$96,4)</f>
        <v>2023</v>
      </c>
      <c r="C34" s="12" t="str">
        <f>data!AI$55</f>
        <v>7250</v>
      </c>
      <c r="D34" s="12" t="s">
        <v>1141</v>
      </c>
      <c r="E34" s="207">
        <f>ROUND(N(data!AI59), 0)</f>
        <v>0</v>
      </c>
      <c r="F34" s="315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5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140</v>
      </c>
      <c r="B35" s="209" t="str">
        <f>RIGHT(data!$C$96,4)</f>
        <v>2023</v>
      </c>
      <c r="C35" s="12" t="str">
        <f>data!AJ$55</f>
        <v>7260</v>
      </c>
      <c r="D35" s="12" t="s">
        <v>1141</v>
      </c>
      <c r="E35" s="207">
        <f>ROUND(N(data!AJ59), 0)</f>
        <v>86142</v>
      </c>
      <c r="F35" s="315">
        <f>ROUND(N(data!AJ60), 2)</f>
        <v>193.77</v>
      </c>
      <c r="G35" s="207">
        <f>ROUND(N(data!AJ61), 0)</f>
        <v>20807639</v>
      </c>
      <c r="H35" s="207">
        <f>ROUND(N(data!AJ62), 0)</f>
        <v>5229223</v>
      </c>
      <c r="I35" s="207">
        <f>ROUND(N(data!AJ63), 0)</f>
        <v>2357308</v>
      </c>
      <c r="J35" s="207">
        <f>ROUND(N(data!AJ64), 0)</f>
        <v>734747</v>
      </c>
      <c r="K35" s="207">
        <f>ROUND(N(data!AJ65), 0)</f>
        <v>255070</v>
      </c>
      <c r="L35" s="207">
        <f>ROUND(N(data!AJ66), 0)</f>
        <v>1655135</v>
      </c>
      <c r="M35" s="207">
        <f>ROUND(N(data!AJ67), 0)</f>
        <v>2400490</v>
      </c>
      <c r="N35" s="207">
        <f>ROUND(N(data!AJ68), 0)</f>
        <v>16402</v>
      </c>
      <c r="O35" s="207">
        <f>ROUND(N(data!AJ69), 0)</f>
        <v>849682</v>
      </c>
      <c r="P35" s="207">
        <f>ROUND(N(data!AJ70), 0)</f>
        <v>0</v>
      </c>
      <c r="Q35" s="207">
        <f>ROUND(N(data!AJ71), 0)</f>
        <v>0</v>
      </c>
      <c r="R35" s="207">
        <f>ROUND(N(data!AJ72), 0)</f>
        <v>0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457211</v>
      </c>
      <c r="X35" s="207">
        <f>ROUND(N(data!AJ78), 0)</f>
        <v>0</v>
      </c>
      <c r="Y35" s="207">
        <f>ROUND(N(data!AJ79), 0)</f>
        <v>0</v>
      </c>
      <c r="Z35" s="207">
        <f>ROUND(N(data!AJ80), 0)</f>
        <v>167867</v>
      </c>
      <c r="AA35" s="207">
        <f>ROUND(N(data!AJ81), 0)</f>
        <v>0</v>
      </c>
      <c r="AB35" s="207">
        <f>ROUND(N(data!AJ82), 0)</f>
        <v>0</v>
      </c>
      <c r="AC35" s="207">
        <f>ROUND(N(data!AJ83), 0)</f>
        <v>224604</v>
      </c>
      <c r="AD35" s="207">
        <f>ROUND(N(data!AJ84), 0)</f>
        <v>230216</v>
      </c>
      <c r="AE35" s="207">
        <f>ROUND(N(data!AJ89), 0)</f>
        <v>34421741</v>
      </c>
      <c r="AF35" s="207">
        <f>ROUND(N(data!AJ87), 0)</f>
        <v>1385392</v>
      </c>
      <c r="AG35" s="207">
        <f>ROUND(N(data!AJ90), 0)</f>
        <v>48575</v>
      </c>
      <c r="AH35" s="207">
        <f>ROUND(N(data!AJ91), 0)</f>
        <v>0</v>
      </c>
      <c r="AI35" s="207">
        <f>ROUND(N(data!AJ92), 0)</f>
        <v>40855</v>
      </c>
      <c r="AJ35" s="207">
        <f>ROUND(N(data!AJ93), 0)</f>
        <v>23681</v>
      </c>
      <c r="AK35" s="315">
        <f>ROUND(N(data!AJ94), 2)</f>
        <v>28.23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140</v>
      </c>
      <c r="B36" s="209" t="str">
        <f>RIGHT(data!$C$96,4)</f>
        <v>2023</v>
      </c>
      <c r="C36" s="12" t="str">
        <f>data!AK$55</f>
        <v>7310</v>
      </c>
      <c r="D36" s="12" t="s">
        <v>1141</v>
      </c>
      <c r="E36" s="207">
        <f>ROUND(N(data!AK59), 0)</f>
        <v>2466</v>
      </c>
      <c r="F36" s="315">
        <f>ROUND(N(data!AK60), 2)</f>
        <v>0</v>
      </c>
      <c r="G36" s="207">
        <f>ROUND(N(data!AK61), 0)</f>
        <v>0</v>
      </c>
      <c r="H36" s="207">
        <f>ROUND(N(data!AK62), 0)</f>
        <v>0</v>
      </c>
      <c r="I36" s="207">
        <f>ROUND(N(data!AK63), 0)</f>
        <v>0</v>
      </c>
      <c r="J36" s="207">
        <f>ROUND(N(data!AK64), 0)</f>
        <v>11929</v>
      </c>
      <c r="K36" s="207">
        <f>ROUND(N(data!AK65), 0)</f>
        <v>0</v>
      </c>
      <c r="L36" s="207">
        <f>ROUND(N(data!AK66), 0)</f>
        <v>217741</v>
      </c>
      <c r="M36" s="207">
        <f>ROUND(N(data!AK67), 0)</f>
        <v>0</v>
      </c>
      <c r="N36" s="207">
        <f>ROUND(N(data!AK68), 0)</f>
        <v>0</v>
      </c>
      <c r="O36" s="207">
        <f>ROUND(N(data!AK69), 0)</f>
        <v>473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473</v>
      </c>
      <c r="AD36" s="207">
        <f>ROUND(N(data!AK84), 0)</f>
        <v>0</v>
      </c>
      <c r="AE36" s="207">
        <f>ROUND(N(data!AK89), 0)</f>
        <v>749291</v>
      </c>
      <c r="AF36" s="207">
        <f>ROUND(N(data!AK87), 0)</f>
        <v>58923</v>
      </c>
      <c r="AG36" s="207">
        <f>ROUND(N(data!AK90), 0)</f>
        <v>0</v>
      </c>
      <c r="AH36" s="207">
        <f>ROUND(N(data!AK91), 0)</f>
        <v>0</v>
      </c>
      <c r="AI36" s="207">
        <f>ROUND(N(data!AK92), 0)</f>
        <v>1486</v>
      </c>
      <c r="AJ36" s="207">
        <f>ROUND(N(data!AK93), 0)</f>
        <v>4083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140</v>
      </c>
      <c r="B37" s="209" t="str">
        <f>RIGHT(data!$C$96,4)</f>
        <v>2023</v>
      </c>
      <c r="C37" s="12" t="str">
        <f>data!AL$55</f>
        <v>7320</v>
      </c>
      <c r="D37" s="12" t="s">
        <v>1141</v>
      </c>
      <c r="E37" s="207">
        <f>ROUND(N(data!AL59), 0)</f>
        <v>2068</v>
      </c>
      <c r="F37" s="315">
        <f>ROUND(N(data!AL60), 2)</f>
        <v>0.69</v>
      </c>
      <c r="G37" s="207">
        <f>ROUND(N(data!AL61), 0)</f>
        <v>65123</v>
      </c>
      <c r="H37" s="207">
        <f>ROUND(N(data!AL62), 0)</f>
        <v>16366</v>
      </c>
      <c r="I37" s="207">
        <f>ROUND(N(data!AL63), 0)</f>
        <v>5120</v>
      </c>
      <c r="J37" s="207">
        <f>ROUND(N(data!AL64), 0)</f>
        <v>3734</v>
      </c>
      <c r="K37" s="207">
        <f>ROUND(N(data!AL65), 0)</f>
        <v>0</v>
      </c>
      <c r="L37" s="207">
        <f>ROUND(N(data!AL66), 0)</f>
        <v>189179</v>
      </c>
      <c r="M37" s="207">
        <f>ROUND(N(data!AL67), 0)</f>
        <v>0</v>
      </c>
      <c r="N37" s="207">
        <f>ROUND(N(data!AL68), 0)</f>
        <v>0</v>
      </c>
      <c r="O37" s="207">
        <f>ROUND(N(data!AL69), 0)</f>
        <v>2184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2184</v>
      </c>
      <c r="AD37" s="207">
        <f>ROUND(N(data!AL84), 0)</f>
        <v>0</v>
      </c>
      <c r="AE37" s="207">
        <f>ROUND(N(data!AL89), 0)</f>
        <v>659739</v>
      </c>
      <c r="AF37" s="207">
        <f>ROUND(N(data!AL87), 0)</f>
        <v>32790</v>
      </c>
      <c r="AG37" s="207">
        <f>ROUND(N(data!AL90), 0)</f>
        <v>0</v>
      </c>
      <c r="AH37" s="207">
        <f>ROUND(N(data!AL91), 0)</f>
        <v>0</v>
      </c>
      <c r="AI37" s="207">
        <f>ROUND(N(data!AL92), 0)</f>
        <v>989</v>
      </c>
      <c r="AJ37" s="207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140</v>
      </c>
      <c r="B38" s="209" t="str">
        <f>RIGHT(data!$C$96,4)</f>
        <v>2023</v>
      </c>
      <c r="C38" s="12" t="str">
        <f>data!AM$55</f>
        <v>7330</v>
      </c>
      <c r="D38" s="12" t="s">
        <v>1141</v>
      </c>
      <c r="E38" s="207">
        <f>ROUND(N(data!AM59), 0)</f>
        <v>0</v>
      </c>
      <c r="F38" s="315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140</v>
      </c>
      <c r="B39" s="209" t="str">
        <f>RIGHT(data!$C$96,4)</f>
        <v>2023</v>
      </c>
      <c r="C39" s="12" t="str">
        <f>data!AN$55</f>
        <v>7340</v>
      </c>
      <c r="D39" s="12" t="s">
        <v>1141</v>
      </c>
      <c r="E39" s="207">
        <f>ROUND(N(data!AN59), 0)</f>
        <v>0</v>
      </c>
      <c r="F39" s="315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140</v>
      </c>
      <c r="B40" s="209" t="str">
        <f>RIGHT(data!$C$96,4)</f>
        <v>2023</v>
      </c>
      <c r="C40" s="12" t="str">
        <f>data!AO$55</f>
        <v>7350</v>
      </c>
      <c r="D40" s="12" t="s">
        <v>1141</v>
      </c>
      <c r="E40" s="207">
        <f>ROUND(N(data!AO59), 0)</f>
        <v>30960</v>
      </c>
      <c r="F40" s="315">
        <f>ROUND(N(data!AO60), 2)</f>
        <v>7.29</v>
      </c>
      <c r="G40" s="207">
        <f>ROUND(N(data!AO61), 0)</f>
        <v>677953</v>
      </c>
      <c r="H40" s="207">
        <f>ROUND(N(data!AO62), 0)</f>
        <v>170378</v>
      </c>
      <c r="I40" s="207">
        <f>ROUND(N(data!AO63), 0)</f>
        <v>289326</v>
      </c>
      <c r="J40" s="207">
        <f>ROUND(N(data!AO64), 0)</f>
        <v>46608</v>
      </c>
      <c r="K40" s="207">
        <f>ROUND(N(data!AO65), 0)</f>
        <v>0</v>
      </c>
      <c r="L40" s="207">
        <f>ROUND(N(data!AO66), 0)</f>
        <v>206848</v>
      </c>
      <c r="M40" s="207">
        <f>ROUND(N(data!AO67), 0)</f>
        <v>200094</v>
      </c>
      <c r="N40" s="207">
        <f>ROUND(N(data!AO68), 0)</f>
        <v>0</v>
      </c>
      <c r="O40" s="207">
        <f>ROUND(N(data!AO69), 0)</f>
        <v>8164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8164</v>
      </c>
      <c r="AD40" s="207">
        <f>ROUND(N(data!AO84), 0)</f>
        <v>0</v>
      </c>
      <c r="AE40" s="207">
        <f>ROUND(N(data!AO89), 0)</f>
        <v>5899917</v>
      </c>
      <c r="AF40" s="207">
        <f>ROUND(N(data!AO87), 0)</f>
        <v>63905</v>
      </c>
      <c r="AG40" s="207">
        <f>ROUND(N(data!AO90), 0)</f>
        <v>4049</v>
      </c>
      <c r="AH40" s="207">
        <f>ROUND(N(data!AO91), 0)</f>
        <v>3069</v>
      </c>
      <c r="AI40" s="207">
        <f>ROUND(N(data!AO92), 0)</f>
        <v>2900</v>
      </c>
      <c r="AJ40" s="207">
        <f>ROUND(N(data!AO93), 0)</f>
        <v>26325</v>
      </c>
      <c r="AK40" s="315">
        <f>ROUND(N(data!AO94), 2)</f>
        <v>7.27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140</v>
      </c>
      <c r="B41" s="209" t="str">
        <f>RIGHT(data!$C$96,4)</f>
        <v>2023</v>
      </c>
      <c r="C41" s="12" t="str">
        <f>data!AP$55</f>
        <v>7380</v>
      </c>
      <c r="D41" s="12" t="s">
        <v>1141</v>
      </c>
      <c r="E41" s="207">
        <f>ROUND(N(data!AP59), 0)</f>
        <v>0</v>
      </c>
      <c r="F41" s="315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5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140</v>
      </c>
      <c r="B42" s="209" t="str">
        <f>RIGHT(data!$C$96,4)</f>
        <v>2023</v>
      </c>
      <c r="C42" s="12" t="str">
        <f>data!AQ$55</f>
        <v>7390</v>
      </c>
      <c r="D42" s="12" t="s">
        <v>1141</v>
      </c>
      <c r="E42" s="207">
        <f>ROUND(N(data!AQ59), 0)</f>
        <v>0</v>
      </c>
      <c r="F42" s="315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140</v>
      </c>
      <c r="B43" s="209" t="str">
        <f>RIGHT(data!$C$96,4)</f>
        <v>2023</v>
      </c>
      <c r="C43" s="12" t="str">
        <f>data!AR$55</f>
        <v>7400</v>
      </c>
      <c r="D43" s="12" t="s">
        <v>1141</v>
      </c>
      <c r="E43" s="207">
        <f>ROUND(N(data!AR59), 0)</f>
        <v>14742</v>
      </c>
      <c r="F43" s="315">
        <f>ROUND(N(data!AR60), 2)</f>
        <v>20.89</v>
      </c>
      <c r="G43" s="207">
        <f>ROUND(N(data!AR61), 0)</f>
        <v>2011672</v>
      </c>
      <c r="H43" s="207">
        <f>ROUND(N(data!AR62), 0)</f>
        <v>505559</v>
      </c>
      <c r="I43" s="207">
        <f>ROUND(N(data!AR63), 0)</f>
        <v>0</v>
      </c>
      <c r="J43" s="207">
        <f>ROUND(N(data!AR64), 0)</f>
        <v>130925</v>
      </c>
      <c r="K43" s="207">
        <f>ROUND(N(data!AR65), 0)</f>
        <v>0</v>
      </c>
      <c r="L43" s="207">
        <f>ROUND(N(data!AR66), 0)</f>
        <v>468894</v>
      </c>
      <c r="M43" s="207">
        <f>ROUND(N(data!AR67), 0)</f>
        <v>68889</v>
      </c>
      <c r="N43" s="207">
        <f>ROUND(N(data!AR68), 0)</f>
        <v>55817</v>
      </c>
      <c r="O43" s="207">
        <f>ROUND(N(data!AR69), 0)</f>
        <v>89877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48</v>
      </c>
      <c r="X43" s="207">
        <f>ROUND(N(data!AR78), 0)</f>
        <v>0</v>
      </c>
      <c r="Y43" s="207">
        <f>ROUND(N(data!AR79), 0)</f>
        <v>0</v>
      </c>
      <c r="Z43" s="207">
        <f>ROUND(N(data!AR80), 0)</f>
        <v>1330</v>
      </c>
      <c r="AA43" s="207">
        <f>ROUND(N(data!AR81), 0)</f>
        <v>0</v>
      </c>
      <c r="AB43" s="207">
        <f>ROUND(N(data!AR82), 0)</f>
        <v>0</v>
      </c>
      <c r="AC43" s="207">
        <f>ROUND(N(data!AR83), 0)</f>
        <v>88499</v>
      </c>
      <c r="AD43" s="207">
        <f>ROUND(N(data!AR84), 0)</f>
        <v>0</v>
      </c>
      <c r="AE43" s="207">
        <f>ROUND(N(data!AR89), 0)</f>
        <v>3080197</v>
      </c>
      <c r="AF43" s="207">
        <f>ROUND(N(data!AR87), 0)</f>
        <v>0</v>
      </c>
      <c r="AG43" s="207">
        <f>ROUND(N(data!AR90), 0)</f>
        <v>1394</v>
      </c>
      <c r="AH43" s="207">
        <f>ROUND(N(data!AR91), 0)</f>
        <v>0</v>
      </c>
      <c r="AI43" s="207">
        <f>ROUND(N(data!AR92), 0)</f>
        <v>994</v>
      </c>
      <c r="AJ43" s="207">
        <f>ROUND(N(data!AR93), 0)</f>
        <v>3266</v>
      </c>
      <c r="AK43" s="315">
        <f>ROUND(N(data!AR94), 2)</f>
        <v>10.84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140</v>
      </c>
      <c r="B44" s="209" t="str">
        <f>RIGHT(data!$C$96,4)</f>
        <v>2023</v>
      </c>
      <c r="C44" s="12" t="str">
        <f>data!AS$55</f>
        <v>7410</v>
      </c>
      <c r="D44" s="12" t="s">
        <v>1141</v>
      </c>
      <c r="E44" s="207">
        <f>ROUND(N(data!AS59), 0)</f>
        <v>0</v>
      </c>
      <c r="F44" s="315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140</v>
      </c>
      <c r="B45" s="209" t="str">
        <f>RIGHT(data!$C$96,4)</f>
        <v>2023</v>
      </c>
      <c r="C45" s="12" t="str">
        <f>data!AT$55</f>
        <v>7420</v>
      </c>
      <c r="D45" s="12" t="s">
        <v>1141</v>
      </c>
      <c r="E45" s="207">
        <f>ROUND(N(data!AT59), 0)</f>
        <v>0</v>
      </c>
      <c r="F45" s="315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140</v>
      </c>
      <c r="B46" s="209" t="str">
        <f>RIGHT(data!$C$96,4)</f>
        <v>2023</v>
      </c>
      <c r="C46" s="12" t="str">
        <f>data!AU$55</f>
        <v>7430</v>
      </c>
      <c r="D46" s="12" t="s">
        <v>1141</v>
      </c>
      <c r="E46" s="207">
        <f>ROUND(N(data!AU59), 0)</f>
        <v>0</v>
      </c>
      <c r="F46" s="315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140</v>
      </c>
      <c r="B47" s="209" t="str">
        <f>RIGHT(data!$C$96,4)</f>
        <v>2023</v>
      </c>
      <c r="C47" s="12" t="str">
        <f>data!AV$55</f>
        <v>7490</v>
      </c>
      <c r="D47" s="12" t="s">
        <v>1141</v>
      </c>
      <c r="E47" s="207">
        <f>ROUND(N(data!AV59), 0)</f>
        <v>0</v>
      </c>
      <c r="F47" s="315">
        <f>ROUND(N(data!AV60), 2)</f>
        <v>0</v>
      </c>
      <c r="G47" s="207">
        <f>ROUND(N(data!AV61), 0)</f>
        <v>0</v>
      </c>
      <c r="H47" s="207">
        <f>ROUND(N(data!AV62), 0)</f>
        <v>0</v>
      </c>
      <c r="I47" s="207">
        <f>ROUND(N(data!AV63), 0)</f>
        <v>0</v>
      </c>
      <c r="J47" s="207">
        <f>ROUND(N(data!AV64), 0)</f>
        <v>0</v>
      </c>
      <c r="K47" s="207">
        <f>ROUND(N(data!AV65), 0)</f>
        <v>0</v>
      </c>
      <c r="L47" s="207">
        <f>ROUND(N(data!AV66), 0)</f>
        <v>0</v>
      </c>
      <c r="M47" s="207">
        <f>ROUND(N(data!AV67), 0)</f>
        <v>0</v>
      </c>
      <c r="N47" s="207">
        <f>ROUND(N(data!AV68), 0)</f>
        <v>0</v>
      </c>
      <c r="O47" s="207">
        <f>ROUND(N(data!AV69), 0)</f>
        <v>0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0</v>
      </c>
      <c r="AD47" s="207">
        <f>ROUND(N(data!AV84), 0)</f>
        <v>0</v>
      </c>
      <c r="AE47" s="207">
        <f>ROUND(N(data!AV89), 0)</f>
        <v>0</v>
      </c>
      <c r="AF47" s="207">
        <f>ROUND(N(data!AV87), 0)</f>
        <v>0</v>
      </c>
      <c r="AG47" s="207">
        <f>ROUND(N(data!AV90), 0)</f>
        <v>0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15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140</v>
      </c>
      <c r="B48" s="209" t="str">
        <f>RIGHT(data!$C$96,4)</f>
        <v>2023</v>
      </c>
      <c r="C48" s="12" t="str">
        <f>data!AW$55</f>
        <v>8200</v>
      </c>
      <c r="D48" s="12" t="s">
        <v>1141</v>
      </c>
      <c r="E48" s="207">
        <f>ROUND(N(data!AW59), 0)</f>
        <v>0</v>
      </c>
      <c r="F48" s="315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140</v>
      </c>
      <c r="B49" s="209" t="str">
        <f>RIGHT(data!$C$96,4)</f>
        <v>2023</v>
      </c>
      <c r="C49" s="12" t="str">
        <f>data!AX$55</f>
        <v>8310</v>
      </c>
      <c r="D49" s="12" t="s">
        <v>1141</v>
      </c>
      <c r="E49" s="207">
        <f>ROUND(N(data!AX59), 0)</f>
        <v>0</v>
      </c>
      <c r="F49" s="315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140</v>
      </c>
      <c r="B50" s="209" t="str">
        <f>RIGHT(data!$C$96,4)</f>
        <v>2023</v>
      </c>
      <c r="C50" s="12" t="str">
        <f>data!AY$55</f>
        <v>8320</v>
      </c>
      <c r="D50" s="12" t="s">
        <v>1141</v>
      </c>
      <c r="E50" s="207">
        <f>ROUND(N(data!AY59), 0)</f>
        <v>14485</v>
      </c>
      <c r="F50" s="315">
        <f>ROUND(N(data!AY60), 2)</f>
        <v>13.41</v>
      </c>
      <c r="G50" s="207">
        <f>ROUND(N(data!AY61), 0)</f>
        <v>761633</v>
      </c>
      <c r="H50" s="207">
        <f>ROUND(N(data!AY62), 0)</f>
        <v>191408</v>
      </c>
      <c r="I50" s="207">
        <f>ROUND(N(data!AY63), 0)</f>
        <v>216</v>
      </c>
      <c r="J50" s="207">
        <f>ROUND(N(data!AY64), 0)</f>
        <v>411676</v>
      </c>
      <c r="K50" s="207">
        <f>ROUND(N(data!AY65), 0)</f>
        <v>0</v>
      </c>
      <c r="L50" s="207">
        <f>ROUND(N(data!AY66), 0)</f>
        <v>5655</v>
      </c>
      <c r="M50" s="207">
        <f>ROUND(N(data!AY67), 0)</f>
        <v>131107</v>
      </c>
      <c r="N50" s="207">
        <f>ROUND(N(data!AY68), 0)</f>
        <v>1567</v>
      </c>
      <c r="O50" s="207">
        <f>ROUND(N(data!AY69), 0)</f>
        <v>28103</v>
      </c>
      <c r="P50" s="207">
        <f>ROUND(N(data!AY70), 0)</f>
        <v>0</v>
      </c>
      <c r="Q50" s="207">
        <f>ROUND(N(data!AY71), 0)</f>
        <v>0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24137</v>
      </c>
      <c r="X50" s="207">
        <f>ROUND(N(data!AY78), 0)</f>
        <v>0</v>
      </c>
      <c r="Y50" s="207">
        <f>ROUND(N(data!AY79), 0)</f>
        <v>0</v>
      </c>
      <c r="Z50" s="207">
        <f>ROUND(N(data!AY80), 0)</f>
        <v>2105</v>
      </c>
      <c r="AA50" s="207">
        <f>ROUND(N(data!AY81), 0)</f>
        <v>0</v>
      </c>
      <c r="AB50" s="207">
        <f>ROUND(N(data!AY82), 0)</f>
        <v>0</v>
      </c>
      <c r="AC50" s="207">
        <f>ROUND(N(data!AY83), 0)</f>
        <v>1861</v>
      </c>
      <c r="AD50" s="207">
        <f>ROUND(N(data!AY84), 0)</f>
        <v>390678</v>
      </c>
      <c r="AE50" s="207">
        <f>ROUND(N(data!AY89), 0)</f>
        <v>0</v>
      </c>
      <c r="AF50" s="207">
        <f>ROUND(N(data!AY87), 0)</f>
        <v>0</v>
      </c>
      <c r="AG50" s="207">
        <f>ROUND(N(data!AY90), 0)</f>
        <v>2653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140</v>
      </c>
      <c r="B51" s="209" t="str">
        <f>RIGHT(data!$C$96,4)</f>
        <v>2023</v>
      </c>
      <c r="C51" s="12" t="str">
        <f>data!AZ$55</f>
        <v>8330</v>
      </c>
      <c r="D51" s="12" t="s">
        <v>1141</v>
      </c>
      <c r="E51" s="207">
        <f>ROUND(N(data!AZ59), 0)</f>
        <v>0</v>
      </c>
      <c r="F51" s="315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84604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1712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140</v>
      </c>
      <c r="B52" s="209" t="str">
        <f>RIGHT(data!$C$96,4)</f>
        <v>2023</v>
      </c>
      <c r="C52" s="12" t="str">
        <f>data!BA$55</f>
        <v>8350</v>
      </c>
      <c r="D52" s="12" t="s">
        <v>1141</v>
      </c>
      <c r="E52" s="207">
        <f>ROUND(N(data!BA59), 0)</f>
        <v>0</v>
      </c>
      <c r="F52" s="315">
        <f>ROUND(N(data!BA60), 2)</f>
        <v>3.1</v>
      </c>
      <c r="G52" s="207">
        <f>ROUND(N(data!BA61), 0)</f>
        <v>166697</v>
      </c>
      <c r="H52" s="207">
        <f>ROUND(N(data!BA62), 0)</f>
        <v>41893</v>
      </c>
      <c r="I52" s="207">
        <f>ROUND(N(data!BA63), 0)</f>
        <v>0</v>
      </c>
      <c r="J52" s="207">
        <f>ROUND(N(data!BA64), 0)</f>
        <v>10</v>
      </c>
      <c r="K52" s="207">
        <f>ROUND(N(data!BA65), 0)</f>
        <v>0</v>
      </c>
      <c r="L52" s="207">
        <f>ROUND(N(data!BA66), 0)</f>
        <v>5256</v>
      </c>
      <c r="M52" s="207">
        <f>ROUND(N(data!BA67), 0)</f>
        <v>42253</v>
      </c>
      <c r="N52" s="207">
        <f>ROUND(N(data!BA68), 0)</f>
        <v>0</v>
      </c>
      <c r="O52" s="207">
        <f>ROUND(N(data!BA69), 0)</f>
        <v>2595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2595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855</v>
      </c>
      <c r="AH52" s="207">
        <f>ROUND(N(data!BA91), 0)</f>
        <v>0</v>
      </c>
      <c r="AI52" s="207">
        <f>ROUND(N(data!BA92), 0)</f>
        <v>0</v>
      </c>
      <c r="AJ52" s="207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140</v>
      </c>
      <c r="B53" s="209" t="str">
        <f>RIGHT(data!$C$96,4)</f>
        <v>2023</v>
      </c>
      <c r="C53" s="12" t="str">
        <f>data!BB$55</f>
        <v>8360</v>
      </c>
      <c r="D53" s="12" t="s">
        <v>1141</v>
      </c>
      <c r="E53" s="207">
        <f>ROUND(N(data!BB59), 0)</f>
        <v>0</v>
      </c>
      <c r="F53" s="315">
        <f>ROUND(N(data!BB60), 2)</f>
        <v>1.84</v>
      </c>
      <c r="G53" s="207">
        <f>ROUND(N(data!BB61), 0)</f>
        <v>151462</v>
      </c>
      <c r="H53" s="207">
        <f>ROUND(N(data!BB62), 0)</f>
        <v>38064</v>
      </c>
      <c r="I53" s="207">
        <f>ROUND(N(data!BB63), 0)</f>
        <v>0</v>
      </c>
      <c r="J53" s="207">
        <f>ROUND(N(data!BB64), 0)</f>
        <v>302</v>
      </c>
      <c r="K53" s="207">
        <f>ROUND(N(data!BB65), 0)</f>
        <v>0</v>
      </c>
      <c r="L53" s="207">
        <f>ROUND(N(data!BB66), 0)</f>
        <v>7467</v>
      </c>
      <c r="M53" s="207">
        <f>ROUND(N(data!BB67), 0)</f>
        <v>10674</v>
      </c>
      <c r="N53" s="207">
        <f>ROUND(N(data!BB68), 0)</f>
        <v>0</v>
      </c>
      <c r="O53" s="207">
        <f>ROUND(N(data!BB69), 0)</f>
        <v>69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69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216</v>
      </c>
      <c r="AH53" s="207">
        <f>ROUND(N(data!BB91), 0)</f>
        <v>0</v>
      </c>
      <c r="AI53" s="207">
        <f>ROUND(N(data!BB92), 0)</f>
        <v>156</v>
      </c>
      <c r="AJ53" s="207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140</v>
      </c>
      <c r="B54" s="209" t="str">
        <f>RIGHT(data!$C$96,4)</f>
        <v>2023</v>
      </c>
      <c r="C54" s="12" t="str">
        <f>data!BC$55</f>
        <v>8370</v>
      </c>
      <c r="D54" s="12" t="s">
        <v>1141</v>
      </c>
      <c r="E54" s="207">
        <f>ROUND(N(data!BC59), 0)</f>
        <v>0</v>
      </c>
      <c r="F54" s="315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140</v>
      </c>
      <c r="B55" s="209" t="str">
        <f>RIGHT(data!$C$96,4)</f>
        <v>2023</v>
      </c>
      <c r="C55" s="12" t="str">
        <f>data!BD$55</f>
        <v>8420</v>
      </c>
      <c r="D55" s="12" t="s">
        <v>1141</v>
      </c>
      <c r="E55" s="207">
        <f>ROUND(N(data!BD59), 0)</f>
        <v>0</v>
      </c>
      <c r="F55" s="315">
        <f>ROUND(N(data!BD60), 2)</f>
        <v>5.75</v>
      </c>
      <c r="G55" s="207">
        <f>ROUND(N(data!BD61), 0)</f>
        <v>320060</v>
      </c>
      <c r="H55" s="207">
        <f>ROUND(N(data!BD62), 0)</f>
        <v>80435</v>
      </c>
      <c r="I55" s="207">
        <f>ROUND(N(data!BD63), 0)</f>
        <v>0</v>
      </c>
      <c r="J55" s="207">
        <f>ROUND(N(data!BD64), 0)</f>
        <v>-13186</v>
      </c>
      <c r="K55" s="207">
        <f>ROUND(N(data!BD65), 0)</f>
        <v>0</v>
      </c>
      <c r="L55" s="207">
        <f>ROUND(N(data!BD66), 0)</f>
        <v>169239</v>
      </c>
      <c r="M55" s="207">
        <f>ROUND(N(data!BD67), 0)</f>
        <v>154976</v>
      </c>
      <c r="N55" s="207">
        <f>ROUND(N(data!BD68), 0)</f>
        <v>0</v>
      </c>
      <c r="O55" s="207">
        <f>ROUND(N(data!BD69), 0)</f>
        <v>140051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5291</v>
      </c>
      <c r="AA55" s="207">
        <f>ROUND(N(data!BD81), 0)</f>
        <v>0</v>
      </c>
      <c r="AB55" s="207">
        <f>ROUND(N(data!BD82), 0)</f>
        <v>0</v>
      </c>
      <c r="AC55" s="207">
        <f>ROUND(N(data!BD83), 0)</f>
        <v>134760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3136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140</v>
      </c>
      <c r="B56" s="209" t="str">
        <f>RIGHT(data!$C$96,4)</f>
        <v>2023</v>
      </c>
      <c r="C56" s="12" t="str">
        <f>data!BE$55</f>
        <v>8430</v>
      </c>
      <c r="D56" s="12" t="s">
        <v>1141</v>
      </c>
      <c r="E56" s="207">
        <f>ROUND(N(data!BE59), 0)</f>
        <v>145989</v>
      </c>
      <c r="F56" s="315">
        <f>ROUND(N(data!BE60), 2)</f>
        <v>9.5</v>
      </c>
      <c r="G56" s="207">
        <f>ROUND(N(data!BE61), 0)</f>
        <v>749670</v>
      </c>
      <c r="H56" s="207">
        <f>ROUND(N(data!BE62), 0)</f>
        <v>188402</v>
      </c>
      <c r="I56" s="207">
        <f>ROUND(N(data!BE63), 0)</f>
        <v>8</v>
      </c>
      <c r="J56" s="207">
        <f>ROUND(N(data!BE64), 0)</f>
        <v>66923</v>
      </c>
      <c r="K56" s="207">
        <f>ROUND(N(data!BE65), 0)</f>
        <v>677458</v>
      </c>
      <c r="L56" s="207">
        <f>ROUND(N(data!BE66), 0)</f>
        <v>450224</v>
      </c>
      <c r="M56" s="207">
        <f>ROUND(N(data!BE67), 0)</f>
        <v>175978</v>
      </c>
      <c r="N56" s="207">
        <f>ROUND(N(data!BE68), 0)</f>
        <v>3637</v>
      </c>
      <c r="O56" s="207">
        <f>ROUND(N(data!BE69), 0)</f>
        <v>831334</v>
      </c>
      <c r="P56" s="207">
        <f>ROUND(N(data!BE70), 0)</f>
        <v>0</v>
      </c>
      <c r="Q56" s="207">
        <f>ROUND(N(data!BE71), 0)</f>
        <v>0</v>
      </c>
      <c r="R56" s="207">
        <f>ROUND(N(data!BE72), 0)</f>
        <v>0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811765</v>
      </c>
      <c r="X56" s="207">
        <f>ROUND(N(data!BE78), 0)</f>
        <v>0</v>
      </c>
      <c r="Y56" s="207">
        <f>ROUND(N(data!BE79), 0)</f>
        <v>0</v>
      </c>
      <c r="Z56" s="207">
        <f>ROUND(N(data!BE80), 0)</f>
        <v>7486</v>
      </c>
      <c r="AA56" s="207">
        <f>ROUND(N(data!BE81), 0)</f>
        <v>0</v>
      </c>
      <c r="AB56" s="207">
        <f>ROUND(N(data!BE82), 0)</f>
        <v>0</v>
      </c>
      <c r="AC56" s="207">
        <f>ROUND(N(data!BE83), 0)</f>
        <v>12083</v>
      </c>
      <c r="AD56" s="207">
        <f>ROUND(N(data!BE84), 0)</f>
        <v>0</v>
      </c>
      <c r="AE56" s="207">
        <f>ROUND(N(data!BE89), 0)</f>
        <v>0</v>
      </c>
      <c r="AF56" s="207">
        <f>ROUND(N(data!BE87), 0)</f>
        <v>0</v>
      </c>
      <c r="AG56" s="207">
        <f>ROUND(N(data!BE90), 0)</f>
        <v>3561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140</v>
      </c>
      <c r="B57" s="209" t="str">
        <f>RIGHT(data!$C$96,4)</f>
        <v>2023</v>
      </c>
      <c r="C57" s="12" t="str">
        <f>data!BF$55</f>
        <v>8460</v>
      </c>
      <c r="D57" s="12" t="s">
        <v>1141</v>
      </c>
      <c r="E57" s="207">
        <f>ROUND(N(data!BF59), 0)</f>
        <v>0</v>
      </c>
      <c r="F57" s="315">
        <f>ROUND(N(data!BF60), 2)</f>
        <v>24.25</v>
      </c>
      <c r="G57" s="207">
        <f>ROUND(N(data!BF61), 0)</f>
        <v>1135398</v>
      </c>
      <c r="H57" s="207">
        <f>ROUND(N(data!BF62), 0)</f>
        <v>285340</v>
      </c>
      <c r="I57" s="207">
        <f>ROUND(N(data!BF63), 0)</f>
        <v>0</v>
      </c>
      <c r="J57" s="207">
        <f>ROUND(N(data!BF64), 0)</f>
        <v>317652</v>
      </c>
      <c r="K57" s="207">
        <f>ROUND(N(data!BF65), 0)</f>
        <v>0</v>
      </c>
      <c r="L57" s="207">
        <f>ROUND(N(data!BF66), 0)</f>
        <v>60583</v>
      </c>
      <c r="M57" s="207">
        <f>ROUND(N(data!BF67), 0)</f>
        <v>16950</v>
      </c>
      <c r="N57" s="207">
        <f>ROUND(N(data!BF68), 0)</f>
        <v>0</v>
      </c>
      <c r="O57" s="207">
        <f>ROUND(N(data!BF69), 0)</f>
        <v>11692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8892</v>
      </c>
      <c r="X57" s="207">
        <f>ROUND(N(data!BF78), 0)</f>
        <v>0</v>
      </c>
      <c r="Y57" s="207">
        <f>ROUND(N(data!BF79), 0)</f>
        <v>0</v>
      </c>
      <c r="Z57" s="207">
        <f>ROUND(N(data!BF80), 0)</f>
        <v>617</v>
      </c>
      <c r="AA57" s="207">
        <f>ROUND(N(data!BF81), 0)</f>
        <v>0</v>
      </c>
      <c r="AB57" s="207">
        <f>ROUND(N(data!BF82), 0)</f>
        <v>0</v>
      </c>
      <c r="AC57" s="207">
        <f>ROUND(N(data!BF83), 0)</f>
        <v>2183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343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140</v>
      </c>
      <c r="B58" s="209" t="str">
        <f>RIGHT(data!$C$96,4)</f>
        <v>2023</v>
      </c>
      <c r="C58" s="12" t="str">
        <f>data!BG$55</f>
        <v>8470</v>
      </c>
      <c r="D58" s="12" t="s">
        <v>1141</v>
      </c>
      <c r="E58" s="207">
        <f>ROUND(N(data!BG59), 0)</f>
        <v>0</v>
      </c>
      <c r="F58" s="315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0</v>
      </c>
      <c r="M58" s="207">
        <f>ROUND(N(data!BG67), 0)</f>
        <v>0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140</v>
      </c>
      <c r="B59" s="209" t="str">
        <f>RIGHT(data!$C$96,4)</f>
        <v>2023</v>
      </c>
      <c r="C59" s="12" t="str">
        <f>data!BH$55</f>
        <v>8480</v>
      </c>
      <c r="D59" s="12" t="s">
        <v>1141</v>
      </c>
      <c r="E59" s="207">
        <f>ROUND(N(data!BH59), 0)</f>
        <v>0</v>
      </c>
      <c r="F59" s="315">
        <f>ROUND(N(data!BH60), 2)</f>
        <v>18.8</v>
      </c>
      <c r="G59" s="207">
        <f>ROUND(N(data!BH61), 0)</f>
        <v>1992398</v>
      </c>
      <c r="H59" s="207">
        <f>ROUND(N(data!BH62), 0)</f>
        <v>500715</v>
      </c>
      <c r="I59" s="207">
        <f>ROUND(N(data!BH63), 0)</f>
        <v>0</v>
      </c>
      <c r="J59" s="207">
        <f>ROUND(N(data!BH64), 0)</f>
        <v>473437</v>
      </c>
      <c r="K59" s="207">
        <f>ROUND(N(data!BH65), 0)</f>
        <v>421181</v>
      </c>
      <c r="L59" s="207">
        <f>ROUND(N(data!BH66), 0)</f>
        <v>2289371</v>
      </c>
      <c r="M59" s="207">
        <f>ROUND(N(data!BH67), 0)</f>
        <v>170789</v>
      </c>
      <c r="N59" s="207">
        <f>ROUND(N(data!BH68), 0)</f>
        <v>0</v>
      </c>
      <c r="O59" s="207">
        <f>ROUND(N(data!BH69), 0)</f>
        <v>189778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173751</v>
      </c>
      <c r="X59" s="207">
        <f>ROUND(N(data!BH78), 0)</f>
        <v>0</v>
      </c>
      <c r="Y59" s="207">
        <f>ROUND(N(data!BH79), 0)</f>
        <v>0</v>
      </c>
      <c r="Z59" s="207">
        <f>ROUND(N(data!BH80), 0)</f>
        <v>15168</v>
      </c>
      <c r="AA59" s="207">
        <f>ROUND(N(data!BH81), 0)</f>
        <v>0</v>
      </c>
      <c r="AB59" s="207">
        <f>ROUND(N(data!BH82), 0)</f>
        <v>0</v>
      </c>
      <c r="AC59" s="207">
        <f>ROUND(N(data!BH83), 0)</f>
        <v>859</v>
      </c>
      <c r="AD59" s="207">
        <f>ROUND(N(data!BH84), 0)</f>
        <v>30119</v>
      </c>
      <c r="AE59" s="207">
        <f>ROUND(N(data!BH89), 0)</f>
        <v>0</v>
      </c>
      <c r="AF59" s="207">
        <f>ROUND(N(data!BH87), 0)</f>
        <v>0</v>
      </c>
      <c r="AG59" s="207">
        <f>ROUND(N(data!BH90), 0)</f>
        <v>3456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140</v>
      </c>
      <c r="B60" s="209" t="str">
        <f>RIGHT(data!$C$96,4)</f>
        <v>2023</v>
      </c>
      <c r="C60" s="12" t="str">
        <f>data!BI$55</f>
        <v>8490</v>
      </c>
      <c r="D60" s="12" t="s">
        <v>1141</v>
      </c>
      <c r="E60" s="207">
        <f>ROUND(N(data!BI59), 0)</f>
        <v>0</v>
      </c>
      <c r="F60" s="315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24907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504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140</v>
      </c>
      <c r="B61" s="209" t="str">
        <f>RIGHT(data!$C$96,4)</f>
        <v>2023</v>
      </c>
      <c r="C61" s="12" t="str">
        <f>data!BJ$55</f>
        <v>8510</v>
      </c>
      <c r="D61" s="12" t="s">
        <v>1141</v>
      </c>
      <c r="E61" s="207">
        <f>ROUND(N(data!BJ59), 0)</f>
        <v>0</v>
      </c>
      <c r="F61" s="315">
        <f>ROUND(N(data!BJ60), 2)</f>
        <v>8.02</v>
      </c>
      <c r="G61" s="207">
        <f>ROUND(N(data!BJ61), 0)</f>
        <v>727548</v>
      </c>
      <c r="H61" s="207">
        <f>ROUND(N(data!BJ62), 0)</f>
        <v>182842</v>
      </c>
      <c r="I61" s="207">
        <f>ROUND(N(data!BJ63), 0)</f>
        <v>89652</v>
      </c>
      <c r="J61" s="207">
        <f>ROUND(N(data!BJ64), 0)</f>
        <v>10177</v>
      </c>
      <c r="K61" s="207">
        <f>ROUND(N(data!BJ65), 0)</f>
        <v>0</v>
      </c>
      <c r="L61" s="207">
        <f>ROUND(N(data!BJ66), 0)</f>
        <v>352920</v>
      </c>
      <c r="M61" s="207">
        <f>ROUND(N(data!BJ67), 0)</f>
        <v>0</v>
      </c>
      <c r="N61" s="207">
        <f>ROUND(N(data!BJ68), 0)</f>
        <v>0</v>
      </c>
      <c r="O61" s="207">
        <f>ROUND(N(data!BJ69), 0)</f>
        <v>6911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5586</v>
      </c>
      <c r="AA61" s="207">
        <f>ROUND(N(data!BJ81), 0)</f>
        <v>0</v>
      </c>
      <c r="AB61" s="207">
        <f>ROUND(N(data!BJ82), 0)</f>
        <v>0</v>
      </c>
      <c r="AC61" s="207">
        <f>ROUND(N(data!BJ83), 0)</f>
        <v>1325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140</v>
      </c>
      <c r="B62" s="209" t="str">
        <f>RIGHT(data!$C$96,4)</f>
        <v>2023</v>
      </c>
      <c r="C62" s="12" t="str">
        <f>data!BK$55</f>
        <v>8530</v>
      </c>
      <c r="D62" s="12" t="s">
        <v>1141</v>
      </c>
      <c r="E62" s="207">
        <f>ROUND(N(data!BK59), 0)</f>
        <v>0</v>
      </c>
      <c r="F62" s="315">
        <f>ROUND(N(data!BK60), 2)</f>
        <v>41.02</v>
      </c>
      <c r="G62" s="207">
        <f>ROUND(N(data!BK61), 0)</f>
        <v>2375716</v>
      </c>
      <c r="H62" s="207">
        <f>ROUND(N(data!BK62), 0)</f>
        <v>597047</v>
      </c>
      <c r="I62" s="207">
        <f>ROUND(N(data!BK63), 0)</f>
        <v>15600</v>
      </c>
      <c r="J62" s="207">
        <f>ROUND(N(data!BK64), 0)</f>
        <v>30398</v>
      </c>
      <c r="K62" s="207">
        <f>ROUND(N(data!BK65), 0)</f>
        <v>0</v>
      </c>
      <c r="L62" s="207">
        <f>ROUND(N(data!BK66), 0)</f>
        <v>978260</v>
      </c>
      <c r="M62" s="207">
        <f>ROUND(N(data!BK67), 0)</f>
        <v>334314</v>
      </c>
      <c r="N62" s="207">
        <f>ROUND(N(data!BK68), 0)</f>
        <v>6322</v>
      </c>
      <c r="O62" s="207">
        <f>ROUND(N(data!BK69), 0)</f>
        <v>9524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5977</v>
      </c>
      <c r="AA62" s="207">
        <f>ROUND(N(data!BK81), 0)</f>
        <v>0</v>
      </c>
      <c r="AB62" s="207">
        <f>ROUND(N(data!BK82), 0)</f>
        <v>0</v>
      </c>
      <c r="AC62" s="207">
        <f>ROUND(N(data!BK83), 0)</f>
        <v>3547</v>
      </c>
      <c r="AD62" s="207">
        <f>ROUND(N(data!BK84), 0)</f>
        <v>5552</v>
      </c>
      <c r="AE62" s="207">
        <f>ROUND(N(data!BK89), 0)</f>
        <v>0</v>
      </c>
      <c r="AF62" s="207">
        <f>ROUND(N(data!BK87), 0)</f>
        <v>0</v>
      </c>
      <c r="AG62" s="207">
        <f>ROUND(N(data!BK90), 0)</f>
        <v>6765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140</v>
      </c>
      <c r="B63" s="209" t="str">
        <f>RIGHT(data!$C$96,4)</f>
        <v>2023</v>
      </c>
      <c r="C63" s="12" t="str">
        <f>data!BL$55</f>
        <v>8560</v>
      </c>
      <c r="D63" s="12" t="s">
        <v>1141</v>
      </c>
      <c r="E63" s="207">
        <f>ROUND(N(data!BL59), 0)</f>
        <v>0</v>
      </c>
      <c r="F63" s="315">
        <f>ROUND(N(data!BL60), 2)</f>
        <v>0</v>
      </c>
      <c r="G63" s="207">
        <f>ROUND(N(data!BL61), 0)</f>
        <v>0</v>
      </c>
      <c r="H63" s="207">
        <f>ROUND(N(data!BL62), 0)</f>
        <v>0</v>
      </c>
      <c r="I63" s="207">
        <f>ROUND(N(data!BL63), 0)</f>
        <v>0</v>
      </c>
      <c r="J63" s="207">
        <f>ROUND(N(data!BL64), 0)</f>
        <v>0</v>
      </c>
      <c r="K63" s="207">
        <f>ROUND(N(data!BL65), 0)</f>
        <v>0</v>
      </c>
      <c r="L63" s="207">
        <f>ROUND(N(data!BL66), 0)</f>
        <v>0</v>
      </c>
      <c r="M63" s="207">
        <f>ROUND(N(data!BL67), 0)</f>
        <v>0</v>
      </c>
      <c r="N63" s="207">
        <f>ROUND(N(data!BL68), 0)</f>
        <v>0</v>
      </c>
      <c r="O63" s="207">
        <f>ROUND(N(data!BL69), 0)</f>
        <v>0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0</v>
      </c>
      <c r="AH63" s="207">
        <f>ROUND(N(data!BL91), 0)</f>
        <v>0</v>
      </c>
      <c r="AI63" s="207">
        <f>ROUND(N(data!BL92), 0)</f>
        <v>0</v>
      </c>
      <c r="AJ63" s="207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140</v>
      </c>
      <c r="B64" s="209" t="str">
        <f>RIGHT(data!$C$96,4)</f>
        <v>2023</v>
      </c>
      <c r="C64" s="12" t="str">
        <f>data!BM$55</f>
        <v>8590</v>
      </c>
      <c r="D64" s="12" t="s">
        <v>1141</v>
      </c>
      <c r="E64" s="207">
        <f>ROUND(N(data!BM59), 0)</f>
        <v>0</v>
      </c>
      <c r="F64" s="315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140</v>
      </c>
      <c r="B65" s="209" t="str">
        <f>RIGHT(data!$C$96,4)</f>
        <v>2023</v>
      </c>
      <c r="C65" s="12" t="str">
        <f>data!BN$55</f>
        <v>8610</v>
      </c>
      <c r="D65" s="12" t="s">
        <v>1141</v>
      </c>
      <c r="E65" s="207">
        <f>ROUND(N(data!BN59), 0)</f>
        <v>0</v>
      </c>
      <c r="F65" s="315">
        <f>ROUND(N(data!BN60), 2)</f>
        <v>7.16</v>
      </c>
      <c r="G65" s="207">
        <f>ROUND(N(data!BN61), 0)</f>
        <v>1315419</v>
      </c>
      <c r="H65" s="207">
        <f>ROUND(N(data!BN62), 0)</f>
        <v>330581</v>
      </c>
      <c r="I65" s="207">
        <f>ROUND(N(data!BN63), 0)</f>
        <v>141385</v>
      </c>
      <c r="J65" s="207">
        <f>ROUND(N(data!BN64), 0)</f>
        <v>13840</v>
      </c>
      <c r="K65" s="207">
        <f>ROUND(N(data!BN65), 0)</f>
        <v>-1</v>
      </c>
      <c r="L65" s="207">
        <f>ROUND(N(data!BN66), 0)</f>
        <v>71187</v>
      </c>
      <c r="M65" s="207">
        <f>ROUND(N(data!BN67), 0)</f>
        <v>792915</v>
      </c>
      <c r="N65" s="207">
        <f>ROUND(N(data!BN68), 0)</f>
        <v>0</v>
      </c>
      <c r="O65" s="207">
        <f>ROUND(N(data!BN69), 0)</f>
        <v>231047</v>
      </c>
      <c r="P65" s="207">
        <f>ROUND(N(data!BN70), 0)</f>
        <v>0</v>
      </c>
      <c r="Q65" s="207">
        <f>ROUND(N(data!BN71), 0)</f>
        <v>0</v>
      </c>
      <c r="R65" s="207">
        <f>ROUND(N(data!BN72), 0)</f>
        <v>0</v>
      </c>
      <c r="S65" s="207">
        <f>ROUND(N(data!BN73), 0)</f>
        <v>0</v>
      </c>
      <c r="T65" s="207">
        <f>ROUND(N(data!BN74), 0)</f>
        <v>0</v>
      </c>
      <c r="U65" s="207">
        <f>ROUND(N(data!BN75), 0)</f>
        <v>0</v>
      </c>
      <c r="V65" s="207">
        <f>ROUND(N(data!BN76), 0)</f>
        <v>0</v>
      </c>
      <c r="W65" s="207">
        <f>ROUND(N(data!BN77), 0)</f>
        <v>0</v>
      </c>
      <c r="X65" s="207">
        <f>ROUND(N(data!BN78), 0)</f>
        <v>0</v>
      </c>
      <c r="Y65" s="207">
        <f>ROUND(N(data!BN79), 0)</f>
        <v>0</v>
      </c>
      <c r="Z65" s="207">
        <f>ROUND(N(data!BN80), 0)</f>
        <v>60443</v>
      </c>
      <c r="AA65" s="207">
        <f>ROUND(N(data!BN81), 0)</f>
        <v>0</v>
      </c>
      <c r="AB65" s="207">
        <f>ROUND(N(data!BN82), 0)</f>
        <v>0</v>
      </c>
      <c r="AC65" s="207">
        <f>ROUND(N(data!BN83), 0)</f>
        <v>170604</v>
      </c>
      <c r="AD65" s="207">
        <f>ROUND(N(data!BN84), 0)</f>
        <v>47927</v>
      </c>
      <c r="AE65" s="207">
        <f>ROUND(N(data!BN89), 0)</f>
        <v>0</v>
      </c>
      <c r="AF65" s="207">
        <f>ROUND(N(data!BN87), 0)</f>
        <v>0</v>
      </c>
      <c r="AG65" s="207">
        <f>ROUND(N(data!BN90), 0)</f>
        <v>16045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140</v>
      </c>
      <c r="B66" s="209" t="str">
        <f>RIGHT(data!$C$96,4)</f>
        <v>2023</v>
      </c>
      <c r="C66" s="12" t="str">
        <f>data!BO$55</f>
        <v>8620</v>
      </c>
      <c r="D66" s="12" t="s">
        <v>1141</v>
      </c>
      <c r="E66" s="207">
        <f>ROUND(N(data!BO59), 0)</f>
        <v>0</v>
      </c>
      <c r="F66" s="315">
        <f>ROUND(N(data!BO60), 2)</f>
        <v>2.0299999999999998</v>
      </c>
      <c r="G66" s="207">
        <f>ROUND(N(data!BO61), 0)</f>
        <v>226104</v>
      </c>
      <c r="H66" s="207">
        <f>ROUND(N(data!BO62), 0)</f>
        <v>56823</v>
      </c>
      <c r="I66" s="207">
        <f>ROUND(N(data!BO63), 0)</f>
        <v>0</v>
      </c>
      <c r="J66" s="207">
        <f>ROUND(N(data!BO64), 0)</f>
        <v>13141</v>
      </c>
      <c r="K66" s="207">
        <f>ROUND(N(data!BO65), 0)</f>
        <v>0</v>
      </c>
      <c r="L66" s="207">
        <f>ROUND(N(data!BO66), 0)</f>
        <v>31893</v>
      </c>
      <c r="M66" s="207">
        <f>ROUND(N(data!BO67), 0)</f>
        <v>0</v>
      </c>
      <c r="N66" s="207">
        <f>ROUND(N(data!BO68), 0)</f>
        <v>0</v>
      </c>
      <c r="O66" s="207">
        <f>ROUND(N(data!BO69), 0)</f>
        <v>6477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5787</v>
      </c>
      <c r="AA66" s="207">
        <f>ROUND(N(data!BO81), 0)</f>
        <v>0</v>
      </c>
      <c r="AB66" s="207">
        <f>ROUND(N(data!BO82), 0)</f>
        <v>0</v>
      </c>
      <c r="AC66" s="207">
        <f>ROUND(N(data!BO83), 0)</f>
        <v>690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140</v>
      </c>
      <c r="B67" s="209" t="str">
        <f>RIGHT(data!$C$96,4)</f>
        <v>2023</v>
      </c>
      <c r="C67" s="12" t="str">
        <f>data!BP$55</f>
        <v>8630</v>
      </c>
      <c r="D67" s="12" t="s">
        <v>1141</v>
      </c>
      <c r="E67" s="207">
        <f>ROUND(N(data!BP59), 0)</f>
        <v>0</v>
      </c>
      <c r="F67" s="315">
        <f>ROUND(N(data!BP60), 2)</f>
        <v>4.2</v>
      </c>
      <c r="G67" s="207">
        <f>ROUND(N(data!BP61), 0)</f>
        <v>392531</v>
      </c>
      <c r="H67" s="207">
        <f>ROUND(N(data!BP62), 0)</f>
        <v>98648</v>
      </c>
      <c r="I67" s="207">
        <f>ROUND(N(data!BP63), 0)</f>
        <v>0</v>
      </c>
      <c r="J67" s="207">
        <f>ROUND(N(data!BP64), 0)</f>
        <v>22551</v>
      </c>
      <c r="K67" s="207">
        <f>ROUND(N(data!BP65), 0)</f>
        <v>0</v>
      </c>
      <c r="L67" s="207">
        <f>ROUND(N(data!BP66), 0)</f>
        <v>73046</v>
      </c>
      <c r="M67" s="207">
        <f>ROUND(N(data!BP67), 0)</f>
        <v>0</v>
      </c>
      <c r="N67" s="207">
        <f>ROUND(N(data!BP68), 0)</f>
        <v>0</v>
      </c>
      <c r="O67" s="207">
        <f>ROUND(N(data!BP69), 0)</f>
        <v>334126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9933</v>
      </c>
      <c r="AA67" s="207">
        <f>ROUND(N(data!BP81), 0)</f>
        <v>0</v>
      </c>
      <c r="AB67" s="207">
        <f>ROUND(N(data!BP82), 0)</f>
        <v>0</v>
      </c>
      <c r="AC67" s="207">
        <f>ROUND(N(data!BP83), 0)</f>
        <v>324193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140</v>
      </c>
      <c r="B68" s="209" t="str">
        <f>RIGHT(data!$C$96,4)</f>
        <v>2023</v>
      </c>
      <c r="C68" s="12" t="str">
        <f>data!BQ$55</f>
        <v>8640</v>
      </c>
      <c r="D68" s="12" t="s">
        <v>1141</v>
      </c>
      <c r="E68" s="207">
        <f>ROUND(N(data!BQ59), 0)</f>
        <v>0</v>
      </c>
      <c r="F68" s="315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140</v>
      </c>
      <c r="B69" s="209" t="str">
        <f>RIGHT(data!$C$96,4)</f>
        <v>2023</v>
      </c>
      <c r="C69" s="12" t="str">
        <f>data!BR$55</f>
        <v>8650</v>
      </c>
      <c r="D69" s="12" t="s">
        <v>1141</v>
      </c>
      <c r="E69" s="207">
        <f>ROUND(N(data!BR59), 0)</f>
        <v>0</v>
      </c>
      <c r="F69" s="315">
        <f>ROUND(N(data!BR60), 2)</f>
        <v>7.1</v>
      </c>
      <c r="G69" s="207">
        <f>ROUND(N(data!BR61), 0)</f>
        <v>625941</v>
      </c>
      <c r="H69" s="207">
        <f>ROUND(N(data!BR62), 0)</f>
        <v>157307</v>
      </c>
      <c r="I69" s="207">
        <f>ROUND(N(data!BR63), 0)</f>
        <v>24548</v>
      </c>
      <c r="J69" s="207">
        <f>ROUND(N(data!BR64), 0)</f>
        <v>13888</v>
      </c>
      <c r="K69" s="207">
        <f>ROUND(N(data!BR65), 0)</f>
        <v>0</v>
      </c>
      <c r="L69" s="207">
        <f>ROUND(N(data!BR66), 0)</f>
        <v>368013</v>
      </c>
      <c r="M69" s="207">
        <f>ROUND(N(data!BR67), 0)</f>
        <v>94735</v>
      </c>
      <c r="N69" s="207">
        <f>ROUND(N(data!BR68), 0)</f>
        <v>0</v>
      </c>
      <c r="O69" s="207">
        <f>ROUND(N(data!BR69), 0)</f>
        <v>30850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2534</v>
      </c>
      <c r="X69" s="207">
        <f>ROUND(N(data!BR78), 0)</f>
        <v>0</v>
      </c>
      <c r="Y69" s="207">
        <f>ROUND(N(data!BR79), 0)</f>
        <v>0</v>
      </c>
      <c r="Z69" s="207">
        <f>ROUND(N(data!BR80), 0)</f>
        <v>2942</v>
      </c>
      <c r="AA69" s="207">
        <f>ROUND(N(data!BR81), 0)</f>
        <v>0</v>
      </c>
      <c r="AB69" s="207">
        <f>ROUND(N(data!BR82), 0)</f>
        <v>0</v>
      </c>
      <c r="AC69" s="207">
        <f>ROUND(N(data!BR83), 0)</f>
        <v>25374</v>
      </c>
      <c r="AD69" s="207">
        <f>ROUND(N(data!BR84), 0)</f>
        <v>40</v>
      </c>
      <c r="AE69" s="207">
        <f>ROUND(N(data!BR89), 0)</f>
        <v>0</v>
      </c>
      <c r="AF69" s="207">
        <f>ROUND(N(data!BR87), 0)</f>
        <v>0</v>
      </c>
      <c r="AG69" s="207">
        <f>ROUND(N(data!BR90), 0)</f>
        <v>1917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140</v>
      </c>
      <c r="B70" s="209" t="str">
        <f>RIGHT(data!$C$96,4)</f>
        <v>2023</v>
      </c>
      <c r="C70" s="12" t="str">
        <f>data!BS$55</f>
        <v>8660</v>
      </c>
      <c r="D70" s="12" t="s">
        <v>1141</v>
      </c>
      <c r="E70" s="207">
        <f>ROUND(N(data!BS59), 0)</f>
        <v>0</v>
      </c>
      <c r="F70" s="315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140</v>
      </c>
      <c r="B71" s="209" t="str">
        <f>RIGHT(data!$C$96,4)</f>
        <v>2023</v>
      </c>
      <c r="C71" s="12" t="str">
        <f>data!BT$55</f>
        <v>8670</v>
      </c>
      <c r="D71" s="12" t="s">
        <v>1141</v>
      </c>
      <c r="E71" s="207">
        <f>ROUND(N(data!BT59), 0)</f>
        <v>0</v>
      </c>
      <c r="F71" s="315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140</v>
      </c>
      <c r="B72" s="209" t="str">
        <f>RIGHT(data!$C$96,4)</f>
        <v>2023</v>
      </c>
      <c r="C72" s="12" t="str">
        <f>data!BU$55</f>
        <v>8680</v>
      </c>
      <c r="D72" s="12" t="s">
        <v>1141</v>
      </c>
      <c r="E72" s="207">
        <f>ROUND(N(data!BU59), 0)</f>
        <v>0</v>
      </c>
      <c r="F72" s="315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140</v>
      </c>
      <c r="B73" s="209" t="str">
        <f>RIGHT(data!$C$96,4)</f>
        <v>2023</v>
      </c>
      <c r="C73" s="12" t="str">
        <f>data!BV$55</f>
        <v>8690</v>
      </c>
      <c r="D73" s="12" t="s">
        <v>1141</v>
      </c>
      <c r="E73" s="207">
        <f>ROUND(N(data!BV59), 0)</f>
        <v>0</v>
      </c>
      <c r="F73" s="315">
        <f>ROUND(N(data!BV60), 2)</f>
        <v>24.45</v>
      </c>
      <c r="G73" s="207">
        <f>ROUND(N(data!BV61), 0)</f>
        <v>1605859</v>
      </c>
      <c r="H73" s="207">
        <f>ROUND(N(data!BV62), 0)</f>
        <v>403573</v>
      </c>
      <c r="I73" s="207">
        <f>ROUND(N(data!BV63), 0)</f>
        <v>1840</v>
      </c>
      <c r="J73" s="207">
        <f>ROUND(N(data!BV64), 0)</f>
        <v>11346</v>
      </c>
      <c r="K73" s="207">
        <f>ROUND(N(data!BV65), 0)</f>
        <v>0</v>
      </c>
      <c r="L73" s="207">
        <f>ROUND(N(data!BV66), 0)</f>
        <v>413742</v>
      </c>
      <c r="M73" s="207">
        <f>ROUND(N(data!BV67), 0)</f>
        <v>88113</v>
      </c>
      <c r="N73" s="207">
        <f>ROUND(N(data!BV68), 0)</f>
        <v>0</v>
      </c>
      <c r="O73" s="207">
        <f>ROUND(N(data!BV69), 0)</f>
        <v>42383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26436</v>
      </c>
      <c r="X73" s="207">
        <f>ROUND(N(data!BV78), 0)</f>
        <v>0</v>
      </c>
      <c r="Y73" s="207">
        <f>ROUND(N(data!BV79), 0)</f>
        <v>0</v>
      </c>
      <c r="Z73" s="207">
        <f>ROUND(N(data!BV80), 0)</f>
        <v>13607</v>
      </c>
      <c r="AA73" s="207">
        <f>ROUND(N(data!BV81), 0)</f>
        <v>0</v>
      </c>
      <c r="AB73" s="207">
        <f>ROUND(N(data!BV82), 0)</f>
        <v>0</v>
      </c>
      <c r="AC73" s="207">
        <f>ROUND(N(data!BV83), 0)</f>
        <v>2340</v>
      </c>
      <c r="AD73" s="207">
        <f>ROUND(N(data!BV84), 0)</f>
        <v>1120</v>
      </c>
      <c r="AE73" s="207">
        <f>ROUND(N(data!BV89), 0)</f>
        <v>0</v>
      </c>
      <c r="AF73" s="207">
        <f>ROUND(N(data!BV87), 0)</f>
        <v>0</v>
      </c>
      <c r="AG73" s="207">
        <f>ROUND(N(data!BV90), 0)</f>
        <v>1783</v>
      </c>
      <c r="AH73" s="207">
        <f>ROUND(N(data!BV91), 0)</f>
        <v>0</v>
      </c>
      <c r="AI73" s="207">
        <f>ROUND(N(data!BV92), 0)</f>
        <v>1278</v>
      </c>
      <c r="AJ73" s="207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140</v>
      </c>
      <c r="B74" s="209" t="str">
        <f>RIGHT(data!$C$96,4)</f>
        <v>2023</v>
      </c>
      <c r="C74" s="12" t="str">
        <f>data!BW$55</f>
        <v>8700</v>
      </c>
      <c r="D74" s="12" t="s">
        <v>1141</v>
      </c>
      <c r="E74" s="207">
        <f>ROUND(N(data!BW59), 0)</f>
        <v>0</v>
      </c>
      <c r="F74" s="315">
        <f>ROUND(N(data!BW60), 2)</f>
        <v>3.8</v>
      </c>
      <c r="G74" s="207">
        <f>ROUND(N(data!BW61), 0)</f>
        <v>830663</v>
      </c>
      <c r="H74" s="207">
        <f>ROUND(N(data!BW62), 0)</f>
        <v>208756</v>
      </c>
      <c r="I74" s="207">
        <f>ROUND(N(data!BW63), 0)</f>
        <v>0</v>
      </c>
      <c r="J74" s="207">
        <f>ROUND(N(data!BW64), 0)</f>
        <v>2450</v>
      </c>
      <c r="K74" s="207">
        <f>ROUND(N(data!BW65), 0)</f>
        <v>0</v>
      </c>
      <c r="L74" s="207">
        <f>ROUND(N(data!BW66), 0)</f>
        <v>65040</v>
      </c>
      <c r="M74" s="207">
        <f>ROUND(N(data!BW67), 0)</f>
        <v>0</v>
      </c>
      <c r="N74" s="207">
        <f>ROUND(N(data!BW68), 0)</f>
        <v>0</v>
      </c>
      <c r="O74" s="207">
        <f>ROUND(N(data!BW69), 0)</f>
        <v>262297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38973</v>
      </c>
      <c r="AA74" s="207">
        <f>ROUND(N(data!BW81), 0)</f>
        <v>0</v>
      </c>
      <c r="AB74" s="207">
        <f>ROUND(N(data!BW82), 0)</f>
        <v>0</v>
      </c>
      <c r="AC74" s="207">
        <f>ROUND(N(data!BW83), 0)</f>
        <v>223324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0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140</v>
      </c>
      <c r="B75" s="209" t="str">
        <f>RIGHT(data!$C$96,4)</f>
        <v>2023</v>
      </c>
      <c r="C75" s="12" t="str">
        <f>data!BX$55</f>
        <v>8710</v>
      </c>
      <c r="D75" s="12" t="s">
        <v>1141</v>
      </c>
      <c r="E75" s="207">
        <f>ROUND(N(data!BX59), 0)</f>
        <v>0</v>
      </c>
      <c r="F75" s="315">
        <f>ROUND(N(data!BX60), 2)</f>
        <v>6.78</v>
      </c>
      <c r="G75" s="207">
        <f>ROUND(N(data!BX61), 0)</f>
        <v>787965</v>
      </c>
      <c r="H75" s="207">
        <f>ROUND(N(data!BX62), 0)</f>
        <v>198026</v>
      </c>
      <c r="I75" s="207">
        <f>ROUND(N(data!BX63), 0)</f>
        <v>0</v>
      </c>
      <c r="J75" s="207">
        <f>ROUND(N(data!BX64), 0)</f>
        <v>3735</v>
      </c>
      <c r="K75" s="207">
        <f>ROUND(N(data!BX65), 0)</f>
        <v>0</v>
      </c>
      <c r="L75" s="207">
        <f>ROUND(N(data!BX66), 0)</f>
        <v>258695</v>
      </c>
      <c r="M75" s="207">
        <f>ROUND(N(data!BX67), 0)</f>
        <v>0</v>
      </c>
      <c r="N75" s="207">
        <f>ROUND(N(data!BX68), 0)</f>
        <v>0</v>
      </c>
      <c r="O75" s="207">
        <f>ROUND(N(data!BX69), 0)</f>
        <v>25944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19632</v>
      </c>
      <c r="AA75" s="207">
        <f>ROUND(N(data!BX81), 0)</f>
        <v>0</v>
      </c>
      <c r="AB75" s="207">
        <f>ROUND(N(data!BX82), 0)</f>
        <v>0</v>
      </c>
      <c r="AC75" s="207">
        <f>ROUND(N(data!BX83), 0)</f>
        <v>6312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140</v>
      </c>
      <c r="B76" s="209" t="str">
        <f>RIGHT(data!$C$96,4)</f>
        <v>2023</v>
      </c>
      <c r="C76" s="12" t="str">
        <f>data!BY$55</f>
        <v>8720</v>
      </c>
      <c r="D76" s="12" t="s">
        <v>1141</v>
      </c>
      <c r="E76" s="207">
        <f>ROUND(N(data!BY59), 0)</f>
        <v>0</v>
      </c>
      <c r="F76" s="315">
        <f>ROUND(N(data!BY60), 2)</f>
        <v>8.68</v>
      </c>
      <c r="G76" s="207">
        <f>ROUND(N(data!BY61), 0)</f>
        <v>805815</v>
      </c>
      <c r="H76" s="207">
        <f>ROUND(N(data!BY62), 0)</f>
        <v>202511</v>
      </c>
      <c r="I76" s="207">
        <f>ROUND(N(data!BY63), 0)</f>
        <v>386</v>
      </c>
      <c r="J76" s="207">
        <f>ROUND(N(data!BY64), 0)</f>
        <v>5983</v>
      </c>
      <c r="K76" s="207">
        <f>ROUND(N(data!BY65), 0)</f>
        <v>0</v>
      </c>
      <c r="L76" s="207">
        <f>ROUND(N(data!BY66), 0)</f>
        <v>357929</v>
      </c>
      <c r="M76" s="207">
        <f>ROUND(N(data!BY67), 0)</f>
        <v>298832</v>
      </c>
      <c r="N76" s="207">
        <f>ROUND(N(data!BY68), 0)</f>
        <v>0</v>
      </c>
      <c r="O76" s="207">
        <f>ROUND(N(data!BY69), 0)</f>
        <v>70251</v>
      </c>
      <c r="P76" s="207">
        <f>ROUND(N(data!BY70), 0)</f>
        <v>0</v>
      </c>
      <c r="Q76" s="207">
        <f>ROUND(N(data!BY71), 0)</f>
        <v>0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40975</v>
      </c>
      <c r="X76" s="207">
        <f>ROUND(N(data!BY78), 0)</f>
        <v>0</v>
      </c>
      <c r="Y76" s="207">
        <f>ROUND(N(data!BY79), 0)</f>
        <v>0</v>
      </c>
      <c r="Z76" s="207">
        <f>ROUND(N(data!BY80), 0)</f>
        <v>16785</v>
      </c>
      <c r="AA76" s="207">
        <f>ROUND(N(data!BY81), 0)</f>
        <v>0</v>
      </c>
      <c r="AB76" s="207">
        <f>ROUND(N(data!BY82), 0)</f>
        <v>0</v>
      </c>
      <c r="AC76" s="207">
        <f>ROUND(N(data!BY83), 0)</f>
        <v>12491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6047</v>
      </c>
      <c r="AH76" s="207">
        <f>ROUND(N(data!BY91), 0)</f>
        <v>0</v>
      </c>
      <c r="AI76" s="207">
        <f>ROUND(N(data!BY92), 0)</f>
        <v>4331</v>
      </c>
      <c r="AJ76" s="207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140</v>
      </c>
      <c r="B77" s="209" t="str">
        <f>RIGHT(data!$C$96,4)</f>
        <v>2023</v>
      </c>
      <c r="C77" s="12" t="str">
        <f>data!BZ$55</f>
        <v>8730</v>
      </c>
      <c r="D77" s="12" t="s">
        <v>1141</v>
      </c>
      <c r="E77" s="207">
        <f>ROUND(N(data!BZ59), 0)</f>
        <v>0</v>
      </c>
      <c r="F77" s="315">
        <f>ROUND(N(data!BZ60), 2)</f>
        <v>0</v>
      </c>
      <c r="G77" s="207">
        <f>ROUND(N(data!BZ61), 0)</f>
        <v>0</v>
      </c>
      <c r="H77" s="207">
        <f>ROUND(N(data!BZ62), 0)</f>
        <v>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140</v>
      </c>
      <c r="B78" s="209" t="str">
        <f>RIGHT(data!$C$96,4)</f>
        <v>2023</v>
      </c>
      <c r="C78" s="12" t="str">
        <f>data!CA$55</f>
        <v>8740</v>
      </c>
      <c r="D78" s="12" t="s">
        <v>1141</v>
      </c>
      <c r="E78" s="207">
        <f>ROUND(N(data!CA59), 0)</f>
        <v>0</v>
      </c>
      <c r="F78" s="315">
        <f>ROUND(N(data!CA60), 2)</f>
        <v>0</v>
      </c>
      <c r="G78" s="207">
        <f>ROUND(N(data!CA61), 0)</f>
        <v>0</v>
      </c>
      <c r="H78" s="207">
        <f>ROUND(N(data!CA62), 0)</f>
        <v>0</v>
      </c>
      <c r="I78" s="207">
        <f>ROUND(N(data!CA63), 0)</f>
        <v>0</v>
      </c>
      <c r="J78" s="207">
        <f>ROUND(N(data!CA64), 0)</f>
        <v>0</v>
      </c>
      <c r="K78" s="207">
        <f>ROUND(N(data!CA65), 0)</f>
        <v>0</v>
      </c>
      <c r="L78" s="207">
        <f>ROUND(N(data!CA66), 0)</f>
        <v>0</v>
      </c>
      <c r="M78" s="207">
        <f>ROUND(N(data!CA67), 0)</f>
        <v>0</v>
      </c>
      <c r="N78" s="207">
        <f>ROUND(N(data!CA68), 0)</f>
        <v>0</v>
      </c>
      <c r="O78" s="207">
        <f>ROUND(N(data!CA69), 0)</f>
        <v>0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0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140</v>
      </c>
      <c r="B79" s="209" t="str">
        <f>RIGHT(data!$C$96,4)</f>
        <v>2023</v>
      </c>
      <c r="C79" s="12" t="str">
        <f>data!CB$55</f>
        <v>8770</v>
      </c>
      <c r="D79" s="12" t="s">
        <v>1141</v>
      </c>
      <c r="E79" s="207">
        <f>ROUND(N(data!CB59), 0)</f>
        <v>0</v>
      </c>
      <c r="F79" s="315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140</v>
      </c>
      <c r="B80" s="209" t="str">
        <f>RIGHT(data!$C$96,4)</f>
        <v>2023</v>
      </c>
      <c r="C80" s="12" t="str">
        <f>data!CC$55</f>
        <v>8790</v>
      </c>
      <c r="D80" s="12" t="s">
        <v>1141</v>
      </c>
      <c r="E80" s="207">
        <f>ROUND(N(data!CC59), 0)</f>
        <v>0</v>
      </c>
      <c r="F80" s="315">
        <f>ROUND(N(data!CC60), 2)</f>
        <v>1.58</v>
      </c>
      <c r="G80" s="207">
        <f>ROUND(N(data!CC61), 0)</f>
        <v>118108</v>
      </c>
      <c r="H80" s="207">
        <f>ROUND(N(data!CC62), 0)</f>
        <v>29682</v>
      </c>
      <c r="I80" s="207">
        <f>ROUND(N(data!CC63), 0)</f>
        <v>0</v>
      </c>
      <c r="J80" s="207">
        <f>ROUND(N(data!CC64), 0)</f>
        <v>25450</v>
      </c>
      <c r="K80" s="207">
        <f>ROUND(N(data!CC65), 0)</f>
        <v>0</v>
      </c>
      <c r="L80" s="207">
        <f>ROUND(N(data!CC66), 0)</f>
        <v>72395</v>
      </c>
      <c r="M80" s="207">
        <f>ROUND(N(data!CC67), 0)</f>
        <v>0</v>
      </c>
      <c r="N80" s="207">
        <f>ROUND(N(data!CC68), 0)</f>
        <v>0</v>
      </c>
      <c r="O80" s="207">
        <f>ROUND(N(data!CC69), 0)</f>
        <v>870292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65671</v>
      </c>
      <c r="X80" s="207">
        <f>ROUND(N(data!CC78), 0)</f>
        <v>0</v>
      </c>
      <c r="Y80" s="207">
        <f>ROUND(N(data!CC79), 0)</f>
        <v>0</v>
      </c>
      <c r="Z80" s="207">
        <f>ROUND(N(data!CC80), 0)</f>
        <v>0</v>
      </c>
      <c r="AA80" s="207">
        <f>ROUND(N(data!CC81), 0)</f>
        <v>0</v>
      </c>
      <c r="AB80" s="207">
        <f>ROUND(N(data!CC82), 0)</f>
        <v>0</v>
      </c>
      <c r="AC80" s="207">
        <f>ROUND(N(data!CC83), 0)</f>
        <v>804621</v>
      </c>
      <c r="AD80" s="207">
        <f>ROUND(N(data!CC84), 0)</f>
        <v>310297</v>
      </c>
      <c r="AE80" s="207">
        <f>ROUND(N(data!CC89), 0)</f>
        <v>0</v>
      </c>
      <c r="AF80" s="207">
        <f>ROUND(N(data!CC87), 0)</f>
        <v>0</v>
      </c>
      <c r="AG80" s="207">
        <f>ROUND(N(data!CC90), 0)</f>
        <v>0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topLeftCell="A13" workbookViewId="0">
      <selection activeCell="C42" sqref="C42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698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699</v>
      </c>
      <c r="G3" s="10"/>
      <c r="J3" s="108"/>
    </row>
    <row r="4" spans="2:10" x14ac:dyDescent="0.35">
      <c r="B4" s="107"/>
      <c r="F4" s="10" t="s">
        <v>700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701</v>
      </c>
      <c r="G8" s="10"/>
      <c r="J8" s="108"/>
    </row>
    <row r="9" spans="2:10" x14ac:dyDescent="0.35">
      <c r="B9" s="104"/>
      <c r="C9" s="105"/>
      <c r="D9" s="105"/>
      <c r="E9" s="105"/>
      <c r="F9" s="112" t="s">
        <v>702</v>
      </c>
      <c r="G9" s="112"/>
      <c r="H9" s="105"/>
      <c r="I9" s="105"/>
      <c r="J9" s="106"/>
    </row>
    <row r="10" spans="2:10" x14ac:dyDescent="0.35">
      <c r="B10" s="107"/>
      <c r="F10" s="10" t="s">
        <v>703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704</v>
      </c>
      <c r="G12" s="10"/>
      <c r="J12" s="108"/>
    </row>
    <row r="13" spans="2:10" x14ac:dyDescent="0.35">
      <c r="B13" s="107"/>
      <c r="F13" s="10" t="s">
        <v>705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706</v>
      </c>
      <c r="J16" s="108"/>
    </row>
    <row r="17" spans="2:10" x14ac:dyDescent="0.35">
      <c r="B17" s="104"/>
      <c r="C17" s="113" t="s">
        <v>707</v>
      </c>
      <c r="D17" s="113"/>
      <c r="E17" s="105" t="str">
        <f>+data!C98</f>
        <v>Kittitas Valley Healthcare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708</v>
      </c>
      <c r="D18" s="62"/>
      <c r="E18" s="11" t="str">
        <f>+"H-"&amp;data!C97</f>
        <v>H-140</v>
      </c>
      <c r="F18" s="10"/>
      <c r="G18" s="10"/>
      <c r="J18" s="108"/>
    </row>
    <row r="19" spans="2:10" x14ac:dyDescent="0.35">
      <c r="B19" s="107"/>
      <c r="C19" s="62" t="s">
        <v>709</v>
      </c>
      <c r="D19" s="62"/>
      <c r="E19" s="11" t="str">
        <f>+data!C99</f>
        <v>603 South Chestnut Street</v>
      </c>
      <c r="F19" s="10"/>
      <c r="G19" s="10"/>
      <c r="J19" s="108"/>
    </row>
    <row r="20" spans="2:10" x14ac:dyDescent="0.35">
      <c r="B20" s="107"/>
      <c r="C20" s="62" t="s">
        <v>710</v>
      </c>
      <c r="D20" s="62"/>
      <c r="E20" s="11" t="str">
        <f>+data!C99</f>
        <v>603 South Chestnut Street</v>
      </c>
      <c r="F20" s="10"/>
      <c r="G20" s="10"/>
      <c r="J20" s="108"/>
    </row>
    <row r="21" spans="2:10" x14ac:dyDescent="0.35">
      <c r="B21" s="107"/>
      <c r="C21" s="62" t="s">
        <v>711</v>
      </c>
      <c r="D21" s="62"/>
      <c r="E21" s="11" t="str">
        <f>+data!C101</f>
        <v>Ellensburg, WA 98926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712</v>
      </c>
      <c r="G26" s="115"/>
      <c r="H26" s="115"/>
      <c r="I26" s="115"/>
      <c r="J26" s="117"/>
    </row>
    <row r="27" spans="2:10" x14ac:dyDescent="0.35">
      <c r="B27" s="118" t="s">
        <v>713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714</v>
      </c>
      <c r="J29" s="108"/>
    </row>
    <row r="30" spans="2:10" x14ac:dyDescent="0.35">
      <c r="B30" s="121" t="s">
        <v>715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716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717</v>
      </c>
      <c r="C35" s="115" t="s">
        <v>2110</v>
      </c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718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719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717</v>
      </c>
      <c r="C41" s="115" t="s">
        <v>2111</v>
      </c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718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  <pageSetUpPr fitToPage="1"/>
  </sheetPr>
  <dimension ref="A2:M94"/>
  <sheetViews>
    <sheetView topLeftCell="A49" zoomScaleNormal="100" workbookViewId="0">
      <selection activeCell="I16" sqref="I16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720</v>
      </c>
    </row>
    <row r="3" spans="1:13" x14ac:dyDescent="0.35">
      <c r="A3" s="63"/>
    </row>
    <row r="4" spans="1:13" x14ac:dyDescent="0.35">
      <c r="A4" s="158" t="s">
        <v>721</v>
      </c>
    </row>
    <row r="5" spans="1:13" x14ac:dyDescent="0.35">
      <c r="A5" s="158" t="s">
        <v>722</v>
      </c>
    </row>
    <row r="6" spans="1:13" x14ac:dyDescent="0.35">
      <c r="A6" s="158" t="s">
        <v>723</v>
      </c>
    </row>
    <row r="7" spans="1:13" x14ac:dyDescent="0.35">
      <c r="A7" s="158"/>
    </row>
    <row r="8" spans="1:13" x14ac:dyDescent="0.35">
      <c r="A8" s="2" t="s">
        <v>724</v>
      </c>
    </row>
    <row r="9" spans="1:13" x14ac:dyDescent="0.35">
      <c r="A9" s="158" t="s">
        <v>27</v>
      </c>
    </row>
    <row r="12" spans="1:13" x14ac:dyDescent="0.35">
      <c r="A12" s="1" t="str">
        <f>data!C97</f>
        <v>140</v>
      </c>
      <c r="B12" s="239" t="str">
        <f>RIGHT('Prior Year'!C96,4)</f>
        <v>2022</v>
      </c>
      <c r="C12" s="239" t="str">
        <f>RIGHT(data!C96,4)</f>
        <v>2023</v>
      </c>
      <c r="D12" s="1" t="str">
        <f>RIGHT('Prior Year'!C96,4)</f>
        <v>2022</v>
      </c>
      <c r="E12" s="239" t="str">
        <f>RIGHT(data!C96,4)</f>
        <v>2023</v>
      </c>
      <c r="F12" s="1" t="str">
        <f>RIGHT('Prior Year'!C96,4)</f>
        <v>2022</v>
      </c>
      <c r="G12" s="239" t="str">
        <f>RIGHT(data!C96,4)</f>
        <v>2023</v>
      </c>
      <c r="H12" s="3"/>
    </row>
    <row r="13" spans="1:13" x14ac:dyDescent="0.35">
      <c r="A13" s="2"/>
      <c r="B13" s="239" t="s">
        <v>725</v>
      </c>
      <c r="C13" s="239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35">
      <c r="A14" s="1" t="s">
        <v>729</v>
      </c>
      <c r="B14" s="239" t="s">
        <v>364</v>
      </c>
      <c r="C14" s="239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4" t="s">
        <v>734</v>
      </c>
    </row>
    <row r="15" spans="1:13" x14ac:dyDescent="0.35">
      <c r="A15" s="1" t="s">
        <v>735</v>
      </c>
      <c r="B15" s="239">
        <f>ROUND(N('Prior Year'!C85), 0)</f>
        <v>2506220</v>
      </c>
      <c r="C15" s="239">
        <f>data!C85</f>
        <v>2547968</v>
      </c>
      <c r="D15" s="239">
        <f>ROUND(N('Prior Year'!C59), 0)</f>
        <v>567</v>
      </c>
      <c r="E15" s="1">
        <f>data!C59</f>
        <v>505</v>
      </c>
      <c r="F15" s="372">
        <f t="shared" ref="F15:F59" si="0">IF(B15=0,"",IF(D15=0,"",B15/D15))</f>
        <v>4420.1410934744272</v>
      </c>
      <c r="G15" s="372">
        <f t="shared" ref="G15:G29" si="1">IF(C15=0,"",IF(E15=0,"",C15/E15))</f>
        <v>5045.4811881188116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39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736</v>
      </c>
      <c r="B16" s="239">
        <f>ROUND(N('Prior Year'!D85), 0)</f>
        <v>0</v>
      </c>
      <c r="C16" s="239">
        <f>data!D85</f>
        <v>0</v>
      </c>
      <c r="D16" s="239">
        <f>ROUND(N('Prior Year'!D59), 0)</f>
        <v>0</v>
      </c>
      <c r="E16" s="1">
        <f>data!D59</f>
        <v>0</v>
      </c>
      <c r="F16" s="372" t="str">
        <f t="shared" si="0"/>
        <v/>
      </c>
      <c r="G16" s="372" t="str">
        <f t="shared" si="1"/>
        <v/>
      </c>
      <c r="H16" s="6" t="str">
        <f t="shared" si="2"/>
        <v/>
      </c>
      <c r="I16" s="239" t="str">
        <f t="shared" si="3"/>
        <v/>
      </c>
      <c r="M16" s="7"/>
    </row>
    <row r="17" spans="1:13" x14ac:dyDescent="0.35">
      <c r="A17" s="1" t="s">
        <v>737</v>
      </c>
      <c r="B17" s="239">
        <f>ROUND(N('Prior Year'!E85), 0)</f>
        <v>3509713</v>
      </c>
      <c r="C17" s="239">
        <f>data!E85</f>
        <v>3293945</v>
      </c>
      <c r="D17" s="239">
        <f>ROUND(N('Prior Year'!E59), 0)</f>
        <v>3229</v>
      </c>
      <c r="E17" s="1">
        <f>data!E59</f>
        <v>2638</v>
      </c>
      <c r="F17" s="372">
        <f t="shared" si="0"/>
        <v>1086.9349643852586</v>
      </c>
      <c r="G17" s="372">
        <f t="shared" si="1"/>
        <v>1248.6523881728583</v>
      </c>
      <c r="H17" s="6" t="str">
        <f t="shared" si="2"/>
        <v/>
      </c>
      <c r="I17" s="239" t="str">
        <f t="shared" si="3"/>
        <v/>
      </c>
      <c r="M17" s="7"/>
    </row>
    <row r="18" spans="1:13" x14ac:dyDescent="0.35">
      <c r="A18" s="1" t="s">
        <v>738</v>
      </c>
      <c r="B18" s="239">
        <f>ROUND(N('Prior Year'!F85), 0)</f>
        <v>0</v>
      </c>
      <c r="C18" s="239">
        <f>data!F85</f>
        <v>0</v>
      </c>
      <c r="D18" s="239">
        <f>ROUND(N('Prior Year'!F59), 0)</f>
        <v>0</v>
      </c>
      <c r="E18" s="1">
        <f>data!F59</f>
        <v>0</v>
      </c>
      <c r="F18" s="372" t="str">
        <f t="shared" si="0"/>
        <v/>
      </c>
      <c r="G18" s="372" t="str">
        <f t="shared" si="1"/>
        <v/>
      </c>
      <c r="H18" s="6" t="str">
        <f t="shared" si="2"/>
        <v/>
      </c>
      <c r="I18" s="239" t="str">
        <f t="shared" si="3"/>
        <v/>
      </c>
      <c r="M18" s="7"/>
    </row>
    <row r="19" spans="1:13" x14ac:dyDescent="0.35">
      <c r="A19" s="1" t="s">
        <v>739</v>
      </c>
      <c r="B19" s="239">
        <f>ROUND(N('Prior Year'!G85), 0)</f>
        <v>0</v>
      </c>
      <c r="C19" s="239">
        <f>data!G85</f>
        <v>0</v>
      </c>
      <c r="D19" s="239">
        <f>ROUND(N('Prior Year'!G59), 0)</f>
        <v>0</v>
      </c>
      <c r="E19" s="1">
        <f>data!G59</f>
        <v>0</v>
      </c>
      <c r="F19" s="372" t="str">
        <f t="shared" si="0"/>
        <v/>
      </c>
      <c r="G19" s="372" t="str">
        <f t="shared" si="1"/>
        <v/>
      </c>
      <c r="H19" s="6" t="str">
        <f t="shared" si="2"/>
        <v/>
      </c>
      <c r="I19" s="239" t="str">
        <f t="shared" si="3"/>
        <v/>
      </c>
      <c r="M19" s="7"/>
    </row>
    <row r="20" spans="1:13" x14ac:dyDescent="0.35">
      <c r="A20" s="1" t="s">
        <v>740</v>
      </c>
      <c r="B20" s="239">
        <f>ROUND(N('Prior Year'!H85), 0)</f>
        <v>0</v>
      </c>
      <c r="C20" s="239">
        <f>data!H85</f>
        <v>0</v>
      </c>
      <c r="D20" s="239">
        <f>ROUND(N('Prior Year'!H59), 0)</f>
        <v>0</v>
      </c>
      <c r="E20" s="1">
        <f>data!H59</f>
        <v>0</v>
      </c>
      <c r="F20" s="372" t="str">
        <f t="shared" si="0"/>
        <v/>
      </c>
      <c r="G20" s="372" t="str">
        <f t="shared" si="1"/>
        <v/>
      </c>
      <c r="H20" s="6" t="str">
        <f t="shared" si="2"/>
        <v/>
      </c>
      <c r="I20" s="239" t="str">
        <f t="shared" si="3"/>
        <v/>
      </c>
      <c r="M20" s="7"/>
    </row>
    <row r="21" spans="1:13" x14ac:dyDescent="0.35">
      <c r="A21" s="1" t="s">
        <v>741</v>
      </c>
      <c r="B21" s="239">
        <f>ROUND(N('Prior Year'!I85), 0)</f>
        <v>0</v>
      </c>
      <c r="C21" s="239">
        <f>data!I85</f>
        <v>0</v>
      </c>
      <c r="D21" s="239">
        <f>ROUND(N('Prior Year'!I59), 0)</f>
        <v>0</v>
      </c>
      <c r="E21" s="1">
        <f>data!I59</f>
        <v>0</v>
      </c>
      <c r="F21" s="372" t="str">
        <f t="shared" si="0"/>
        <v/>
      </c>
      <c r="G21" s="372" t="str">
        <f t="shared" si="1"/>
        <v/>
      </c>
      <c r="H21" s="6" t="str">
        <f t="shared" si="2"/>
        <v/>
      </c>
      <c r="I21" s="239" t="str">
        <f t="shared" si="3"/>
        <v/>
      </c>
      <c r="M21" s="7"/>
    </row>
    <row r="22" spans="1:13" x14ac:dyDescent="0.35">
      <c r="A22" s="1" t="s">
        <v>742</v>
      </c>
      <c r="B22" s="239">
        <f>ROUND(N('Prior Year'!J85), 0)</f>
        <v>186801</v>
      </c>
      <c r="C22" s="239">
        <f>data!J85</f>
        <v>453167</v>
      </c>
      <c r="D22" s="239">
        <f>ROUND(N('Prior Year'!J59), 0)</f>
        <v>526</v>
      </c>
      <c r="E22" s="1">
        <f>data!J59</f>
        <v>369</v>
      </c>
      <c r="F22" s="372">
        <f t="shared" si="0"/>
        <v>355.13498098859316</v>
      </c>
      <c r="G22" s="372">
        <f t="shared" si="1"/>
        <v>1228.0948509485095</v>
      </c>
      <c r="H22" s="6">
        <f t="shared" si="2"/>
        <v>2.4581072456727533</v>
      </c>
      <c r="I22" s="373" t="s">
        <v>1793</v>
      </c>
      <c r="M22" s="7"/>
    </row>
    <row r="23" spans="1:13" x14ac:dyDescent="0.35">
      <c r="A23" s="1" t="s">
        <v>743</v>
      </c>
      <c r="B23" s="239">
        <f>ROUND(N('Prior Year'!K85), 0)</f>
        <v>0</v>
      </c>
      <c r="C23" s="239">
        <f>data!K85</f>
        <v>0</v>
      </c>
      <c r="D23" s="239">
        <f>ROUND(N('Prior Year'!K59), 0)</f>
        <v>0</v>
      </c>
      <c r="E23" s="1">
        <f>data!K59</f>
        <v>0</v>
      </c>
      <c r="F23" s="372" t="str">
        <f t="shared" si="0"/>
        <v/>
      </c>
      <c r="G23" s="372" t="str">
        <f t="shared" si="1"/>
        <v/>
      </c>
      <c r="H23" s="6" t="str">
        <f t="shared" si="2"/>
        <v/>
      </c>
      <c r="I23" s="239" t="str">
        <f t="shared" si="3"/>
        <v/>
      </c>
      <c r="M23" s="7"/>
    </row>
    <row r="24" spans="1:13" x14ac:dyDescent="0.35">
      <c r="A24" s="1" t="s">
        <v>744</v>
      </c>
      <c r="B24" s="239">
        <f>ROUND(N('Prior Year'!L85), 0)</f>
        <v>0</v>
      </c>
      <c r="C24" s="239">
        <f>data!L85</f>
        <v>76890</v>
      </c>
      <c r="D24" s="239">
        <f>ROUND(N('Prior Year'!L59), 0)</f>
        <v>57</v>
      </c>
      <c r="E24" s="1">
        <f>data!L59</f>
        <v>62</v>
      </c>
      <c r="F24" s="372" t="str">
        <f t="shared" si="0"/>
        <v/>
      </c>
      <c r="G24" s="372">
        <f t="shared" si="1"/>
        <v>1240.1612903225807</v>
      </c>
      <c r="H24" s="6" t="str">
        <f t="shared" si="2"/>
        <v/>
      </c>
      <c r="I24" s="239" t="str">
        <f t="shared" si="3"/>
        <v/>
      </c>
      <c r="M24" s="7"/>
    </row>
    <row r="25" spans="1:13" x14ac:dyDescent="0.35">
      <c r="A25" s="1" t="s">
        <v>745</v>
      </c>
      <c r="B25" s="239">
        <f>ROUND(N('Prior Year'!M85), 0)</f>
        <v>0</v>
      </c>
      <c r="C25" s="239">
        <f>data!M85</f>
        <v>0</v>
      </c>
      <c r="D25" s="239">
        <f>ROUND(N('Prior Year'!M59), 0)</f>
        <v>0</v>
      </c>
      <c r="E25" s="1">
        <f>data!M59</f>
        <v>0</v>
      </c>
      <c r="F25" s="372" t="str">
        <f t="shared" si="0"/>
        <v/>
      </c>
      <c r="G25" s="372" t="str">
        <f t="shared" si="1"/>
        <v/>
      </c>
      <c r="H25" s="6" t="str">
        <f t="shared" si="2"/>
        <v/>
      </c>
      <c r="I25" s="239" t="str">
        <f t="shared" si="3"/>
        <v/>
      </c>
      <c r="M25" s="7"/>
    </row>
    <row r="26" spans="1:13" x14ac:dyDescent="0.35">
      <c r="A26" s="1" t="s">
        <v>746</v>
      </c>
      <c r="B26" s="1">
        <f>ROUND(N('Prior Year'!N85), 0)</f>
        <v>0</v>
      </c>
      <c r="C26" s="239">
        <f>data!N85</f>
        <v>0</v>
      </c>
      <c r="D26" s="239">
        <f>ROUND(N('Prior Year'!N59), 0)</f>
        <v>0</v>
      </c>
      <c r="E26" s="1">
        <f>data!N59</f>
        <v>0</v>
      </c>
      <c r="F26" s="372" t="str">
        <f t="shared" si="0"/>
        <v/>
      </c>
      <c r="G26" s="372" t="str">
        <f t="shared" si="1"/>
        <v/>
      </c>
      <c r="H26" s="6" t="str">
        <f t="shared" si="2"/>
        <v/>
      </c>
      <c r="I26" s="239" t="str">
        <f t="shared" si="3"/>
        <v/>
      </c>
      <c r="M26" s="7"/>
    </row>
    <row r="27" spans="1:13" x14ac:dyDescent="0.35">
      <c r="A27" s="1" t="s">
        <v>747</v>
      </c>
      <c r="B27" s="239">
        <f>ROUND(N('Prior Year'!O85), 0)</f>
        <v>2660014</v>
      </c>
      <c r="C27" s="239">
        <f>data!O85</f>
        <v>2504180</v>
      </c>
      <c r="D27" s="239">
        <f>ROUND(N('Prior Year'!O59), 0)</f>
        <v>318</v>
      </c>
      <c r="E27" s="1">
        <f>data!O59</f>
        <v>226</v>
      </c>
      <c r="F27" s="372">
        <f t="shared" si="0"/>
        <v>8364.8238993710693</v>
      </c>
      <c r="G27" s="372">
        <f t="shared" si="1"/>
        <v>11080.442477876106</v>
      </c>
      <c r="H27" s="6">
        <f t="shared" si="2"/>
        <v>0.32464742966187465</v>
      </c>
      <c r="I27" s="373" t="s">
        <v>1793</v>
      </c>
      <c r="M27" s="7"/>
    </row>
    <row r="28" spans="1:13" x14ac:dyDescent="0.35">
      <c r="A28" s="1" t="s">
        <v>748</v>
      </c>
      <c r="B28" s="239">
        <f>ROUND(N('Prior Year'!P85), 0)</f>
        <v>9414480</v>
      </c>
      <c r="C28" s="239">
        <f>data!P85</f>
        <v>8172924</v>
      </c>
      <c r="D28" s="239">
        <f>ROUND(N('Prior Year'!P59), 0)</f>
        <v>142557</v>
      </c>
      <c r="E28" s="1">
        <f>data!P59</f>
        <v>137850</v>
      </c>
      <c r="F28" s="372">
        <f t="shared" si="0"/>
        <v>66.040110271680803</v>
      </c>
      <c r="G28" s="372">
        <f t="shared" si="1"/>
        <v>59.288531011969532</v>
      </c>
      <c r="H28" s="6" t="str">
        <f t="shared" si="2"/>
        <v/>
      </c>
      <c r="I28" s="239" t="str">
        <f t="shared" si="3"/>
        <v/>
      </c>
      <c r="M28" s="7"/>
    </row>
    <row r="29" spans="1:13" x14ac:dyDescent="0.35">
      <c r="A29" s="1" t="s">
        <v>749</v>
      </c>
      <c r="B29" s="239">
        <f>ROUND(N('Prior Year'!Q85), 0)</f>
        <v>169441</v>
      </c>
      <c r="C29" s="239">
        <f>data!Q85</f>
        <v>4639481</v>
      </c>
      <c r="D29" s="239">
        <f>ROUND(N('Prior Year'!Q59), 0)</f>
        <v>0</v>
      </c>
      <c r="E29" s="1">
        <f>data!Q59</f>
        <v>137850</v>
      </c>
      <c r="F29" s="372" t="str">
        <f t="shared" si="0"/>
        <v/>
      </c>
      <c r="G29" s="372">
        <f t="shared" si="1"/>
        <v>33.656010155966634</v>
      </c>
      <c r="H29" s="6" t="str">
        <f t="shared" si="2"/>
        <v/>
      </c>
      <c r="I29" s="239" t="str">
        <f t="shared" si="3"/>
        <v/>
      </c>
      <c r="M29" s="7"/>
    </row>
    <row r="30" spans="1:13" x14ac:dyDescent="0.35">
      <c r="A30" s="1" t="s">
        <v>750</v>
      </c>
      <c r="B30" s="239">
        <f>ROUND(N('Prior Year'!R85), 0)</f>
        <v>131331</v>
      </c>
      <c r="C30" s="239">
        <f>data!R85</f>
        <v>0</v>
      </c>
      <c r="D30" s="239">
        <f>ROUND(N('Prior Year'!R59), 0)</f>
        <v>0</v>
      </c>
      <c r="E30" s="1">
        <f>data!R59</f>
        <v>0</v>
      </c>
      <c r="F30" s="372" t="str">
        <f t="shared" si="0"/>
        <v/>
      </c>
      <c r="G30" s="372" t="str">
        <f>IFERROR(IF(C30=0,"",IF(E30=0,"",C30/E30)),"")</f>
        <v/>
      </c>
      <c r="H30" s="6" t="str">
        <f t="shared" si="2"/>
        <v/>
      </c>
      <c r="I30" s="239" t="str">
        <f t="shared" si="3"/>
        <v/>
      </c>
      <c r="M30" s="7"/>
    </row>
    <row r="31" spans="1:13" x14ac:dyDescent="0.35">
      <c r="A31" s="1" t="s">
        <v>751</v>
      </c>
      <c r="B31" s="239">
        <f>ROUND(N('Prior Year'!S85), 0)</f>
        <v>611977</v>
      </c>
      <c r="C31" s="239">
        <f>data!S85</f>
        <v>632571</v>
      </c>
      <c r="D31" s="239" t="s">
        <v>752</v>
      </c>
      <c r="E31" s="4" t="s">
        <v>752</v>
      </c>
      <c r="F31" s="372" t="s">
        <v>5</v>
      </c>
      <c r="G31" s="372" t="str">
        <f t="shared" ref="G31:G32" si="4">IFERROR(IF(C31=0,"",IF(E31=0,"",C31/E31)),"")</f>
        <v/>
      </c>
      <c r="H31" s="6" t="s">
        <v>5</v>
      </c>
      <c r="I31" s="239" t="str">
        <f t="shared" si="3"/>
        <v/>
      </c>
      <c r="M31" s="7"/>
    </row>
    <row r="32" spans="1:13" x14ac:dyDescent="0.35">
      <c r="A32" s="1" t="s">
        <v>753</v>
      </c>
      <c r="B32" s="239">
        <f>ROUND(N('Prior Year'!T85), 0)</f>
        <v>0</v>
      </c>
      <c r="C32" s="239">
        <f>data!T85</f>
        <v>0</v>
      </c>
      <c r="D32" s="239" t="s">
        <v>752</v>
      </c>
      <c r="E32" s="4" t="s">
        <v>752</v>
      </c>
      <c r="F32" s="372" t="s">
        <v>5</v>
      </c>
      <c r="G32" s="372" t="str">
        <f t="shared" si="4"/>
        <v/>
      </c>
      <c r="H32" s="6" t="s">
        <v>5</v>
      </c>
      <c r="I32" s="239" t="str">
        <f t="shared" si="3"/>
        <v/>
      </c>
      <c r="M32" s="7"/>
    </row>
    <row r="33" spans="1:13" x14ac:dyDescent="0.35">
      <c r="A33" s="1" t="s">
        <v>754</v>
      </c>
      <c r="B33" s="239">
        <f>ROUND(N('Prior Year'!U85), 0)</f>
        <v>6198821</v>
      </c>
      <c r="C33" s="239">
        <f>data!U85</f>
        <v>6315723</v>
      </c>
      <c r="D33" s="239">
        <f>ROUND(N('Prior Year'!U59), 0)</f>
        <v>277627</v>
      </c>
      <c r="E33" s="1">
        <f>data!U59</f>
        <v>279343</v>
      </c>
      <c r="F33" s="372">
        <f t="shared" si="0"/>
        <v>22.327875170642624</v>
      </c>
      <c r="G33" s="372">
        <f t="shared" ref="G33:G69" si="5">IF(C33=0,"",IF(E33=0,"",C33/E33))</f>
        <v>22.609204454738439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39" t="str">
        <f t="shared" si="3"/>
        <v/>
      </c>
      <c r="M33" s="7"/>
    </row>
    <row r="34" spans="1:13" x14ac:dyDescent="0.35">
      <c r="A34" s="1" t="s">
        <v>755</v>
      </c>
      <c r="B34" s="239">
        <f>ROUND(N('Prior Year'!V85), 0)</f>
        <v>0</v>
      </c>
      <c r="C34" s="239">
        <f>data!V85</f>
        <v>0</v>
      </c>
      <c r="D34" s="239">
        <f>ROUND(N('Prior Year'!V59), 0)</f>
        <v>0</v>
      </c>
      <c r="E34" s="1">
        <f>data!V59</f>
        <v>0</v>
      </c>
      <c r="F34" s="372" t="str">
        <f t="shared" si="0"/>
        <v/>
      </c>
      <c r="G34" s="372" t="str">
        <f t="shared" si="5"/>
        <v/>
      </c>
      <c r="H34" s="6" t="str">
        <f t="shared" si="6"/>
        <v/>
      </c>
      <c r="I34" s="239" t="str">
        <f t="shared" si="3"/>
        <v/>
      </c>
      <c r="M34" s="7"/>
    </row>
    <row r="35" spans="1:13" x14ac:dyDescent="0.35">
      <c r="A35" s="1" t="s">
        <v>756</v>
      </c>
      <c r="B35" s="239">
        <f>ROUND(N('Prior Year'!W85), 0)</f>
        <v>413120</v>
      </c>
      <c r="C35" s="239">
        <f>data!W85</f>
        <v>310446</v>
      </c>
      <c r="D35" s="239">
        <f>ROUND(N('Prior Year'!W59), 0)</f>
        <v>2277</v>
      </c>
      <c r="E35" s="1">
        <f>data!W59</f>
        <v>2279</v>
      </c>
      <c r="F35" s="372">
        <f t="shared" si="0"/>
        <v>181.43170838823013</v>
      </c>
      <c r="G35" s="372">
        <f t="shared" si="5"/>
        <v>136.22027204914437</v>
      </c>
      <c r="H35" s="6" t="str">
        <f t="shared" si="6"/>
        <v/>
      </c>
      <c r="I35" s="347"/>
      <c r="M35" s="7"/>
    </row>
    <row r="36" spans="1:13" x14ac:dyDescent="0.35">
      <c r="A36" s="1" t="s">
        <v>757</v>
      </c>
      <c r="B36" s="239">
        <f>ROUND(N('Prior Year'!X85), 0)</f>
        <v>1205468</v>
      </c>
      <c r="C36" s="239">
        <f>data!X85</f>
        <v>1389079</v>
      </c>
      <c r="D36" s="239">
        <f>ROUND(N('Prior Year'!X59), 0)</f>
        <v>6220</v>
      </c>
      <c r="E36" s="1">
        <f>data!X59</f>
        <v>7302</v>
      </c>
      <c r="F36" s="372">
        <f t="shared" si="0"/>
        <v>193.80514469453377</v>
      </c>
      <c r="G36" s="372">
        <f t="shared" si="5"/>
        <v>190.2326759791838</v>
      </c>
      <c r="H36" s="6" t="str">
        <f t="shared" si="6"/>
        <v/>
      </c>
      <c r="I36" s="239" t="str">
        <f t="shared" si="3"/>
        <v/>
      </c>
      <c r="M36" s="7"/>
    </row>
    <row r="37" spans="1:13" x14ac:dyDescent="0.35">
      <c r="A37" s="1" t="s">
        <v>758</v>
      </c>
      <c r="B37" s="239">
        <f>ROUND(N('Prior Year'!Y85), 0)</f>
        <v>2979722</v>
      </c>
      <c r="C37" s="239">
        <f>data!Y85</f>
        <v>2881136</v>
      </c>
      <c r="D37" s="239">
        <f>ROUND(N('Prior Year'!Y59), 0)</f>
        <v>26725</v>
      </c>
      <c r="E37" s="1">
        <f>data!Y59</f>
        <v>28800</v>
      </c>
      <c r="F37" s="372">
        <f t="shared" si="0"/>
        <v>111.4956782039289</v>
      </c>
      <c r="G37" s="372">
        <f t="shared" si="5"/>
        <v>100.03944444444444</v>
      </c>
      <c r="H37" s="6" t="str">
        <f t="shared" si="6"/>
        <v/>
      </c>
      <c r="I37" s="239" t="str">
        <f t="shared" si="3"/>
        <v/>
      </c>
      <c r="M37" s="7"/>
    </row>
    <row r="38" spans="1:13" x14ac:dyDescent="0.35">
      <c r="A38" s="1" t="s">
        <v>759</v>
      </c>
      <c r="B38" s="239">
        <f>ROUND(N('Prior Year'!Z85), 0)</f>
        <v>0</v>
      </c>
      <c r="C38" s="239">
        <f>data!Z85</f>
        <v>0</v>
      </c>
      <c r="D38" s="239">
        <f>ROUND(N('Prior Year'!Z59), 0)</f>
        <v>0</v>
      </c>
      <c r="E38" s="1">
        <f>data!Z59</f>
        <v>0</v>
      </c>
      <c r="F38" s="372" t="str">
        <f t="shared" si="0"/>
        <v/>
      </c>
      <c r="G38" s="372" t="str">
        <f t="shared" si="5"/>
        <v/>
      </c>
      <c r="H38" s="6" t="str">
        <f t="shared" si="6"/>
        <v/>
      </c>
      <c r="I38" s="239" t="str">
        <f t="shared" si="3"/>
        <v/>
      </c>
      <c r="M38" s="7"/>
    </row>
    <row r="39" spans="1:13" x14ac:dyDescent="0.35">
      <c r="A39" s="1" t="s">
        <v>760</v>
      </c>
      <c r="B39" s="239">
        <f>ROUND(N('Prior Year'!AA85), 0)</f>
        <v>0</v>
      </c>
      <c r="C39" s="239">
        <f>data!AA85</f>
        <v>0</v>
      </c>
      <c r="D39" s="239">
        <f>ROUND(N('Prior Year'!AA59), 0)</f>
        <v>0</v>
      </c>
      <c r="E39" s="1">
        <f>data!AA59</f>
        <v>0</v>
      </c>
      <c r="F39" s="372" t="str">
        <f t="shared" si="0"/>
        <v/>
      </c>
      <c r="G39" s="372" t="str">
        <f t="shared" si="5"/>
        <v/>
      </c>
      <c r="H39" s="6" t="str">
        <f t="shared" si="6"/>
        <v/>
      </c>
      <c r="I39" s="239" t="str">
        <f t="shared" si="3"/>
        <v/>
      </c>
      <c r="M39" s="7"/>
    </row>
    <row r="40" spans="1:13" x14ac:dyDescent="0.35">
      <c r="A40" s="1" t="s">
        <v>761</v>
      </c>
      <c r="B40" s="239">
        <f>ROUND(N('Prior Year'!AB85), 0)</f>
        <v>4564327</v>
      </c>
      <c r="C40" s="239">
        <f>data!AB85</f>
        <v>6332652</v>
      </c>
      <c r="D40" s="239" t="s">
        <v>752</v>
      </c>
      <c r="E40" s="4" t="s">
        <v>752</v>
      </c>
      <c r="F40" s="372" t="s">
        <v>5</v>
      </c>
      <c r="G40" s="372" t="str">
        <f>IFERROR(IF(C40=0,"",IF(E40=0,"",C40/E40)),"")</f>
        <v/>
      </c>
      <c r="H40" s="6" t="s">
        <v>5</v>
      </c>
      <c r="I40" s="239" t="str">
        <f t="shared" si="3"/>
        <v/>
      </c>
      <c r="M40" s="7"/>
    </row>
    <row r="41" spans="1:13" x14ac:dyDescent="0.35">
      <c r="A41" s="1" t="s">
        <v>762</v>
      </c>
      <c r="B41" s="239">
        <f>ROUND(N('Prior Year'!AC85), 0)</f>
        <v>982781</v>
      </c>
      <c r="C41" s="239">
        <f>data!AC85</f>
        <v>1304225</v>
      </c>
      <c r="D41" s="239">
        <f>ROUND(N('Prior Year'!AC59), 0)</f>
        <v>0</v>
      </c>
      <c r="E41" s="1">
        <f>data!AC59</f>
        <v>1225</v>
      </c>
      <c r="F41" s="372" t="str">
        <f t="shared" si="0"/>
        <v/>
      </c>
      <c r="G41" s="372">
        <f t="shared" si="5"/>
        <v>1064.6734693877552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39" t="str">
        <f t="shared" si="3"/>
        <v/>
      </c>
      <c r="M41" s="7"/>
    </row>
    <row r="42" spans="1:13" x14ac:dyDescent="0.35">
      <c r="A42" s="1" t="s">
        <v>763</v>
      </c>
      <c r="B42" s="239">
        <f>ROUND(N('Prior Year'!AD85), 0)</f>
        <v>0</v>
      </c>
      <c r="C42" s="239">
        <f>data!AD85</f>
        <v>0</v>
      </c>
      <c r="D42" s="239">
        <f>ROUND(N('Prior Year'!AD59), 0)</f>
        <v>0</v>
      </c>
      <c r="E42" s="1">
        <f>data!AD59</f>
        <v>0</v>
      </c>
      <c r="F42" s="372" t="str">
        <f t="shared" si="0"/>
        <v/>
      </c>
      <c r="G42" s="372" t="str">
        <f t="shared" si="5"/>
        <v/>
      </c>
      <c r="H42" s="6" t="str">
        <f t="shared" si="7"/>
        <v/>
      </c>
      <c r="I42" s="239" t="str">
        <f t="shared" si="3"/>
        <v/>
      </c>
      <c r="M42" s="7"/>
    </row>
    <row r="43" spans="1:13" x14ac:dyDescent="0.35">
      <c r="A43" s="1" t="s">
        <v>764</v>
      </c>
      <c r="B43" s="239">
        <f>ROUND(N('Prior Year'!AE85), 0)</f>
        <v>1514065</v>
      </c>
      <c r="C43" s="239">
        <f>data!AE85</f>
        <v>1418104</v>
      </c>
      <c r="D43" s="239">
        <f>ROUND(N('Prior Year'!AE59), 0)</f>
        <v>12427</v>
      </c>
      <c r="E43" s="1">
        <f>data!AE59</f>
        <v>14431</v>
      </c>
      <c r="F43" s="372">
        <f t="shared" si="0"/>
        <v>121.83672648265873</v>
      </c>
      <c r="G43" s="372">
        <f t="shared" si="5"/>
        <v>98.267895502737161</v>
      </c>
      <c r="H43" s="6" t="str">
        <f t="shared" si="7"/>
        <v/>
      </c>
      <c r="I43" s="239" t="str">
        <f t="shared" si="3"/>
        <v/>
      </c>
      <c r="M43" s="7"/>
    </row>
    <row r="44" spans="1:13" x14ac:dyDescent="0.35">
      <c r="A44" s="1" t="s">
        <v>765</v>
      </c>
      <c r="B44" s="239">
        <f>ROUND(N('Prior Year'!AF85), 0)</f>
        <v>0</v>
      </c>
      <c r="C44" s="239">
        <f>data!AF85</f>
        <v>0</v>
      </c>
      <c r="D44" s="239">
        <f>ROUND(N('Prior Year'!AF59), 0)</f>
        <v>0</v>
      </c>
      <c r="E44" s="1">
        <f>data!AF59</f>
        <v>0</v>
      </c>
      <c r="F44" s="372" t="str">
        <f t="shared" si="0"/>
        <v/>
      </c>
      <c r="G44" s="372" t="str">
        <f t="shared" si="5"/>
        <v/>
      </c>
      <c r="H44" s="6" t="str">
        <f t="shared" si="7"/>
        <v/>
      </c>
      <c r="I44" s="239" t="str">
        <f t="shared" si="3"/>
        <v/>
      </c>
      <c r="M44" s="7"/>
    </row>
    <row r="45" spans="1:13" x14ac:dyDescent="0.35">
      <c r="A45" s="1" t="s">
        <v>766</v>
      </c>
      <c r="B45" s="239">
        <f>ROUND(N('Prior Year'!AG85), 0)</f>
        <v>8486825</v>
      </c>
      <c r="C45" s="239">
        <f>data!AG85</f>
        <v>8923315</v>
      </c>
      <c r="D45" s="239">
        <f>ROUND(N('Prior Year'!AG59), 0)</f>
        <v>15643</v>
      </c>
      <c r="E45" s="1">
        <f>data!AG59</f>
        <v>17212</v>
      </c>
      <c r="F45" s="372">
        <f t="shared" si="0"/>
        <v>542.53180336252638</v>
      </c>
      <c r="G45" s="372">
        <f t="shared" si="5"/>
        <v>518.43568440622823</v>
      </c>
      <c r="H45" s="6" t="str">
        <f t="shared" si="7"/>
        <v/>
      </c>
      <c r="I45" s="239" t="str">
        <f t="shared" si="3"/>
        <v/>
      </c>
      <c r="M45" s="7"/>
    </row>
    <row r="46" spans="1:13" x14ac:dyDescent="0.35">
      <c r="A46" s="1" t="s">
        <v>767</v>
      </c>
      <c r="B46" s="239">
        <f>ROUND(N('Prior Year'!AH85), 0)</f>
        <v>0</v>
      </c>
      <c r="C46" s="239">
        <f>data!AH85</f>
        <v>0</v>
      </c>
      <c r="D46" s="239">
        <f>ROUND(N('Prior Year'!AH59), 0)</f>
        <v>0</v>
      </c>
      <c r="E46" s="1">
        <f>data!AH59</f>
        <v>0</v>
      </c>
      <c r="F46" s="372" t="str">
        <f t="shared" si="0"/>
        <v/>
      </c>
      <c r="G46" s="372" t="str">
        <f t="shared" si="5"/>
        <v/>
      </c>
      <c r="H46" s="6" t="str">
        <f t="shared" si="7"/>
        <v/>
      </c>
      <c r="I46" s="239" t="str">
        <f t="shared" si="3"/>
        <v/>
      </c>
      <c r="M46" s="7"/>
    </row>
    <row r="47" spans="1:13" x14ac:dyDescent="0.35">
      <c r="A47" s="1" t="s">
        <v>768</v>
      </c>
      <c r="B47" s="239">
        <f>ROUND(N('Prior Year'!AI85), 0)</f>
        <v>0</v>
      </c>
      <c r="C47" s="239">
        <f>data!AI85</f>
        <v>0</v>
      </c>
      <c r="D47" s="239">
        <f>ROUND(N('Prior Year'!AI59), 0)</f>
        <v>0</v>
      </c>
      <c r="E47" s="1">
        <f>data!AI59</f>
        <v>0</v>
      </c>
      <c r="F47" s="372" t="str">
        <f t="shared" si="0"/>
        <v/>
      </c>
      <c r="G47" s="372" t="str">
        <f t="shared" si="5"/>
        <v/>
      </c>
      <c r="H47" s="6" t="str">
        <f t="shared" si="7"/>
        <v/>
      </c>
      <c r="I47" s="239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769</v>
      </c>
      <c r="B48" s="239">
        <f>ROUND(N('Prior Year'!AJ85), 0)</f>
        <v>30836519</v>
      </c>
      <c r="C48" s="239">
        <f>data!AJ85</f>
        <v>34075480</v>
      </c>
      <c r="D48" s="239">
        <f>ROUND(N('Prior Year'!AJ59), 0)</f>
        <v>88913</v>
      </c>
      <c r="E48" s="1">
        <f>data!AJ59</f>
        <v>86142</v>
      </c>
      <c r="F48" s="372">
        <f t="shared" si="0"/>
        <v>346.8167647025744</v>
      </c>
      <c r="G48" s="372">
        <f t="shared" si="5"/>
        <v>395.57335562211233</v>
      </c>
      <c r="H48" s="6" t="str">
        <f t="shared" si="7"/>
        <v/>
      </c>
      <c r="I48" s="239" t="str">
        <f t="shared" si="8"/>
        <v/>
      </c>
      <c r="M48" s="7"/>
    </row>
    <row r="49" spans="1:13" x14ac:dyDescent="0.35">
      <c r="A49" s="1" t="s">
        <v>770</v>
      </c>
      <c r="B49" s="239">
        <f>ROUND(N('Prior Year'!AK85), 0)</f>
        <v>287655</v>
      </c>
      <c r="C49" s="239">
        <f>data!AK85</f>
        <v>230143</v>
      </c>
      <c r="D49" s="239">
        <f>ROUND(N('Prior Year'!AK59), 0)</f>
        <v>2587</v>
      </c>
      <c r="E49" s="1">
        <f>data!AK59</f>
        <v>2466</v>
      </c>
      <c r="F49" s="372">
        <f t="shared" si="0"/>
        <v>111.19250096637032</v>
      </c>
      <c r="G49" s="372">
        <f t="shared" si="5"/>
        <v>93.326439578264399</v>
      </c>
      <c r="H49" s="6" t="str">
        <f t="shared" si="7"/>
        <v/>
      </c>
      <c r="I49" s="239" t="str">
        <f t="shared" si="8"/>
        <v/>
      </c>
      <c r="M49" s="7"/>
    </row>
    <row r="50" spans="1:13" x14ac:dyDescent="0.35">
      <c r="A50" s="1" t="s">
        <v>771</v>
      </c>
      <c r="B50" s="239">
        <f>ROUND(N('Prior Year'!AL85), 0)</f>
        <v>223618</v>
      </c>
      <c r="C50" s="239">
        <f>data!AL85</f>
        <v>281706</v>
      </c>
      <c r="D50" s="239">
        <f>ROUND(N('Prior Year'!AL59), 0)</f>
        <v>2046</v>
      </c>
      <c r="E50" s="1">
        <f>data!AL59</f>
        <v>2068</v>
      </c>
      <c r="F50" s="372">
        <f t="shared" si="0"/>
        <v>109.29521016617791</v>
      </c>
      <c r="G50" s="372">
        <f t="shared" si="5"/>
        <v>136.22147001934235</v>
      </c>
      <c r="H50" s="6" t="str">
        <f t="shared" si="7"/>
        <v/>
      </c>
      <c r="I50" s="347"/>
      <c r="M50" s="7"/>
    </row>
    <row r="51" spans="1:13" x14ac:dyDescent="0.35">
      <c r="A51" s="1" t="s">
        <v>772</v>
      </c>
      <c r="B51" s="239">
        <f>ROUND(N('Prior Year'!AM85), 0)</f>
        <v>0</v>
      </c>
      <c r="C51" s="239">
        <f>data!AM85</f>
        <v>0</v>
      </c>
      <c r="D51" s="239">
        <f>ROUND(N('Prior Year'!AM59), 0)</f>
        <v>0</v>
      </c>
      <c r="E51" s="1">
        <f>data!AM59</f>
        <v>0</v>
      </c>
      <c r="F51" s="372" t="str">
        <f t="shared" si="0"/>
        <v/>
      </c>
      <c r="G51" s="372" t="str">
        <f t="shared" si="5"/>
        <v/>
      </c>
      <c r="H51" s="6" t="str">
        <f t="shared" si="7"/>
        <v/>
      </c>
      <c r="I51" s="239" t="str">
        <f t="shared" si="8"/>
        <v/>
      </c>
      <c r="M51" s="7"/>
    </row>
    <row r="52" spans="1:13" x14ac:dyDescent="0.35">
      <c r="A52" s="1" t="s">
        <v>773</v>
      </c>
      <c r="B52" s="239">
        <f>ROUND(N('Prior Year'!AN85), 0)</f>
        <v>0</v>
      </c>
      <c r="C52" s="239">
        <f>data!AN85</f>
        <v>0</v>
      </c>
      <c r="D52" s="239">
        <f>ROUND(N('Prior Year'!AN59), 0)</f>
        <v>0</v>
      </c>
      <c r="E52" s="1">
        <f>data!AN59</f>
        <v>0</v>
      </c>
      <c r="F52" s="372" t="str">
        <f t="shared" si="0"/>
        <v/>
      </c>
      <c r="G52" s="372" t="str">
        <f t="shared" si="5"/>
        <v/>
      </c>
      <c r="H52" s="6" t="str">
        <f t="shared" si="7"/>
        <v/>
      </c>
      <c r="I52" s="239" t="str">
        <f t="shared" si="8"/>
        <v/>
      </c>
      <c r="M52" s="7"/>
    </row>
    <row r="53" spans="1:13" x14ac:dyDescent="0.35">
      <c r="A53" s="1" t="s">
        <v>774</v>
      </c>
      <c r="B53" s="239">
        <f>ROUND(N('Prior Year'!AO85), 0)</f>
        <v>0</v>
      </c>
      <c r="C53" s="239">
        <f>data!AO85</f>
        <v>1599371</v>
      </c>
      <c r="D53" s="239">
        <f>ROUND(N('Prior Year'!AO59), 0)</f>
        <v>0</v>
      </c>
      <c r="E53" s="1">
        <f>data!AO59</f>
        <v>30960</v>
      </c>
      <c r="F53" s="372" t="str">
        <f t="shared" si="0"/>
        <v/>
      </c>
      <c r="G53" s="372">
        <f t="shared" si="5"/>
        <v>51.659270025839795</v>
      </c>
      <c r="H53" s="6" t="str">
        <f t="shared" si="7"/>
        <v/>
      </c>
      <c r="I53" s="239" t="str">
        <f t="shared" si="8"/>
        <v/>
      </c>
      <c r="M53" s="7"/>
    </row>
    <row r="54" spans="1:13" x14ac:dyDescent="0.35">
      <c r="A54" s="1" t="s">
        <v>775</v>
      </c>
      <c r="B54" s="239">
        <f>ROUND(N('Prior Year'!AP85), 0)</f>
        <v>0</v>
      </c>
      <c r="C54" s="239">
        <f>data!AP85</f>
        <v>0</v>
      </c>
      <c r="D54" s="239">
        <f>ROUND(N('Prior Year'!AP59), 0)</f>
        <v>0</v>
      </c>
      <c r="E54" s="1">
        <f>data!AP59</f>
        <v>0</v>
      </c>
      <c r="F54" s="372" t="str">
        <f t="shared" si="0"/>
        <v/>
      </c>
      <c r="G54" s="372" t="str">
        <f t="shared" si="5"/>
        <v/>
      </c>
      <c r="H54" s="6" t="str">
        <f t="shared" si="7"/>
        <v/>
      </c>
      <c r="I54" s="239" t="str">
        <f t="shared" si="8"/>
        <v/>
      </c>
      <c r="M54" s="7"/>
    </row>
    <row r="55" spans="1:13" x14ac:dyDescent="0.35">
      <c r="A55" s="1" t="s">
        <v>776</v>
      </c>
      <c r="B55" s="239">
        <f>ROUND(N('Prior Year'!AQ85), 0)</f>
        <v>0</v>
      </c>
      <c r="C55" s="239">
        <f>data!AQ85</f>
        <v>0</v>
      </c>
      <c r="D55" s="239">
        <f>ROUND(N('Prior Year'!AQ59), 0)</f>
        <v>0</v>
      </c>
      <c r="E55" s="1">
        <f>data!AQ59</f>
        <v>0</v>
      </c>
      <c r="F55" s="372" t="str">
        <f t="shared" si="0"/>
        <v/>
      </c>
      <c r="G55" s="372" t="str">
        <f t="shared" si="5"/>
        <v/>
      </c>
      <c r="H55" s="6" t="str">
        <f t="shared" si="7"/>
        <v/>
      </c>
      <c r="I55" s="239" t="str">
        <f t="shared" si="8"/>
        <v/>
      </c>
      <c r="M55" s="7"/>
    </row>
    <row r="56" spans="1:13" x14ac:dyDescent="0.35">
      <c r="A56" s="1" t="s">
        <v>777</v>
      </c>
      <c r="B56" s="239">
        <f>ROUND(N('Prior Year'!AR85), 0)</f>
        <v>3082409</v>
      </c>
      <c r="C56" s="239">
        <f>data!AR85</f>
        <v>3331633</v>
      </c>
      <c r="D56" s="239">
        <f>ROUND(N('Prior Year'!AR59), 0)</f>
        <v>14761</v>
      </c>
      <c r="E56" s="1">
        <f>data!AR59</f>
        <v>14742</v>
      </c>
      <c r="F56" s="372">
        <f t="shared" si="0"/>
        <v>208.82115032856854</v>
      </c>
      <c r="G56" s="372">
        <f t="shared" si="5"/>
        <v>225.99599782933117</v>
      </c>
      <c r="H56" s="6" t="str">
        <f t="shared" si="7"/>
        <v/>
      </c>
      <c r="I56" s="239" t="str">
        <f t="shared" si="8"/>
        <v/>
      </c>
      <c r="M56" s="7"/>
    </row>
    <row r="57" spans="1:13" x14ac:dyDescent="0.35">
      <c r="A57" s="1" t="s">
        <v>778</v>
      </c>
      <c r="B57" s="239">
        <f>ROUND(N('Prior Year'!AS85), 0)</f>
        <v>0</v>
      </c>
      <c r="C57" s="239">
        <f>data!AS85</f>
        <v>0</v>
      </c>
      <c r="D57" s="239">
        <f>ROUND(N('Prior Year'!AS59), 0)</f>
        <v>0</v>
      </c>
      <c r="E57" s="1">
        <f>data!AS59</f>
        <v>0</v>
      </c>
      <c r="F57" s="372" t="str">
        <f t="shared" si="0"/>
        <v/>
      </c>
      <c r="G57" s="372" t="str">
        <f t="shared" si="5"/>
        <v/>
      </c>
      <c r="H57" s="6" t="str">
        <f t="shared" si="7"/>
        <v/>
      </c>
      <c r="I57" s="239" t="str">
        <f t="shared" si="8"/>
        <v/>
      </c>
      <c r="M57" s="7"/>
    </row>
    <row r="58" spans="1:13" x14ac:dyDescent="0.35">
      <c r="A58" s="1" t="s">
        <v>779</v>
      </c>
      <c r="B58" s="239">
        <f>ROUND(N('Prior Year'!AT85), 0)</f>
        <v>0</v>
      </c>
      <c r="C58" s="239">
        <f>data!AT85</f>
        <v>0</v>
      </c>
      <c r="D58" s="239">
        <f>ROUND(N('Prior Year'!AT59), 0)</f>
        <v>0</v>
      </c>
      <c r="E58" s="1">
        <f>data!AT59</f>
        <v>0</v>
      </c>
      <c r="F58" s="372" t="str">
        <f t="shared" si="0"/>
        <v/>
      </c>
      <c r="G58" s="372" t="str">
        <f t="shared" si="5"/>
        <v/>
      </c>
      <c r="H58" s="6" t="str">
        <f t="shared" si="7"/>
        <v/>
      </c>
      <c r="I58" s="239" t="str">
        <f t="shared" si="8"/>
        <v/>
      </c>
      <c r="M58" s="7"/>
    </row>
    <row r="59" spans="1:13" x14ac:dyDescent="0.35">
      <c r="A59" s="1" t="s">
        <v>780</v>
      </c>
      <c r="B59" s="239">
        <f>ROUND(N('Prior Year'!AU85), 0)</f>
        <v>0</v>
      </c>
      <c r="C59" s="239">
        <f>data!AU85</f>
        <v>0</v>
      </c>
      <c r="D59" s="239">
        <f>ROUND(N('Prior Year'!AU59), 0)</f>
        <v>0</v>
      </c>
      <c r="E59" s="1">
        <f>data!AU59</f>
        <v>0</v>
      </c>
      <c r="F59" s="372" t="str">
        <f t="shared" si="0"/>
        <v/>
      </c>
      <c r="G59" s="372" t="str">
        <f t="shared" si="5"/>
        <v/>
      </c>
      <c r="H59" s="6" t="str">
        <f t="shared" si="7"/>
        <v/>
      </c>
      <c r="I59" s="239" t="str">
        <f t="shared" si="8"/>
        <v/>
      </c>
      <c r="M59" s="7"/>
    </row>
    <row r="60" spans="1:13" x14ac:dyDescent="0.35">
      <c r="A60" s="1" t="s">
        <v>781</v>
      </c>
      <c r="B60" s="239">
        <f>ROUND(N('Prior Year'!AV85), 0)</f>
        <v>0</v>
      </c>
      <c r="C60" s="239">
        <f>data!AV85</f>
        <v>0</v>
      </c>
      <c r="D60" s="239" t="s">
        <v>752</v>
      </c>
      <c r="E60" s="4" t="s">
        <v>752</v>
      </c>
      <c r="F60" s="372" t="s">
        <v>5</v>
      </c>
      <c r="G60" s="372"/>
      <c r="H60" s="6" t="s">
        <v>5</v>
      </c>
      <c r="I60" s="239" t="str">
        <f t="shared" si="8"/>
        <v/>
      </c>
      <c r="M60" s="7"/>
    </row>
    <row r="61" spans="1:13" x14ac:dyDescent="0.35">
      <c r="A61" s="1" t="s">
        <v>782</v>
      </c>
      <c r="B61" s="239">
        <f>ROUND(N('Prior Year'!AW85), 0)</f>
        <v>0</v>
      </c>
      <c r="C61" s="239">
        <f>data!AW85</f>
        <v>0</v>
      </c>
      <c r="D61" s="239" t="s">
        <v>752</v>
      </c>
      <c r="E61" s="4" t="s">
        <v>752</v>
      </c>
      <c r="F61" s="372" t="s">
        <v>5</v>
      </c>
      <c r="G61" s="372"/>
      <c r="H61" s="6" t="s">
        <v>5</v>
      </c>
      <c r="I61" s="239" t="str">
        <f t="shared" si="8"/>
        <v/>
      </c>
      <c r="M61" s="7"/>
    </row>
    <row r="62" spans="1:13" x14ac:dyDescent="0.35">
      <c r="A62" s="1" t="s">
        <v>783</v>
      </c>
      <c r="B62" s="239">
        <f>ROUND(N('Prior Year'!AX85), 0)</f>
        <v>0</v>
      </c>
      <c r="C62" s="239">
        <f>data!AX85</f>
        <v>0</v>
      </c>
      <c r="D62" s="239" t="s">
        <v>752</v>
      </c>
      <c r="E62" s="4" t="s">
        <v>752</v>
      </c>
      <c r="F62" s="372" t="s">
        <v>5</v>
      </c>
      <c r="G62" s="372"/>
      <c r="H62" s="6" t="s">
        <v>5</v>
      </c>
      <c r="I62" s="239" t="str">
        <f t="shared" si="8"/>
        <v/>
      </c>
      <c r="M62" s="7"/>
    </row>
    <row r="63" spans="1:13" ht="58" x14ac:dyDescent="0.35">
      <c r="A63" s="1" t="s">
        <v>784</v>
      </c>
      <c r="B63" s="239">
        <f>ROUND(N('Prior Year'!AY85), 0)</f>
        <v>430377</v>
      </c>
      <c r="C63" s="239">
        <f>data!AY85</f>
        <v>1140687</v>
      </c>
      <c r="D63" s="239">
        <f>ROUND(N('Prior Year'!AY59), 0)</f>
        <v>15871</v>
      </c>
      <c r="E63" s="1">
        <f>data!AY59</f>
        <v>14485</v>
      </c>
      <c r="F63" s="372">
        <f>IF(B63=0,"",IF(D63=0,"",B63/D63))</f>
        <v>27.117194883750237</v>
      </c>
      <c r="G63" s="372">
        <f t="shared" si="5"/>
        <v>78.749534000690375</v>
      </c>
      <c r="H63" s="6">
        <f>IF(B63 = 0, "", IF(C63 = 0, "", IF(D63 = 0, "", IF(E63 = 0, "", IF(G63 / F63 - 1 &lt; -0.25, G63 / F63 - 1, IF(G63 / F63 - 1 &gt; 0.25, G63 / F63 - 1, ""))))))</f>
        <v>1.9040442545139653</v>
      </c>
      <c r="I63" s="347" t="s">
        <v>1792</v>
      </c>
      <c r="M63" s="7"/>
    </row>
    <row r="64" spans="1:13" x14ac:dyDescent="0.35">
      <c r="A64" s="1" t="s">
        <v>785</v>
      </c>
      <c r="B64" s="239">
        <f>ROUND(N('Prior Year'!AZ85), 0)</f>
        <v>963076</v>
      </c>
      <c r="C64" s="239">
        <f>data!AZ85</f>
        <v>84604</v>
      </c>
      <c r="D64" s="239">
        <f>ROUND(N('Prior Year'!AZ59), 0)</f>
        <v>38735</v>
      </c>
      <c r="E64" s="1">
        <f>data!AZ59</f>
        <v>0</v>
      </c>
      <c r="F64" s="372">
        <f>IF(B64=0,"",IF(D64=0,"",B64/D64))</f>
        <v>24.863198657544856</v>
      </c>
      <c r="G64" s="372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39" t="str">
        <f t="shared" si="8"/>
        <v/>
      </c>
      <c r="M64" s="7"/>
    </row>
    <row r="65" spans="1:13" x14ac:dyDescent="0.35">
      <c r="A65" s="1" t="s">
        <v>786</v>
      </c>
      <c r="B65" s="239">
        <f>ROUND(N('Prior Year'!BA85), 0)</f>
        <v>251053</v>
      </c>
      <c r="C65" s="239">
        <f>data!BA85</f>
        <v>258704</v>
      </c>
      <c r="D65" s="239">
        <f>ROUND(N('Prior Year'!BA59), 0)</f>
        <v>0</v>
      </c>
      <c r="E65" s="1">
        <f>data!BA59</f>
        <v>0</v>
      </c>
      <c r="F65" s="372" t="str">
        <f>IF(B65=0,"",IF(D65=0,"",B65/D65))</f>
        <v/>
      </c>
      <c r="G65" s="372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39" t="str">
        <f t="shared" si="8"/>
        <v/>
      </c>
      <c r="M65" s="7"/>
    </row>
    <row r="66" spans="1:13" x14ac:dyDescent="0.35">
      <c r="A66" s="1" t="s">
        <v>787</v>
      </c>
      <c r="B66" s="239">
        <f>ROUND(N('Prior Year'!BB85), 0)</f>
        <v>155045</v>
      </c>
      <c r="C66" s="239">
        <f>data!BB85</f>
        <v>208038</v>
      </c>
      <c r="D66" s="239" t="s">
        <v>752</v>
      </c>
      <c r="E66" s="4" t="s">
        <v>752</v>
      </c>
      <c r="F66" s="372" t="s">
        <v>5</v>
      </c>
      <c r="G66" s="372" t="str">
        <f t="shared" ref="G66:G68" si="9">IFERROR(IF(C66=0,"",IF(E66=0,"",C66/E66)),"")</f>
        <v/>
      </c>
      <c r="H66" s="6" t="s">
        <v>5</v>
      </c>
      <c r="I66" s="239" t="str">
        <f t="shared" si="8"/>
        <v/>
      </c>
      <c r="M66" s="7"/>
    </row>
    <row r="67" spans="1:13" x14ac:dyDescent="0.35">
      <c r="A67" s="1" t="s">
        <v>788</v>
      </c>
      <c r="B67" s="239">
        <f>ROUND(N('Prior Year'!BC85), 0)</f>
        <v>0</v>
      </c>
      <c r="C67" s="239">
        <f>data!BC85</f>
        <v>0</v>
      </c>
      <c r="D67" s="239" t="s">
        <v>752</v>
      </c>
      <c r="E67" s="4" t="s">
        <v>752</v>
      </c>
      <c r="F67" s="372" t="s">
        <v>5</v>
      </c>
      <c r="G67" s="372" t="str">
        <f t="shared" si="9"/>
        <v/>
      </c>
      <c r="H67" s="6" t="s">
        <v>5</v>
      </c>
      <c r="I67" s="239" t="str">
        <f t="shared" si="8"/>
        <v/>
      </c>
      <c r="M67" s="7"/>
    </row>
    <row r="68" spans="1:13" x14ac:dyDescent="0.35">
      <c r="A68" s="1" t="s">
        <v>789</v>
      </c>
      <c r="B68" s="239">
        <f>ROUND(N('Prior Year'!BD85), 0)</f>
        <v>345417</v>
      </c>
      <c r="C68" s="239">
        <f>data!BD85</f>
        <v>851575</v>
      </c>
      <c r="D68" s="239" t="s">
        <v>752</v>
      </c>
      <c r="E68" s="4" t="s">
        <v>752</v>
      </c>
      <c r="F68" s="372" t="s">
        <v>5</v>
      </c>
      <c r="G68" s="372" t="str">
        <f t="shared" si="9"/>
        <v/>
      </c>
      <c r="H68" s="6" t="s">
        <v>5</v>
      </c>
      <c r="I68" s="239" t="str">
        <f t="shared" si="8"/>
        <v/>
      </c>
      <c r="M68" s="7"/>
    </row>
    <row r="69" spans="1:13" x14ac:dyDescent="0.35">
      <c r="A69" s="1" t="s">
        <v>790</v>
      </c>
      <c r="B69" s="239">
        <f>ROUND(N('Prior Year'!BE85), 0)</f>
        <v>3694312</v>
      </c>
      <c r="C69" s="239">
        <f>data!BE85</f>
        <v>3143634</v>
      </c>
      <c r="D69" s="239">
        <f>ROUND(N('Prior Year'!BE59), 0)</f>
        <v>145989</v>
      </c>
      <c r="E69" s="1">
        <f>data!BE59</f>
        <v>145989</v>
      </c>
      <c r="F69" s="372">
        <f>IF(B69=0,"",IF(D69=0,"",B69/D69))</f>
        <v>25.305413421559159</v>
      </c>
      <c r="G69" s="372">
        <f t="shared" si="5"/>
        <v>21.533362102624171</v>
      </c>
      <c r="H69" s="6" t="str">
        <f>IF(B69 = 0, "", IF(C69 = 0, "", IF(D69 = 0, "", IF(E69 = 0, "", IF(G69 / F69 - 1 &lt; -0.25, G69 / F69 - 1, IF(G69 / F69 - 1 &gt; 0.25, G69 / F69 - 1, ""))))))</f>
        <v/>
      </c>
      <c r="I69" s="347"/>
      <c r="M69" s="7"/>
    </row>
    <row r="70" spans="1:13" x14ac:dyDescent="0.35">
      <c r="A70" s="1" t="s">
        <v>791</v>
      </c>
      <c r="B70" s="239">
        <f>ROUND(N('Prior Year'!BF85), 0)</f>
        <v>1852673</v>
      </c>
      <c r="C70" s="239">
        <f>data!BF85</f>
        <v>1827615</v>
      </c>
      <c r="D70" s="239" t="s">
        <v>752</v>
      </c>
      <c r="E70" s="4" t="s">
        <v>752</v>
      </c>
      <c r="F70" s="372" t="s">
        <v>5</v>
      </c>
      <c r="G70" s="372" t="str">
        <f t="shared" ref="G70:G94" si="10">IFERROR(IF(C70=0,"",IF(E70=0,"",C70/E70)),"")</f>
        <v/>
      </c>
      <c r="H70" s="6" t="s">
        <v>5</v>
      </c>
      <c r="I70" s="239" t="str">
        <f t="shared" si="8"/>
        <v/>
      </c>
      <c r="M70" s="7"/>
    </row>
    <row r="71" spans="1:13" x14ac:dyDescent="0.35">
      <c r="A71" s="1" t="s">
        <v>792</v>
      </c>
      <c r="B71" s="239">
        <f>ROUND(N('Prior Year'!BG85), 0)</f>
        <v>0</v>
      </c>
      <c r="C71" s="239">
        <f>data!BG85</f>
        <v>0</v>
      </c>
      <c r="D71" s="239" t="s">
        <v>752</v>
      </c>
      <c r="E71" s="4" t="s">
        <v>752</v>
      </c>
      <c r="F71" s="372" t="s">
        <v>5</v>
      </c>
      <c r="G71" s="372" t="str">
        <f t="shared" si="10"/>
        <v/>
      </c>
      <c r="H71" s="6" t="s">
        <v>5</v>
      </c>
      <c r="I71" s="239" t="str">
        <f t="shared" si="8"/>
        <v/>
      </c>
      <c r="M71" s="7"/>
    </row>
    <row r="72" spans="1:13" x14ac:dyDescent="0.35">
      <c r="A72" s="1" t="s">
        <v>793</v>
      </c>
      <c r="B72" s="239">
        <f>ROUND(N('Prior Year'!BH85), 0)</f>
        <v>6370906</v>
      </c>
      <c r="C72" s="239">
        <f>data!BH85</f>
        <v>6007550</v>
      </c>
      <c r="D72" s="239" t="s">
        <v>752</v>
      </c>
      <c r="E72" s="4" t="s">
        <v>752</v>
      </c>
      <c r="F72" s="372" t="s">
        <v>5</v>
      </c>
      <c r="G72" s="372" t="str">
        <f t="shared" si="10"/>
        <v/>
      </c>
      <c r="H72" s="6" t="s">
        <v>5</v>
      </c>
      <c r="I72" s="239" t="str">
        <f t="shared" si="8"/>
        <v/>
      </c>
      <c r="M72" s="7"/>
    </row>
    <row r="73" spans="1:13" x14ac:dyDescent="0.35">
      <c r="A73" s="1" t="s">
        <v>794</v>
      </c>
      <c r="B73" s="239">
        <f>ROUND(N('Prior Year'!BI85), 0)</f>
        <v>0</v>
      </c>
      <c r="C73" s="239">
        <f>data!BI85</f>
        <v>24907</v>
      </c>
      <c r="D73" s="239" t="s">
        <v>752</v>
      </c>
      <c r="E73" s="4" t="s">
        <v>752</v>
      </c>
      <c r="F73" s="372" t="s">
        <v>5</v>
      </c>
      <c r="G73" s="372" t="str">
        <f t="shared" si="10"/>
        <v/>
      </c>
      <c r="H73" s="6" t="s">
        <v>5</v>
      </c>
      <c r="I73" s="239" t="str">
        <f t="shared" si="8"/>
        <v/>
      </c>
      <c r="M73" s="7"/>
    </row>
    <row r="74" spans="1:13" x14ac:dyDescent="0.35">
      <c r="A74" s="1" t="s">
        <v>795</v>
      </c>
      <c r="B74" s="239">
        <f>ROUND(N('Prior Year'!BJ85), 0)</f>
        <v>1310660</v>
      </c>
      <c r="C74" s="239">
        <f>data!BJ85</f>
        <v>1370050</v>
      </c>
      <c r="D74" s="239" t="s">
        <v>752</v>
      </c>
      <c r="E74" s="4" t="s">
        <v>752</v>
      </c>
      <c r="F74" s="372" t="s">
        <v>5</v>
      </c>
      <c r="G74" s="372" t="str">
        <f t="shared" si="10"/>
        <v/>
      </c>
      <c r="H74" s="6" t="s">
        <v>5</v>
      </c>
      <c r="I74" s="239" t="str">
        <f t="shared" si="8"/>
        <v/>
      </c>
      <c r="M74" s="7"/>
    </row>
    <row r="75" spans="1:13" x14ac:dyDescent="0.35">
      <c r="A75" s="1" t="s">
        <v>796</v>
      </c>
      <c r="B75" s="239">
        <f>ROUND(N('Prior Year'!BK85), 0)</f>
        <v>2426373</v>
      </c>
      <c r="C75" s="239">
        <f>data!BK85</f>
        <v>4341629</v>
      </c>
      <c r="D75" s="239" t="s">
        <v>752</v>
      </c>
      <c r="E75" s="4" t="s">
        <v>752</v>
      </c>
      <c r="F75" s="372" t="s">
        <v>5</v>
      </c>
      <c r="G75" s="372" t="str">
        <f t="shared" si="10"/>
        <v/>
      </c>
      <c r="H75" s="6" t="s">
        <v>5</v>
      </c>
      <c r="I75" s="239" t="str">
        <f t="shared" si="8"/>
        <v/>
      </c>
      <c r="M75" s="7"/>
    </row>
    <row r="76" spans="1:13" x14ac:dyDescent="0.35">
      <c r="A76" s="1" t="s">
        <v>797</v>
      </c>
      <c r="B76" s="239">
        <f>ROUND(N('Prior Year'!BL85), 0)</f>
        <v>1105779</v>
      </c>
      <c r="C76" s="239">
        <f>data!BL85</f>
        <v>0</v>
      </c>
      <c r="D76" s="239" t="s">
        <v>752</v>
      </c>
      <c r="E76" s="4" t="s">
        <v>752</v>
      </c>
      <c r="F76" s="372" t="s">
        <v>5</v>
      </c>
      <c r="G76" s="372" t="str">
        <f t="shared" si="10"/>
        <v/>
      </c>
      <c r="H76" s="6" t="s">
        <v>5</v>
      </c>
      <c r="I76" s="239" t="str">
        <f t="shared" si="8"/>
        <v/>
      </c>
      <c r="M76" s="7"/>
    </row>
    <row r="77" spans="1:13" x14ac:dyDescent="0.35">
      <c r="A77" s="1" t="s">
        <v>798</v>
      </c>
      <c r="B77" s="239">
        <f>ROUND(N('Prior Year'!BM85), 0)</f>
        <v>0</v>
      </c>
      <c r="C77" s="239">
        <f>data!BM85</f>
        <v>0</v>
      </c>
      <c r="D77" s="239" t="s">
        <v>752</v>
      </c>
      <c r="E77" s="4" t="s">
        <v>752</v>
      </c>
      <c r="F77" s="372" t="s">
        <v>5</v>
      </c>
      <c r="G77" s="372" t="str">
        <f t="shared" si="10"/>
        <v/>
      </c>
      <c r="H77" s="6" t="s">
        <v>5</v>
      </c>
      <c r="I77" s="239" t="str">
        <f t="shared" si="8"/>
        <v/>
      </c>
      <c r="M77" s="7"/>
    </row>
    <row r="78" spans="1:13" x14ac:dyDescent="0.35">
      <c r="A78" s="1" t="s">
        <v>799</v>
      </c>
      <c r="B78" s="239">
        <f>ROUND(N('Prior Year'!BN85), 0)</f>
        <v>2247504</v>
      </c>
      <c r="C78" s="239">
        <f>data!BN85</f>
        <v>2848446</v>
      </c>
      <c r="D78" s="239" t="s">
        <v>752</v>
      </c>
      <c r="E78" s="4" t="s">
        <v>752</v>
      </c>
      <c r="F78" s="372" t="s">
        <v>5</v>
      </c>
      <c r="G78" s="372" t="str">
        <f t="shared" si="10"/>
        <v/>
      </c>
      <c r="H78" s="6" t="s">
        <v>5</v>
      </c>
      <c r="I78" s="239" t="str">
        <f t="shared" si="8"/>
        <v/>
      </c>
      <c r="M78" s="7"/>
    </row>
    <row r="79" spans="1:13" x14ac:dyDescent="0.35">
      <c r="A79" s="1" t="s">
        <v>800</v>
      </c>
      <c r="B79" s="239">
        <f>ROUND(N('Prior Year'!BO85), 0)</f>
        <v>511834</v>
      </c>
      <c r="C79" s="239">
        <f>data!BO85</f>
        <v>334438</v>
      </c>
      <c r="D79" s="239" t="s">
        <v>752</v>
      </c>
      <c r="E79" s="4" t="s">
        <v>752</v>
      </c>
      <c r="F79" s="372" t="s">
        <v>5</v>
      </c>
      <c r="G79" s="372" t="str">
        <f t="shared" si="10"/>
        <v/>
      </c>
      <c r="H79" s="6" t="s">
        <v>5</v>
      </c>
      <c r="I79" s="239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801</v>
      </c>
      <c r="B80" s="239">
        <f>ROUND(N('Prior Year'!BP85), 0)</f>
        <v>767126</v>
      </c>
      <c r="C80" s="239">
        <f>data!BP85</f>
        <v>920902</v>
      </c>
      <c r="D80" s="239" t="s">
        <v>752</v>
      </c>
      <c r="E80" s="4" t="s">
        <v>752</v>
      </c>
      <c r="F80" s="372" t="s">
        <v>5</v>
      </c>
      <c r="G80" s="372" t="str">
        <f t="shared" si="10"/>
        <v/>
      </c>
      <c r="H80" s="6" t="s">
        <v>5</v>
      </c>
      <c r="I80" s="239" t="str">
        <f t="shared" si="11"/>
        <v/>
      </c>
      <c r="M80" s="7"/>
    </row>
    <row r="81" spans="1:13" x14ac:dyDescent="0.35">
      <c r="A81" s="1" t="s">
        <v>802</v>
      </c>
      <c r="B81" s="239">
        <f>ROUND(N('Prior Year'!BQ85), 0)</f>
        <v>0</v>
      </c>
      <c r="C81" s="239">
        <f>data!BQ85</f>
        <v>0</v>
      </c>
      <c r="D81" s="239" t="s">
        <v>752</v>
      </c>
      <c r="E81" s="4" t="s">
        <v>752</v>
      </c>
      <c r="F81" s="372" t="s">
        <v>5</v>
      </c>
      <c r="G81" s="372" t="str">
        <f t="shared" si="10"/>
        <v/>
      </c>
      <c r="H81" s="6" t="s">
        <v>5</v>
      </c>
      <c r="I81" s="239" t="str">
        <f t="shared" si="11"/>
        <v/>
      </c>
      <c r="M81" s="7"/>
    </row>
    <row r="82" spans="1:13" x14ac:dyDescent="0.35">
      <c r="A82" s="1" t="s">
        <v>803</v>
      </c>
      <c r="B82" s="239">
        <f>ROUND(N('Prior Year'!BR85), 0)</f>
        <v>1120184</v>
      </c>
      <c r="C82" s="239">
        <f>data!BR85</f>
        <v>1315242</v>
      </c>
      <c r="D82" s="239" t="s">
        <v>752</v>
      </c>
      <c r="E82" s="4" t="s">
        <v>752</v>
      </c>
      <c r="F82" s="372" t="s">
        <v>5</v>
      </c>
      <c r="G82" s="372" t="str">
        <f t="shared" si="10"/>
        <v/>
      </c>
      <c r="H82" s="6" t="s">
        <v>5</v>
      </c>
      <c r="I82" s="239" t="str">
        <f t="shared" si="11"/>
        <v/>
      </c>
      <c r="M82" s="7"/>
    </row>
    <row r="83" spans="1:13" x14ac:dyDescent="0.35">
      <c r="A83" s="1" t="s">
        <v>804</v>
      </c>
      <c r="B83" s="239">
        <f>ROUND(N('Prior Year'!BS85), 0)</f>
        <v>0</v>
      </c>
      <c r="C83" s="239">
        <f>data!BS85</f>
        <v>0</v>
      </c>
      <c r="D83" s="239" t="s">
        <v>752</v>
      </c>
      <c r="E83" s="4" t="s">
        <v>752</v>
      </c>
      <c r="F83" s="372" t="s">
        <v>5</v>
      </c>
      <c r="G83" s="372" t="str">
        <f t="shared" si="10"/>
        <v/>
      </c>
      <c r="H83" s="6" t="s">
        <v>5</v>
      </c>
      <c r="I83" s="239" t="str">
        <f t="shared" si="11"/>
        <v/>
      </c>
      <c r="M83" s="7"/>
    </row>
    <row r="84" spans="1:13" x14ac:dyDescent="0.35">
      <c r="A84" s="1" t="s">
        <v>805</v>
      </c>
      <c r="B84" s="239">
        <f>ROUND(N('Prior Year'!BT85), 0)</f>
        <v>0</v>
      </c>
      <c r="C84" s="239">
        <f>data!BT85</f>
        <v>0</v>
      </c>
      <c r="D84" s="239" t="s">
        <v>752</v>
      </c>
      <c r="E84" s="4" t="s">
        <v>752</v>
      </c>
      <c r="F84" s="372" t="s">
        <v>5</v>
      </c>
      <c r="G84" s="372" t="str">
        <f t="shared" si="10"/>
        <v/>
      </c>
      <c r="H84" s="6" t="s">
        <v>5</v>
      </c>
      <c r="I84" s="239" t="str">
        <f t="shared" si="11"/>
        <v/>
      </c>
      <c r="M84" s="7"/>
    </row>
    <row r="85" spans="1:13" x14ac:dyDescent="0.35">
      <c r="A85" s="1" t="s">
        <v>806</v>
      </c>
      <c r="B85" s="239">
        <f>ROUND(N('Prior Year'!BU85), 0)</f>
        <v>0</v>
      </c>
      <c r="C85" s="239">
        <f>data!BU85</f>
        <v>0</v>
      </c>
      <c r="D85" s="239" t="s">
        <v>752</v>
      </c>
      <c r="E85" s="4" t="s">
        <v>752</v>
      </c>
      <c r="F85" s="372" t="s">
        <v>5</v>
      </c>
      <c r="G85" s="372" t="str">
        <f t="shared" si="10"/>
        <v/>
      </c>
      <c r="H85" s="6" t="s">
        <v>5</v>
      </c>
      <c r="I85" s="239" t="str">
        <f t="shared" si="11"/>
        <v/>
      </c>
      <c r="M85" s="7"/>
    </row>
    <row r="86" spans="1:13" x14ac:dyDescent="0.35">
      <c r="A86" s="1" t="s">
        <v>807</v>
      </c>
      <c r="B86" s="239">
        <f>ROUND(N('Prior Year'!BV85), 0)</f>
        <v>2308921</v>
      </c>
      <c r="C86" s="239">
        <f>data!BV85</f>
        <v>2565736</v>
      </c>
      <c r="D86" s="239" t="s">
        <v>752</v>
      </c>
      <c r="E86" s="4" t="s">
        <v>752</v>
      </c>
      <c r="F86" s="372" t="s">
        <v>5</v>
      </c>
      <c r="G86" s="372" t="str">
        <f t="shared" si="10"/>
        <v/>
      </c>
      <c r="H86" s="6" t="s">
        <v>5</v>
      </c>
      <c r="I86" s="239" t="str">
        <f t="shared" si="11"/>
        <v/>
      </c>
      <c r="M86" s="7"/>
    </row>
    <row r="87" spans="1:13" x14ac:dyDescent="0.35">
      <c r="A87" s="1" t="s">
        <v>808</v>
      </c>
      <c r="B87" s="239">
        <f>ROUND(N('Prior Year'!BW85), 0)</f>
        <v>1337432</v>
      </c>
      <c r="C87" s="239">
        <f>data!BW85</f>
        <v>1369206</v>
      </c>
      <c r="D87" s="239" t="s">
        <v>752</v>
      </c>
      <c r="E87" s="4" t="s">
        <v>752</v>
      </c>
      <c r="F87" s="372" t="s">
        <v>5</v>
      </c>
      <c r="G87" s="372" t="str">
        <f t="shared" si="10"/>
        <v/>
      </c>
      <c r="H87" s="6" t="s">
        <v>5</v>
      </c>
      <c r="I87" s="239" t="str">
        <f t="shared" si="11"/>
        <v/>
      </c>
      <c r="M87" s="7"/>
    </row>
    <row r="88" spans="1:13" x14ac:dyDescent="0.35">
      <c r="A88" s="1" t="s">
        <v>809</v>
      </c>
      <c r="B88" s="239">
        <f>ROUND(N('Prior Year'!BX85), 0)</f>
        <v>1325375</v>
      </c>
      <c r="C88" s="239">
        <f>data!BX85</f>
        <v>1274365</v>
      </c>
      <c r="D88" s="239" t="s">
        <v>752</v>
      </c>
      <c r="E88" s="4" t="s">
        <v>752</v>
      </c>
      <c r="F88" s="372" t="s">
        <v>5</v>
      </c>
      <c r="G88" s="372" t="str">
        <f t="shared" si="10"/>
        <v/>
      </c>
      <c r="H88" s="6" t="s">
        <v>5</v>
      </c>
      <c r="I88" s="239" t="str">
        <f t="shared" si="11"/>
        <v/>
      </c>
      <c r="M88" s="7"/>
    </row>
    <row r="89" spans="1:13" x14ac:dyDescent="0.35">
      <c r="A89" s="1" t="s">
        <v>810</v>
      </c>
      <c r="B89" s="239">
        <f>ROUND(N('Prior Year'!BY85), 0)</f>
        <v>2722403</v>
      </c>
      <c r="C89" s="239">
        <f>data!BY85</f>
        <v>1741707</v>
      </c>
      <c r="D89" s="239" t="s">
        <v>752</v>
      </c>
      <c r="E89" s="4" t="s">
        <v>752</v>
      </c>
      <c r="F89" s="372" t="s">
        <v>5</v>
      </c>
      <c r="G89" s="372" t="str">
        <f t="shared" si="10"/>
        <v/>
      </c>
      <c r="H89" s="6" t="s">
        <v>5</v>
      </c>
      <c r="I89" s="239" t="str">
        <f t="shared" si="11"/>
        <v/>
      </c>
      <c r="M89" s="7"/>
    </row>
    <row r="90" spans="1:13" x14ac:dyDescent="0.35">
      <c r="A90" s="1" t="s">
        <v>811</v>
      </c>
      <c r="B90" s="239">
        <f>ROUND(N('Prior Year'!BZ85), 0)</f>
        <v>0</v>
      </c>
      <c r="C90" s="239">
        <f>data!BZ85</f>
        <v>0</v>
      </c>
      <c r="D90" s="239" t="s">
        <v>752</v>
      </c>
      <c r="E90" s="4" t="s">
        <v>752</v>
      </c>
      <c r="F90" s="372" t="s">
        <v>5</v>
      </c>
      <c r="G90" s="372" t="str">
        <f t="shared" si="10"/>
        <v/>
      </c>
      <c r="H90" s="6" t="s">
        <v>5</v>
      </c>
      <c r="I90" s="239" t="str">
        <f t="shared" si="11"/>
        <v/>
      </c>
      <c r="M90" s="7"/>
    </row>
    <row r="91" spans="1:13" x14ac:dyDescent="0.35">
      <c r="A91" s="1" t="s">
        <v>812</v>
      </c>
      <c r="B91" s="239">
        <f>ROUND(N('Prior Year'!CA85), 0)</f>
        <v>0</v>
      </c>
      <c r="C91" s="239">
        <f>data!CA85</f>
        <v>0</v>
      </c>
      <c r="D91" s="239" t="s">
        <v>752</v>
      </c>
      <c r="E91" s="4" t="s">
        <v>752</v>
      </c>
      <c r="F91" s="372" t="s">
        <v>5</v>
      </c>
      <c r="G91" s="372" t="str">
        <f t="shared" si="10"/>
        <v/>
      </c>
      <c r="H91" s="6" t="s">
        <v>5</v>
      </c>
      <c r="I91" s="239" t="str">
        <f t="shared" si="11"/>
        <v/>
      </c>
      <c r="M91" s="7"/>
    </row>
    <row r="92" spans="1:13" x14ac:dyDescent="0.35">
      <c r="A92" s="1" t="s">
        <v>813</v>
      </c>
      <c r="B92" s="239">
        <f>ROUND(N('Prior Year'!CB85), 0)</f>
        <v>0</v>
      </c>
      <c r="C92" s="239">
        <f>data!CB85</f>
        <v>0</v>
      </c>
      <c r="D92" s="239" t="s">
        <v>752</v>
      </c>
      <c r="E92" s="4" t="s">
        <v>752</v>
      </c>
      <c r="F92" s="372" t="s">
        <v>5</v>
      </c>
      <c r="G92" s="372" t="str">
        <f t="shared" si="10"/>
        <v/>
      </c>
      <c r="H92" s="6" t="s">
        <v>5</v>
      </c>
      <c r="I92" s="239" t="str">
        <f t="shared" si="11"/>
        <v/>
      </c>
      <c r="M92" s="7"/>
    </row>
    <row r="93" spans="1:13" x14ac:dyDescent="0.35">
      <c r="A93" s="1" t="s">
        <v>814</v>
      </c>
      <c r="B93" s="239">
        <f>ROUND(N('Prior Year'!CC85), 0)</f>
        <v>0</v>
      </c>
      <c r="C93" s="239">
        <f>data!CC85</f>
        <v>805630</v>
      </c>
      <c r="D93" s="239" t="s">
        <v>752</v>
      </c>
      <c r="E93" s="4" t="s">
        <v>752</v>
      </c>
      <c r="F93" s="372" t="s">
        <v>5</v>
      </c>
      <c r="G93" s="372" t="str">
        <f t="shared" si="10"/>
        <v/>
      </c>
      <c r="H93" s="6" t="s">
        <v>5</v>
      </c>
      <c r="I93" s="239" t="str">
        <f t="shared" si="11"/>
        <v/>
      </c>
      <c r="M93" s="7"/>
    </row>
    <row r="94" spans="1:13" x14ac:dyDescent="0.35">
      <c r="A94" s="1" t="s">
        <v>815</v>
      </c>
      <c r="B94" s="239">
        <f>ROUND(N('Prior Year'!CD85), 0)</f>
        <v>0</v>
      </c>
      <c r="C94" s="239">
        <f>data!CD85</f>
        <v>4592637</v>
      </c>
      <c r="D94" s="239" t="s">
        <v>752</v>
      </c>
      <c r="E94" s="4" t="s">
        <v>752</v>
      </c>
      <c r="F94" s="372" t="s">
        <v>5</v>
      </c>
      <c r="G94" s="372" t="str">
        <f t="shared" si="10"/>
        <v/>
      </c>
      <c r="H94" s="6" t="s">
        <v>5</v>
      </c>
      <c r="I94" s="239" t="str">
        <f t="shared" si="11"/>
        <v/>
      </c>
      <c r="M94" s="7"/>
    </row>
  </sheetData>
  <pageMargins left="0.7" right="0.7" top="0.75" bottom="0.75" header="0.3" footer="0.3"/>
  <pageSetup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F479"/>
  <sheetViews>
    <sheetView workbookViewId="0">
      <selection activeCell="H111" sqref="H111"/>
    </sheetView>
  </sheetViews>
  <sheetFormatPr defaultRowHeight="12.5" x14ac:dyDescent="0.25"/>
  <cols>
    <col min="1" max="1" width="18.25" customWidth="1"/>
    <col min="2" max="2" width="9.9140625" bestFit="1" customWidth="1"/>
    <col min="3" max="3" width="52.58203125" bestFit="1" customWidth="1"/>
    <col min="4" max="4" width="13.4140625" bestFit="1" customWidth="1"/>
    <col min="5" max="5" width="11" bestFit="1" customWidth="1"/>
  </cols>
  <sheetData>
    <row r="1" spans="1:4" ht="14.5" x14ac:dyDescent="0.35">
      <c r="A1" s="279" t="s">
        <v>816</v>
      </c>
      <c r="B1" s="278"/>
      <c r="C1" s="278"/>
      <c r="D1" s="278"/>
    </row>
    <row r="2" spans="1:4" ht="14.5" x14ac:dyDescent="0.35">
      <c r="A2" s="278"/>
      <c r="B2" s="278"/>
      <c r="C2" s="278"/>
      <c r="D2" s="278"/>
    </row>
    <row r="3" spans="1:4" ht="14.5" x14ac:dyDescent="0.35">
      <c r="A3" s="281" t="s">
        <v>817</v>
      </c>
      <c r="B3" s="278"/>
      <c r="C3" s="278"/>
      <c r="D3" s="278"/>
    </row>
    <row r="4" spans="1:4" ht="14.5" x14ac:dyDescent="0.35">
      <c r="A4" s="278" t="s">
        <v>818</v>
      </c>
      <c r="B4" s="278"/>
      <c r="C4" s="278"/>
      <c r="D4" s="278"/>
    </row>
    <row r="5" spans="1:4" ht="14.5" x14ac:dyDescent="0.35">
      <c r="A5" s="278" t="s">
        <v>819</v>
      </c>
      <c r="B5" s="278"/>
      <c r="C5" s="278"/>
      <c r="D5" s="278"/>
    </row>
    <row r="6" spans="1:4" ht="14.5" x14ac:dyDescent="0.35">
      <c r="A6" s="278"/>
      <c r="B6" s="278"/>
      <c r="C6" s="278"/>
      <c r="D6" s="278"/>
    </row>
    <row r="7" spans="1:4" ht="14.5" x14ac:dyDescent="0.35">
      <c r="A7" s="278" t="s">
        <v>820</v>
      </c>
      <c r="B7" s="278"/>
      <c r="C7" s="278"/>
      <c r="D7" s="278"/>
    </row>
    <row r="8" spans="1:4" ht="14.5" x14ac:dyDescent="0.35">
      <c r="A8" s="278" t="s">
        <v>821</v>
      </c>
      <c r="B8" s="278"/>
      <c r="C8" s="278"/>
      <c r="D8" s="278"/>
    </row>
    <row r="9" spans="1:4" ht="14.5" x14ac:dyDescent="0.35">
      <c r="A9" s="278"/>
      <c r="B9" s="278"/>
      <c r="C9" s="278"/>
      <c r="D9" s="278"/>
    </row>
    <row r="10" spans="1:4" ht="14.5" x14ac:dyDescent="0.35">
      <c r="A10" s="278"/>
      <c r="B10" s="278"/>
      <c r="C10" s="278"/>
      <c r="D10" s="278"/>
    </row>
    <row r="11" spans="1:4" ht="14.5" x14ac:dyDescent="0.35">
      <c r="A11" s="280" t="s">
        <v>822</v>
      </c>
      <c r="B11" s="278"/>
      <c r="C11" s="278"/>
      <c r="D11" s="278">
        <f>N(data!C380)</f>
        <v>683183</v>
      </c>
    </row>
    <row r="12" spans="1:4" ht="14.5" x14ac:dyDescent="0.35">
      <c r="A12" s="280" t="s">
        <v>823</v>
      </c>
      <c r="B12" s="278"/>
      <c r="C12" s="278"/>
      <c r="D12" s="278" t="str">
        <f>IF(OR(N(data!C380) &gt; 1000000, N(data!C380) / (N(data!D360) + N(data!D383)) &gt; 0.01), "Yes", "No")</f>
        <v>No</v>
      </c>
    </row>
    <row r="13" spans="1:4" ht="14.5" x14ac:dyDescent="0.35">
      <c r="A13" s="278"/>
      <c r="B13" s="278"/>
      <c r="C13" s="278"/>
      <c r="D13" s="278"/>
    </row>
    <row r="14" spans="1:4" ht="14.5" x14ac:dyDescent="0.35">
      <c r="A14" s="280" t="s">
        <v>824</v>
      </c>
      <c r="B14" s="278"/>
      <c r="C14" s="278"/>
      <c r="D14" s="280" t="s">
        <v>825</v>
      </c>
    </row>
    <row r="15" spans="1:4" ht="14.5" x14ac:dyDescent="0.35">
      <c r="A15" s="369" t="s">
        <v>1366</v>
      </c>
      <c r="B15" s="369" t="s">
        <v>237</v>
      </c>
      <c r="C15" s="369" t="s">
        <v>1367</v>
      </c>
      <c r="D15" s="369" t="s">
        <v>1368</v>
      </c>
    </row>
    <row r="16" spans="1:4" ht="14.5" x14ac:dyDescent="0.35">
      <c r="A16" s="370" t="s">
        <v>1369</v>
      </c>
      <c r="B16" s="370" t="s">
        <v>5</v>
      </c>
      <c r="C16" s="370" t="s">
        <v>1370</v>
      </c>
      <c r="D16" s="368"/>
    </row>
    <row r="17" spans="1:4" ht="14.5" x14ac:dyDescent="0.35">
      <c r="A17" s="371" t="s">
        <v>5</v>
      </c>
      <c r="B17" s="371" t="s">
        <v>5</v>
      </c>
      <c r="C17" s="371" t="s">
        <v>5</v>
      </c>
      <c r="D17" s="366"/>
    </row>
    <row r="18" spans="1:4" ht="14.5" x14ac:dyDescent="0.35">
      <c r="A18" s="371" t="s">
        <v>1371</v>
      </c>
      <c r="B18" s="371" t="s">
        <v>5</v>
      </c>
      <c r="C18" s="371" t="s">
        <v>1372</v>
      </c>
      <c r="D18" s="366"/>
    </row>
    <row r="19" spans="1:4" ht="16" x14ac:dyDescent="0.5">
      <c r="A19" s="371" t="s">
        <v>5</v>
      </c>
      <c r="B19" s="371" t="s">
        <v>1373</v>
      </c>
      <c r="C19" s="371" t="s">
        <v>1374</v>
      </c>
      <c r="D19" s="365">
        <v>-30119</v>
      </c>
    </row>
    <row r="20" spans="1:4" ht="14.5" x14ac:dyDescent="0.35">
      <c r="A20" s="371" t="s">
        <v>1375</v>
      </c>
      <c r="B20" s="371" t="s">
        <v>5</v>
      </c>
      <c r="C20" s="371" t="s">
        <v>5</v>
      </c>
      <c r="D20" s="366">
        <v>-30119</v>
      </c>
    </row>
    <row r="21" spans="1:4" ht="14.5" x14ac:dyDescent="0.35">
      <c r="A21" s="371" t="s">
        <v>5</v>
      </c>
      <c r="B21" s="371" t="s">
        <v>5</v>
      </c>
      <c r="C21" s="371" t="s">
        <v>5</v>
      </c>
      <c r="D21" s="366"/>
    </row>
    <row r="22" spans="1:4" ht="14.5" x14ac:dyDescent="0.35">
      <c r="A22" s="371" t="s">
        <v>1376</v>
      </c>
      <c r="B22" s="371" t="s">
        <v>5</v>
      </c>
      <c r="C22" s="371" t="s">
        <v>1377</v>
      </c>
      <c r="D22" s="366"/>
    </row>
    <row r="23" spans="1:4" ht="14.5" x14ac:dyDescent="0.35">
      <c r="A23" s="371" t="s">
        <v>5</v>
      </c>
      <c r="B23" s="371" t="s">
        <v>1378</v>
      </c>
      <c r="C23" s="371" t="s">
        <v>1379</v>
      </c>
      <c r="D23" s="366">
        <v>-13225</v>
      </c>
    </row>
    <row r="24" spans="1:4" ht="14.5" x14ac:dyDescent="0.35">
      <c r="A24" s="371" t="s">
        <v>5</v>
      </c>
      <c r="B24" s="371" t="s">
        <v>1380</v>
      </c>
      <c r="C24" s="371" t="s">
        <v>1381</v>
      </c>
      <c r="D24" s="366">
        <v>-34059</v>
      </c>
    </row>
    <row r="25" spans="1:4" ht="14.5" x14ac:dyDescent="0.35">
      <c r="A25" s="371" t="s">
        <v>1382</v>
      </c>
      <c r="B25" s="371" t="s">
        <v>5</v>
      </c>
      <c r="C25" s="371" t="s">
        <v>5</v>
      </c>
      <c r="D25" s="366">
        <v>-47284</v>
      </c>
    </row>
    <row r="26" spans="1:4" ht="14.5" x14ac:dyDescent="0.35">
      <c r="A26" s="371" t="s">
        <v>5</v>
      </c>
      <c r="B26" s="371" t="s">
        <v>5</v>
      </c>
      <c r="C26" s="371" t="s">
        <v>5</v>
      </c>
      <c r="D26" s="366"/>
    </row>
    <row r="27" spans="1:4" ht="14.5" x14ac:dyDescent="0.35">
      <c r="A27" s="371" t="s">
        <v>1383</v>
      </c>
      <c r="B27" s="371" t="s">
        <v>5</v>
      </c>
      <c r="C27" s="371" t="s">
        <v>1384</v>
      </c>
      <c r="D27" s="366"/>
    </row>
    <row r="28" spans="1:4" ht="14.5" x14ac:dyDescent="0.35">
      <c r="A28" s="371" t="s">
        <v>5</v>
      </c>
      <c r="B28" s="371" t="s">
        <v>1385</v>
      </c>
      <c r="C28" s="371" t="s">
        <v>1386</v>
      </c>
      <c r="D28" s="366">
        <v>-5551</v>
      </c>
    </row>
    <row r="29" spans="1:4" ht="16" x14ac:dyDescent="0.5">
      <c r="A29" s="371" t="s">
        <v>5</v>
      </c>
      <c r="B29" s="371" t="s">
        <v>1387</v>
      </c>
      <c r="C29" s="371" t="s">
        <v>1388</v>
      </c>
      <c r="D29" s="365">
        <v>-1</v>
      </c>
    </row>
    <row r="30" spans="1:4" ht="14.5" x14ac:dyDescent="0.35">
      <c r="A30" s="371" t="s">
        <v>1389</v>
      </c>
      <c r="B30" s="371" t="s">
        <v>5</v>
      </c>
      <c r="C30" s="371" t="s">
        <v>5</v>
      </c>
      <c r="D30" s="366">
        <v>-5552</v>
      </c>
    </row>
    <row r="31" spans="1:4" ht="14.5" x14ac:dyDescent="0.35">
      <c r="A31" s="371" t="s">
        <v>5</v>
      </c>
      <c r="B31" s="371" t="s">
        <v>5</v>
      </c>
      <c r="C31" s="371" t="s">
        <v>5</v>
      </c>
      <c r="D31" s="366"/>
    </row>
    <row r="32" spans="1:4" ht="14.5" x14ac:dyDescent="0.35">
      <c r="A32" s="371" t="s">
        <v>1390</v>
      </c>
      <c r="B32" s="371" t="s">
        <v>5</v>
      </c>
      <c r="C32" s="371" t="s">
        <v>1391</v>
      </c>
      <c r="D32" s="366"/>
    </row>
    <row r="33" spans="1:4" ht="14.5" x14ac:dyDescent="0.35">
      <c r="A33" s="371" t="s">
        <v>5</v>
      </c>
      <c r="B33" s="371" t="s">
        <v>1392</v>
      </c>
      <c r="C33" s="371" t="s">
        <v>1393</v>
      </c>
      <c r="D33" s="366">
        <v>-36255</v>
      </c>
    </row>
    <row r="34" spans="1:4" ht="14.5" x14ac:dyDescent="0.35">
      <c r="A34" s="371" t="s">
        <v>5</v>
      </c>
      <c r="B34" s="371" t="s">
        <v>1394</v>
      </c>
      <c r="C34" s="371" t="s">
        <v>1395</v>
      </c>
      <c r="D34" s="366">
        <v>-1600</v>
      </c>
    </row>
    <row r="35" spans="1:4" ht="14.5" x14ac:dyDescent="0.35">
      <c r="A35" s="371" t="s">
        <v>5</v>
      </c>
      <c r="B35" s="371" t="s">
        <v>1396</v>
      </c>
      <c r="C35" s="371" t="s">
        <v>1397</v>
      </c>
      <c r="D35" s="366">
        <v>-2775</v>
      </c>
    </row>
    <row r="36" spans="1:4" ht="16" x14ac:dyDescent="0.5">
      <c r="A36" s="371" t="s">
        <v>5</v>
      </c>
      <c r="B36" s="371" t="s">
        <v>1398</v>
      </c>
      <c r="C36" s="371" t="s">
        <v>1399</v>
      </c>
      <c r="D36" s="365">
        <v>-7297</v>
      </c>
    </row>
    <row r="37" spans="1:4" ht="14.5" x14ac:dyDescent="0.35">
      <c r="A37" s="371" t="s">
        <v>1400</v>
      </c>
      <c r="B37" s="371" t="s">
        <v>5</v>
      </c>
      <c r="C37" s="371" t="s">
        <v>5</v>
      </c>
      <c r="D37" s="366">
        <v>-47927</v>
      </c>
    </row>
    <row r="38" spans="1:4" ht="14.5" x14ac:dyDescent="0.35">
      <c r="A38" s="371" t="s">
        <v>5</v>
      </c>
      <c r="B38" s="371" t="s">
        <v>5</v>
      </c>
      <c r="C38" s="371" t="s">
        <v>5</v>
      </c>
      <c r="D38" s="366"/>
    </row>
    <row r="39" spans="1:4" ht="14.5" x14ac:dyDescent="0.35">
      <c r="A39" s="371" t="s">
        <v>1401</v>
      </c>
      <c r="B39" s="371" t="s">
        <v>5</v>
      </c>
      <c r="C39" s="371" t="s">
        <v>163</v>
      </c>
      <c r="D39" s="366"/>
    </row>
    <row r="40" spans="1:4" ht="14.5" x14ac:dyDescent="0.35">
      <c r="A40" s="371" t="s">
        <v>5</v>
      </c>
      <c r="B40" s="371" t="s">
        <v>1402</v>
      </c>
      <c r="C40" s="371" t="s">
        <v>1403</v>
      </c>
      <c r="D40" s="366">
        <v>-19664</v>
      </c>
    </row>
    <row r="41" spans="1:4" ht="14.5" x14ac:dyDescent="0.35">
      <c r="A41" s="371" t="s">
        <v>5</v>
      </c>
      <c r="B41" s="371" t="s">
        <v>1404</v>
      </c>
      <c r="C41" s="371" t="s">
        <v>1405</v>
      </c>
      <c r="D41" s="366">
        <v>-311</v>
      </c>
    </row>
    <row r="42" spans="1:4" ht="16" x14ac:dyDescent="0.5">
      <c r="A42" s="371" t="s">
        <v>5</v>
      </c>
      <c r="B42" s="371" t="s">
        <v>1406</v>
      </c>
      <c r="C42" s="371" t="s">
        <v>1407</v>
      </c>
      <c r="D42" s="365">
        <v>-370703</v>
      </c>
    </row>
    <row r="43" spans="1:4" ht="14.5" x14ac:dyDescent="0.35">
      <c r="A43" s="371" t="s">
        <v>1408</v>
      </c>
      <c r="B43" s="371" t="s">
        <v>5</v>
      </c>
      <c r="C43" s="371" t="s">
        <v>5</v>
      </c>
      <c r="D43" s="366">
        <v>-390678</v>
      </c>
    </row>
    <row r="44" spans="1:4" ht="14.5" x14ac:dyDescent="0.35">
      <c r="A44" s="371" t="s">
        <v>5</v>
      </c>
      <c r="B44" s="371" t="s">
        <v>5</v>
      </c>
      <c r="C44" s="371" t="s">
        <v>5</v>
      </c>
      <c r="D44" s="366"/>
    </row>
    <row r="45" spans="1:4" ht="14.5" x14ac:dyDescent="0.35">
      <c r="A45" s="371" t="s">
        <v>1409</v>
      </c>
      <c r="B45" s="371" t="s">
        <v>5</v>
      </c>
      <c r="C45" s="371" t="s">
        <v>601</v>
      </c>
      <c r="D45" s="366"/>
    </row>
    <row r="46" spans="1:4" ht="16" x14ac:dyDescent="0.5">
      <c r="A46" s="371" t="s">
        <v>5</v>
      </c>
      <c r="B46" s="371" t="s">
        <v>1410</v>
      </c>
      <c r="C46" s="371" t="s">
        <v>1411</v>
      </c>
      <c r="D46" s="365">
        <v>-1120</v>
      </c>
    </row>
    <row r="47" spans="1:4" ht="14.5" x14ac:dyDescent="0.35">
      <c r="A47" s="371" t="s">
        <v>1412</v>
      </c>
      <c r="B47" s="371" t="s">
        <v>5</v>
      </c>
      <c r="C47" s="371" t="s">
        <v>5</v>
      </c>
      <c r="D47" s="366">
        <v>-1120</v>
      </c>
    </row>
    <row r="48" spans="1:4" ht="14.5" x14ac:dyDescent="0.35">
      <c r="A48" s="371" t="s">
        <v>5</v>
      </c>
      <c r="B48" s="371" t="s">
        <v>5</v>
      </c>
      <c r="C48" s="371" t="s">
        <v>5</v>
      </c>
      <c r="D48" s="366"/>
    </row>
    <row r="49" spans="1:4" ht="14.5" x14ac:dyDescent="0.35">
      <c r="A49" s="371" t="s">
        <v>1413</v>
      </c>
      <c r="B49" s="371" t="s">
        <v>5</v>
      </c>
      <c r="C49" s="371" t="s">
        <v>1414</v>
      </c>
      <c r="D49" s="366"/>
    </row>
    <row r="50" spans="1:4" ht="14.5" x14ac:dyDescent="0.35">
      <c r="A50" s="371" t="s">
        <v>5</v>
      </c>
      <c r="B50" s="371" t="s">
        <v>1415</v>
      </c>
      <c r="C50" s="371" t="s">
        <v>1416</v>
      </c>
      <c r="D50" s="366">
        <v>-85</v>
      </c>
    </row>
    <row r="51" spans="1:4" ht="16" x14ac:dyDescent="0.5">
      <c r="A51" s="371" t="s">
        <v>5</v>
      </c>
      <c r="B51" s="371" t="s">
        <v>1417</v>
      </c>
      <c r="C51" s="371" t="s">
        <v>1418</v>
      </c>
      <c r="D51" s="365">
        <v>-2784</v>
      </c>
    </row>
    <row r="52" spans="1:4" ht="14.5" x14ac:dyDescent="0.35">
      <c r="A52" s="371" t="s">
        <v>1419</v>
      </c>
      <c r="B52" s="371" t="s">
        <v>5</v>
      </c>
      <c r="C52" s="371" t="s">
        <v>5</v>
      </c>
      <c r="D52" s="366">
        <v>-2869</v>
      </c>
    </row>
    <row r="53" spans="1:4" ht="14.5" x14ac:dyDescent="0.35">
      <c r="A53" s="371" t="s">
        <v>5</v>
      </c>
      <c r="B53" s="371" t="s">
        <v>5</v>
      </c>
      <c r="C53" s="371" t="s">
        <v>5</v>
      </c>
      <c r="D53" s="366"/>
    </row>
    <row r="54" spans="1:4" ht="14.5" x14ac:dyDescent="0.35">
      <c r="A54" s="371" t="s">
        <v>1420</v>
      </c>
      <c r="B54" s="371" t="s">
        <v>5</v>
      </c>
      <c r="C54" s="371" t="s">
        <v>1421</v>
      </c>
      <c r="D54" s="366"/>
    </row>
    <row r="55" spans="1:4" ht="14.5" x14ac:dyDescent="0.35">
      <c r="A55" s="371" t="s">
        <v>5</v>
      </c>
      <c r="B55" s="371" t="s">
        <v>1422</v>
      </c>
      <c r="C55" s="371" t="s">
        <v>1423</v>
      </c>
      <c r="D55" s="366">
        <v>-2945</v>
      </c>
    </row>
    <row r="56" spans="1:4" ht="16" x14ac:dyDescent="0.5">
      <c r="A56" s="371" t="s">
        <v>5</v>
      </c>
      <c r="B56" s="371" t="s">
        <v>1424</v>
      </c>
      <c r="C56" s="371" t="s">
        <v>1425</v>
      </c>
      <c r="D56" s="365">
        <v>-45</v>
      </c>
    </row>
    <row r="57" spans="1:4" ht="14.5" x14ac:dyDescent="0.35">
      <c r="A57" s="371" t="s">
        <v>1426</v>
      </c>
      <c r="B57" s="371" t="s">
        <v>5</v>
      </c>
      <c r="C57" s="371" t="s">
        <v>5</v>
      </c>
      <c r="D57" s="366">
        <v>-2990</v>
      </c>
    </row>
    <row r="58" spans="1:4" ht="14.5" x14ac:dyDescent="0.35">
      <c r="A58" s="371" t="s">
        <v>5</v>
      </c>
      <c r="B58" s="371" t="s">
        <v>5</v>
      </c>
      <c r="C58" s="371" t="s">
        <v>5</v>
      </c>
      <c r="D58" s="366"/>
    </row>
    <row r="59" spans="1:4" ht="14.5" x14ac:dyDescent="0.35">
      <c r="A59" s="371" t="s">
        <v>1427</v>
      </c>
      <c r="B59" s="371" t="s">
        <v>5</v>
      </c>
      <c r="C59" s="371" t="s">
        <v>142</v>
      </c>
      <c r="D59" s="366"/>
    </row>
    <row r="60" spans="1:4" ht="14.5" x14ac:dyDescent="0.35">
      <c r="A60" s="371" t="s">
        <v>5</v>
      </c>
      <c r="B60" s="371" t="s">
        <v>1428</v>
      </c>
      <c r="C60" s="371" t="s">
        <v>1429</v>
      </c>
      <c r="D60" s="366">
        <v>-589</v>
      </c>
    </row>
    <row r="61" spans="1:4" ht="14.5" x14ac:dyDescent="0.35">
      <c r="A61" s="371" t="s">
        <v>5</v>
      </c>
      <c r="B61" s="371" t="s">
        <v>1430</v>
      </c>
      <c r="C61" s="371" t="s">
        <v>1431</v>
      </c>
      <c r="D61" s="366">
        <v>-4149</v>
      </c>
    </row>
    <row r="62" spans="1:4" ht="14.5" x14ac:dyDescent="0.35">
      <c r="A62" s="371" t="s">
        <v>1432</v>
      </c>
      <c r="B62" s="371" t="s">
        <v>5</v>
      </c>
      <c r="C62" s="371" t="s">
        <v>5</v>
      </c>
      <c r="D62" s="366">
        <v>-4738</v>
      </c>
    </row>
    <row r="63" spans="1:4" ht="14.5" x14ac:dyDescent="0.35">
      <c r="A63" s="371" t="s">
        <v>5</v>
      </c>
      <c r="B63" s="371" t="s">
        <v>5</v>
      </c>
      <c r="C63" s="371" t="s">
        <v>5</v>
      </c>
      <c r="D63" s="366"/>
    </row>
    <row r="64" spans="1:4" ht="14.5" x14ac:dyDescent="0.35">
      <c r="A64" s="371" t="s">
        <v>1433</v>
      </c>
      <c r="B64" s="371" t="s">
        <v>5</v>
      </c>
      <c r="C64" s="371" t="s">
        <v>1434</v>
      </c>
      <c r="D64" s="366"/>
    </row>
    <row r="65" spans="1:4" ht="16" x14ac:dyDescent="0.5">
      <c r="A65" s="371" t="s">
        <v>5</v>
      </c>
      <c r="B65" s="371" t="s">
        <v>1435</v>
      </c>
      <c r="C65" s="371" t="s">
        <v>1436</v>
      </c>
      <c r="D65" s="365">
        <v>-7440</v>
      </c>
    </row>
    <row r="66" spans="1:4" ht="14.5" x14ac:dyDescent="0.35">
      <c r="A66" s="371" t="s">
        <v>1437</v>
      </c>
      <c r="B66" s="371" t="s">
        <v>5</v>
      </c>
      <c r="C66" s="371" t="s">
        <v>5</v>
      </c>
      <c r="D66" s="366">
        <v>-7440</v>
      </c>
    </row>
    <row r="67" spans="1:4" ht="14.5" x14ac:dyDescent="0.35">
      <c r="A67" s="371" t="s">
        <v>5</v>
      </c>
      <c r="B67" s="371" t="s">
        <v>5</v>
      </c>
      <c r="C67" s="371" t="s">
        <v>5</v>
      </c>
      <c r="D67" s="366"/>
    </row>
    <row r="68" spans="1:4" ht="14.5" x14ac:dyDescent="0.35">
      <c r="A68" s="371" t="s">
        <v>1438</v>
      </c>
      <c r="B68" s="371" t="s">
        <v>5</v>
      </c>
      <c r="C68" s="371" t="s">
        <v>1439</v>
      </c>
      <c r="D68" s="366"/>
    </row>
    <row r="69" spans="1:4" ht="16" x14ac:dyDescent="0.5">
      <c r="A69" s="371" t="s">
        <v>5</v>
      </c>
      <c r="B69" s="371" t="s">
        <v>1440</v>
      </c>
      <c r="C69" s="371" t="s">
        <v>1441</v>
      </c>
      <c r="D69" s="365">
        <v>-2154</v>
      </c>
    </row>
    <row r="70" spans="1:4" ht="14.5" x14ac:dyDescent="0.35">
      <c r="A70" s="371" t="s">
        <v>1442</v>
      </c>
      <c r="B70" s="371" t="s">
        <v>5</v>
      </c>
      <c r="C70" s="371" t="s">
        <v>5</v>
      </c>
      <c r="D70" s="366">
        <v>-2154</v>
      </c>
    </row>
    <row r="71" spans="1:4" ht="14.5" x14ac:dyDescent="0.35">
      <c r="A71" s="371" t="s">
        <v>5</v>
      </c>
      <c r="B71" s="371" t="s">
        <v>5</v>
      </c>
      <c r="C71" s="371" t="s">
        <v>5</v>
      </c>
      <c r="D71" s="366"/>
    </row>
    <row r="72" spans="1:4" ht="14.5" x14ac:dyDescent="0.35">
      <c r="A72" s="371" t="s">
        <v>1443</v>
      </c>
      <c r="B72" s="371" t="s">
        <v>5</v>
      </c>
      <c r="C72" s="371" t="s">
        <v>1444</v>
      </c>
      <c r="D72" s="366"/>
    </row>
    <row r="73" spans="1:4" ht="16" x14ac:dyDescent="0.5">
      <c r="A73" s="371" t="s">
        <v>5</v>
      </c>
      <c r="B73" s="371" t="s">
        <v>1445</v>
      </c>
      <c r="C73" s="371" t="s">
        <v>1446</v>
      </c>
      <c r="D73" s="365">
        <v>-275656</v>
      </c>
    </row>
    <row r="74" spans="1:4" ht="14.5" x14ac:dyDescent="0.35">
      <c r="A74" s="371" t="s">
        <v>1447</v>
      </c>
      <c r="B74" s="371" t="s">
        <v>5</v>
      </c>
      <c r="C74" s="371" t="s">
        <v>5</v>
      </c>
      <c r="D74" s="366">
        <v>-275656</v>
      </c>
    </row>
    <row r="75" spans="1:4" ht="14.5" x14ac:dyDescent="0.35">
      <c r="A75" s="371" t="s">
        <v>5</v>
      </c>
      <c r="B75" s="371" t="s">
        <v>5</v>
      </c>
      <c r="C75" s="371" t="s">
        <v>5</v>
      </c>
      <c r="D75" s="366"/>
    </row>
    <row r="76" spans="1:4" ht="14.5" x14ac:dyDescent="0.35">
      <c r="A76" s="371" t="s">
        <v>1448</v>
      </c>
      <c r="B76" s="371" t="s">
        <v>5</v>
      </c>
      <c r="C76" s="371" t="s">
        <v>1449</v>
      </c>
      <c r="D76" s="366"/>
    </row>
    <row r="77" spans="1:4" ht="14.5" x14ac:dyDescent="0.35">
      <c r="A77" s="371" t="s">
        <v>5</v>
      </c>
      <c r="B77" s="371" t="s">
        <v>1450</v>
      </c>
      <c r="C77" s="371" t="s">
        <v>1451</v>
      </c>
      <c r="D77" s="366">
        <v>-7</v>
      </c>
    </row>
    <row r="78" spans="1:4" ht="14.5" x14ac:dyDescent="0.35">
      <c r="A78" s="371" t="s">
        <v>5</v>
      </c>
      <c r="B78" s="371" t="s">
        <v>1452</v>
      </c>
      <c r="C78" s="371" t="s">
        <v>1453</v>
      </c>
      <c r="D78" s="366">
        <v>-24</v>
      </c>
    </row>
    <row r="79" spans="1:4" ht="14.5" x14ac:dyDescent="0.35">
      <c r="A79" s="371" t="s">
        <v>5</v>
      </c>
      <c r="B79" s="371" t="s">
        <v>1454</v>
      </c>
      <c r="C79" s="371" t="s">
        <v>1455</v>
      </c>
      <c r="D79" s="366">
        <v>-198940</v>
      </c>
    </row>
    <row r="80" spans="1:4" ht="14.5" x14ac:dyDescent="0.35">
      <c r="A80" s="371" t="s">
        <v>5</v>
      </c>
      <c r="B80" s="371" t="s">
        <v>1456</v>
      </c>
      <c r="C80" s="371" t="s">
        <v>1457</v>
      </c>
      <c r="D80" s="366">
        <v>-21682</v>
      </c>
    </row>
    <row r="81" spans="1:6" ht="14.5" x14ac:dyDescent="0.35">
      <c r="A81" s="371" t="s">
        <v>5</v>
      </c>
      <c r="B81" s="371" t="s">
        <v>1458</v>
      </c>
      <c r="C81" s="371" t="s">
        <v>1459</v>
      </c>
      <c r="D81" s="366">
        <v>-1028</v>
      </c>
    </row>
    <row r="82" spans="1:6" ht="16" x14ac:dyDescent="0.5">
      <c r="A82" s="371" t="s">
        <v>5</v>
      </c>
      <c r="B82" s="371" t="s">
        <v>1460</v>
      </c>
      <c r="C82" s="371" t="s">
        <v>1461</v>
      </c>
      <c r="D82" s="365">
        <v>-45000</v>
      </c>
    </row>
    <row r="83" spans="1:6" ht="14.5" x14ac:dyDescent="0.35">
      <c r="A83" s="371" t="s">
        <v>1462</v>
      </c>
      <c r="B83" s="371" t="s">
        <v>5</v>
      </c>
      <c r="C83" s="371" t="s">
        <v>5</v>
      </c>
      <c r="D83" s="366">
        <v>-266681</v>
      </c>
    </row>
    <row r="84" spans="1:6" ht="14.5" x14ac:dyDescent="0.35">
      <c r="A84" s="371" t="s">
        <v>5</v>
      </c>
      <c r="B84" s="371" t="s">
        <v>5</v>
      </c>
      <c r="C84" s="371" t="s">
        <v>5</v>
      </c>
      <c r="D84" s="366"/>
    </row>
    <row r="85" spans="1:6" ht="14.5" x14ac:dyDescent="0.35">
      <c r="A85" s="371" t="s">
        <v>1463</v>
      </c>
      <c r="B85" s="371" t="s">
        <v>5</v>
      </c>
      <c r="C85" s="371" t="s">
        <v>1464</v>
      </c>
      <c r="D85" s="366"/>
    </row>
    <row r="86" spans="1:6" ht="16" x14ac:dyDescent="0.5">
      <c r="A86" s="371" t="s">
        <v>5</v>
      </c>
      <c r="B86" s="371" t="s">
        <v>1465</v>
      </c>
      <c r="C86" s="371" t="s">
        <v>1466</v>
      </c>
      <c r="D86" s="365">
        <v>-40</v>
      </c>
    </row>
    <row r="87" spans="1:6" ht="14.5" x14ac:dyDescent="0.35">
      <c r="A87" s="371" t="s">
        <v>1467</v>
      </c>
      <c r="B87" s="371" t="s">
        <v>5</v>
      </c>
      <c r="C87" s="371" t="s">
        <v>5</v>
      </c>
      <c r="D87" s="366">
        <v>-40</v>
      </c>
    </row>
    <row r="88" spans="1:6" ht="14.5" x14ac:dyDescent="0.35">
      <c r="A88" s="371" t="s">
        <v>5</v>
      </c>
      <c r="B88" s="371" t="s">
        <v>5</v>
      </c>
      <c r="C88" s="371" t="s">
        <v>5</v>
      </c>
      <c r="D88" s="366"/>
    </row>
    <row r="89" spans="1:6" ht="14.5" x14ac:dyDescent="0.35">
      <c r="A89" s="371" t="s">
        <v>1468</v>
      </c>
      <c r="B89" s="371" t="s">
        <v>5</v>
      </c>
      <c r="C89" s="371" t="s">
        <v>5</v>
      </c>
      <c r="D89" s="366"/>
    </row>
    <row r="90" spans="1:6" ht="16" x14ac:dyDescent="0.5">
      <c r="A90" s="371" t="s">
        <v>5</v>
      </c>
      <c r="B90" s="371" t="s">
        <v>1469</v>
      </c>
      <c r="C90" s="371" t="s">
        <v>1470</v>
      </c>
      <c r="D90" s="365">
        <v>11387</v>
      </c>
    </row>
    <row r="91" spans="1:6" ht="14.5" x14ac:dyDescent="0.35">
      <c r="A91" s="371" t="s">
        <v>1471</v>
      </c>
      <c r="B91" s="371" t="s">
        <v>5</v>
      </c>
      <c r="C91" s="371" t="s">
        <v>5</v>
      </c>
      <c r="D91" s="366">
        <v>11387</v>
      </c>
    </row>
    <row r="92" spans="1:6" ht="16" x14ac:dyDescent="0.5">
      <c r="A92" s="371" t="s">
        <v>5</v>
      </c>
      <c r="B92" s="371" t="s">
        <v>5</v>
      </c>
      <c r="C92" s="371" t="s">
        <v>5</v>
      </c>
      <c r="D92" s="365" t="s">
        <v>1472</v>
      </c>
    </row>
    <row r="93" spans="1:6" ht="16" x14ac:dyDescent="0.5">
      <c r="A93" s="370" t="s">
        <v>1473</v>
      </c>
      <c r="B93" s="370" t="s">
        <v>5</v>
      </c>
      <c r="C93" s="370" t="s">
        <v>5</v>
      </c>
      <c r="D93" s="367">
        <v>-1073861</v>
      </c>
    </row>
    <row r="94" spans="1:6" ht="14.5" x14ac:dyDescent="0.35">
      <c r="A94" s="278"/>
      <c r="B94" s="278"/>
      <c r="C94" s="278"/>
      <c r="D94" s="278"/>
    </row>
    <row r="95" spans="1:6" ht="14.5" x14ac:dyDescent="0.35">
      <c r="A95" s="278"/>
      <c r="B95" s="278"/>
      <c r="C95" s="278"/>
      <c r="D95" s="278"/>
      <c r="E95" s="349"/>
      <c r="F95" s="349"/>
    </row>
    <row r="96" spans="1:6" ht="14.5" x14ac:dyDescent="0.35">
      <c r="A96" s="280" t="s">
        <v>826</v>
      </c>
      <c r="B96" s="278"/>
      <c r="C96" s="278"/>
      <c r="D96" s="278">
        <f>N(data!C414)</f>
        <v>1804152</v>
      </c>
      <c r="E96" s="349"/>
      <c r="F96" s="349"/>
    </row>
    <row r="97" spans="1:6" ht="14.5" x14ac:dyDescent="0.35">
      <c r="A97" s="280" t="s">
        <v>823</v>
      </c>
      <c r="B97" s="278"/>
      <c r="C97" s="278"/>
      <c r="D97" s="278" t="str">
        <f>IF(OR(N(data!C414)&gt;1000000,N(data!C414)/(N(data!D416))&gt;0.01),"Yes","No")</f>
        <v>Yes</v>
      </c>
      <c r="E97" s="349"/>
      <c r="F97" s="349"/>
    </row>
    <row r="98" spans="1:6" ht="14.5" x14ac:dyDescent="0.35">
      <c r="A98" s="374" t="s">
        <v>2109</v>
      </c>
      <c r="B98" s="278"/>
      <c r="C98" s="278"/>
      <c r="D98" s="278"/>
    </row>
    <row r="99" spans="1:6" ht="14.5" x14ac:dyDescent="0.35">
      <c r="A99" s="280" t="s">
        <v>824</v>
      </c>
      <c r="B99" s="278"/>
      <c r="C99" s="278"/>
      <c r="D99" s="280" t="s">
        <v>825</v>
      </c>
    </row>
    <row r="100" spans="1:6" ht="14.5" x14ac:dyDescent="0.35">
      <c r="A100" s="348" t="s">
        <v>1366</v>
      </c>
      <c r="B100" s="348" t="s">
        <v>237</v>
      </c>
      <c r="C100" s="348" t="s">
        <v>1367</v>
      </c>
      <c r="D100" s="348" t="s">
        <v>1368</v>
      </c>
    </row>
    <row r="101" spans="1:6" ht="14.5" x14ac:dyDescent="0.35">
      <c r="A101" s="375" t="s">
        <v>1474</v>
      </c>
      <c r="B101" s="375" t="s">
        <v>5</v>
      </c>
      <c r="C101" s="375" t="s">
        <v>1475</v>
      </c>
      <c r="D101" s="376"/>
      <c r="E101" s="376"/>
    </row>
    <row r="102" spans="1:6" ht="29" x14ac:dyDescent="0.35">
      <c r="A102" s="375" t="s">
        <v>5</v>
      </c>
      <c r="B102" s="375" t="s">
        <v>1476</v>
      </c>
      <c r="C102" s="375" t="s">
        <v>1477</v>
      </c>
      <c r="D102" s="376">
        <v>1616</v>
      </c>
    </row>
    <row r="103" spans="1:6" ht="29" x14ac:dyDescent="0.35">
      <c r="A103" s="375" t="s">
        <v>5</v>
      </c>
      <c r="B103" s="375" t="s">
        <v>1794</v>
      </c>
      <c r="C103" s="375" t="s">
        <v>1795</v>
      </c>
      <c r="D103" s="376">
        <v>1062</v>
      </c>
    </row>
    <row r="104" spans="1:6" ht="29" x14ac:dyDescent="0.35">
      <c r="A104" s="375" t="s">
        <v>5</v>
      </c>
      <c r="B104" s="375" t="s">
        <v>1796</v>
      </c>
      <c r="C104" s="375" t="s">
        <v>1797</v>
      </c>
      <c r="D104" s="376">
        <v>57</v>
      </c>
    </row>
    <row r="105" spans="1:6" ht="30.5" x14ac:dyDescent="0.5">
      <c r="A105" s="375" t="s">
        <v>5</v>
      </c>
      <c r="B105" s="375" t="s">
        <v>1478</v>
      </c>
      <c r="C105" s="375" t="s">
        <v>1479</v>
      </c>
      <c r="D105" s="377">
        <v>115</v>
      </c>
    </row>
    <row r="106" spans="1:6" ht="14.5" x14ac:dyDescent="0.35">
      <c r="A106" s="375" t="s">
        <v>1480</v>
      </c>
      <c r="B106" s="375" t="s">
        <v>5</v>
      </c>
      <c r="C106" s="375" t="s">
        <v>5</v>
      </c>
      <c r="D106" s="376">
        <v>2850</v>
      </c>
    </row>
    <row r="107" spans="1:6" ht="14.5" x14ac:dyDescent="0.35">
      <c r="A107" s="375" t="s">
        <v>5</v>
      </c>
      <c r="B107" s="375" t="s">
        <v>5</v>
      </c>
      <c r="C107" s="375" t="s">
        <v>5</v>
      </c>
      <c r="D107" s="376"/>
    </row>
    <row r="108" spans="1:6" ht="14.5" x14ac:dyDescent="0.35">
      <c r="A108" s="375" t="s">
        <v>1481</v>
      </c>
      <c r="B108" s="375" t="s">
        <v>5</v>
      </c>
      <c r="C108" s="375" t="s">
        <v>120</v>
      </c>
      <c r="D108" s="376"/>
    </row>
    <row r="109" spans="1:6" ht="29" x14ac:dyDescent="0.35">
      <c r="A109" s="375" t="s">
        <v>5</v>
      </c>
      <c r="B109" s="375" t="s">
        <v>1482</v>
      </c>
      <c r="C109" s="375" t="s">
        <v>1483</v>
      </c>
      <c r="D109" s="376">
        <v>17728</v>
      </c>
    </row>
    <row r="110" spans="1:6" ht="29" x14ac:dyDescent="0.35">
      <c r="A110" s="375" t="s">
        <v>5</v>
      </c>
      <c r="B110" s="375" t="s">
        <v>1798</v>
      </c>
      <c r="C110" s="375" t="s">
        <v>1799</v>
      </c>
      <c r="D110" s="376">
        <v>5937</v>
      </c>
    </row>
    <row r="111" spans="1:6" ht="29" x14ac:dyDescent="0.35">
      <c r="A111" s="375" t="s">
        <v>5</v>
      </c>
      <c r="B111" s="375" t="s">
        <v>1800</v>
      </c>
      <c r="C111" s="375" t="s">
        <v>1801</v>
      </c>
      <c r="D111" s="376">
        <v>895</v>
      </c>
    </row>
    <row r="112" spans="1:6" ht="29" x14ac:dyDescent="0.35">
      <c r="A112" s="375" t="s">
        <v>5</v>
      </c>
      <c r="B112" s="375" t="s">
        <v>1484</v>
      </c>
      <c r="C112" s="375" t="s">
        <v>1485</v>
      </c>
      <c r="D112" s="376">
        <v>133</v>
      </c>
    </row>
    <row r="113" spans="1:4" ht="29" x14ac:dyDescent="0.35">
      <c r="A113" s="375" t="s">
        <v>5</v>
      </c>
      <c r="B113" s="375" t="s">
        <v>1486</v>
      </c>
      <c r="C113" s="375" t="s">
        <v>1487</v>
      </c>
      <c r="D113" s="376">
        <v>230</v>
      </c>
    </row>
    <row r="114" spans="1:4" ht="29" x14ac:dyDescent="0.35">
      <c r="A114" s="375" t="s">
        <v>5</v>
      </c>
      <c r="B114" s="375" t="s">
        <v>1802</v>
      </c>
      <c r="C114" s="375" t="s">
        <v>1803</v>
      </c>
      <c r="D114" s="376">
        <v>0</v>
      </c>
    </row>
    <row r="115" spans="1:4" ht="29" x14ac:dyDescent="0.35">
      <c r="A115" s="375" t="s">
        <v>5</v>
      </c>
      <c r="B115" s="375" t="s">
        <v>1804</v>
      </c>
      <c r="C115" s="375" t="s">
        <v>1805</v>
      </c>
      <c r="D115" s="376">
        <v>0</v>
      </c>
    </row>
    <row r="116" spans="1:4" ht="29" x14ac:dyDescent="0.35">
      <c r="A116" s="375" t="s">
        <v>5</v>
      </c>
      <c r="B116" s="375" t="s">
        <v>1806</v>
      </c>
      <c r="C116" s="375" t="s">
        <v>1807</v>
      </c>
      <c r="D116" s="376">
        <v>0</v>
      </c>
    </row>
    <row r="117" spans="1:4" ht="30.5" x14ac:dyDescent="0.5">
      <c r="A117" s="375" t="s">
        <v>5</v>
      </c>
      <c r="B117" s="375" t="s">
        <v>1808</v>
      </c>
      <c r="C117" s="375" t="s">
        <v>1809</v>
      </c>
      <c r="D117" s="377">
        <v>328</v>
      </c>
    </row>
    <row r="118" spans="1:4" ht="14.5" x14ac:dyDescent="0.35">
      <c r="A118" s="375" t="s">
        <v>1488</v>
      </c>
      <c r="B118" s="375" t="s">
        <v>5</v>
      </c>
      <c r="C118" s="375" t="s">
        <v>5</v>
      </c>
      <c r="D118" s="376">
        <v>25251</v>
      </c>
    </row>
    <row r="119" spans="1:4" ht="14.5" x14ac:dyDescent="0.35">
      <c r="A119" s="375" t="s">
        <v>5</v>
      </c>
      <c r="B119" s="375" t="s">
        <v>5</v>
      </c>
      <c r="C119" s="375" t="s">
        <v>5</v>
      </c>
      <c r="D119" s="376"/>
    </row>
    <row r="120" spans="1:4" ht="14.5" x14ac:dyDescent="0.35">
      <c r="A120" s="375" t="s">
        <v>1489</v>
      </c>
      <c r="B120" s="375" t="s">
        <v>5</v>
      </c>
      <c r="C120" s="375" t="s">
        <v>1490</v>
      </c>
      <c r="D120" s="376"/>
    </row>
    <row r="121" spans="1:4" ht="29" x14ac:dyDescent="0.35">
      <c r="A121" s="375" t="s">
        <v>5</v>
      </c>
      <c r="B121" s="375" t="s">
        <v>1491</v>
      </c>
      <c r="C121" s="375" t="s">
        <v>1492</v>
      </c>
      <c r="D121" s="376">
        <v>721</v>
      </c>
    </row>
    <row r="122" spans="1:4" ht="29" x14ac:dyDescent="0.35">
      <c r="A122" s="375" t="s">
        <v>5</v>
      </c>
      <c r="B122" s="375" t="s">
        <v>1493</v>
      </c>
      <c r="C122" s="375" t="s">
        <v>1494</v>
      </c>
      <c r="D122" s="376">
        <v>85</v>
      </c>
    </row>
    <row r="123" spans="1:4" ht="29" x14ac:dyDescent="0.35">
      <c r="A123" s="375" t="s">
        <v>5</v>
      </c>
      <c r="B123" s="375" t="s">
        <v>1810</v>
      </c>
      <c r="C123" s="375" t="s">
        <v>1811</v>
      </c>
      <c r="D123" s="376">
        <v>9712</v>
      </c>
    </row>
    <row r="124" spans="1:4" ht="29" x14ac:dyDescent="0.35">
      <c r="A124" s="375" t="s">
        <v>5</v>
      </c>
      <c r="B124" s="375" t="s">
        <v>1812</v>
      </c>
      <c r="C124" s="375" t="s">
        <v>1813</v>
      </c>
      <c r="D124" s="376">
        <v>0</v>
      </c>
    </row>
    <row r="125" spans="1:4" ht="29" x14ac:dyDescent="0.35">
      <c r="A125" s="375" t="s">
        <v>5</v>
      </c>
      <c r="B125" s="375" t="s">
        <v>1495</v>
      </c>
      <c r="C125" s="375" t="s">
        <v>1496</v>
      </c>
      <c r="D125" s="376">
        <v>461</v>
      </c>
    </row>
    <row r="126" spans="1:4" ht="29" x14ac:dyDescent="0.35">
      <c r="A126" s="375" t="s">
        <v>5</v>
      </c>
      <c r="B126" s="375" t="s">
        <v>1814</v>
      </c>
      <c r="C126" s="375" t="s">
        <v>1815</v>
      </c>
      <c r="D126" s="376">
        <v>1433</v>
      </c>
    </row>
    <row r="127" spans="1:4" ht="30.5" x14ac:dyDescent="0.5">
      <c r="A127" s="375" t="s">
        <v>5</v>
      </c>
      <c r="B127" s="375" t="s">
        <v>1816</v>
      </c>
      <c r="C127" s="375" t="s">
        <v>1817</v>
      </c>
      <c r="D127" s="377">
        <v>749</v>
      </c>
    </row>
    <row r="128" spans="1:4" ht="14.5" x14ac:dyDescent="0.35">
      <c r="A128" s="375" t="s">
        <v>1497</v>
      </c>
      <c r="B128" s="375" t="s">
        <v>5</v>
      </c>
      <c r="C128" s="375" t="s">
        <v>5</v>
      </c>
      <c r="D128" s="376">
        <v>13161</v>
      </c>
    </row>
    <row r="129" spans="1:4" ht="14.5" x14ac:dyDescent="0.35">
      <c r="A129" s="375" t="s">
        <v>5</v>
      </c>
      <c r="B129" s="375" t="s">
        <v>5</v>
      </c>
      <c r="C129" s="375" t="s">
        <v>5</v>
      </c>
      <c r="D129" s="376"/>
    </row>
    <row r="130" spans="1:4" ht="14.5" x14ac:dyDescent="0.35">
      <c r="A130" s="375" t="s">
        <v>1498</v>
      </c>
      <c r="B130" s="375" t="s">
        <v>5</v>
      </c>
      <c r="C130" s="375" t="s">
        <v>637</v>
      </c>
      <c r="D130" s="376"/>
    </row>
    <row r="131" spans="1:4" ht="29" x14ac:dyDescent="0.35">
      <c r="A131" s="375" t="s">
        <v>5</v>
      </c>
      <c r="B131" s="375" t="s">
        <v>1499</v>
      </c>
      <c r="C131" s="375" t="s">
        <v>1500</v>
      </c>
      <c r="D131" s="376">
        <v>7680</v>
      </c>
    </row>
    <row r="132" spans="1:4" ht="29" x14ac:dyDescent="0.35">
      <c r="A132" s="375" t="s">
        <v>5</v>
      </c>
      <c r="B132" s="375" t="s">
        <v>1501</v>
      </c>
      <c r="C132" s="375" t="s">
        <v>1502</v>
      </c>
      <c r="D132" s="376">
        <v>271</v>
      </c>
    </row>
    <row r="133" spans="1:4" ht="29" x14ac:dyDescent="0.35">
      <c r="A133" s="375" t="s">
        <v>5</v>
      </c>
      <c r="B133" s="375" t="s">
        <v>1818</v>
      </c>
      <c r="C133" s="375" t="s">
        <v>1819</v>
      </c>
      <c r="D133" s="376">
        <v>10537</v>
      </c>
    </row>
    <row r="134" spans="1:4" ht="29" x14ac:dyDescent="0.35">
      <c r="A134" s="375" t="s">
        <v>5</v>
      </c>
      <c r="B134" s="375" t="s">
        <v>1503</v>
      </c>
      <c r="C134" s="375" t="s">
        <v>1504</v>
      </c>
      <c r="D134" s="376">
        <v>50</v>
      </c>
    </row>
    <row r="135" spans="1:4" ht="29" x14ac:dyDescent="0.35">
      <c r="A135" s="375" t="s">
        <v>5</v>
      </c>
      <c r="B135" s="375" t="s">
        <v>1505</v>
      </c>
      <c r="C135" s="375" t="s">
        <v>1506</v>
      </c>
      <c r="D135" s="376">
        <v>98</v>
      </c>
    </row>
    <row r="136" spans="1:4" ht="30.5" x14ac:dyDescent="0.5">
      <c r="A136" s="375" t="s">
        <v>5</v>
      </c>
      <c r="B136" s="375" t="s">
        <v>1507</v>
      </c>
      <c r="C136" s="375" t="s">
        <v>1508</v>
      </c>
      <c r="D136" s="377">
        <v>705</v>
      </c>
    </row>
    <row r="137" spans="1:4" ht="14.5" x14ac:dyDescent="0.35">
      <c r="A137" s="375" t="s">
        <v>1509</v>
      </c>
      <c r="B137" s="375" t="s">
        <v>5</v>
      </c>
      <c r="C137" s="375" t="s">
        <v>5</v>
      </c>
      <c r="D137" s="376">
        <v>19341</v>
      </c>
    </row>
    <row r="138" spans="1:4" ht="14.5" x14ac:dyDescent="0.35">
      <c r="A138" s="375" t="s">
        <v>5</v>
      </c>
      <c r="B138" s="375" t="s">
        <v>5</v>
      </c>
      <c r="C138" s="375" t="s">
        <v>5</v>
      </c>
      <c r="D138" s="376"/>
    </row>
    <row r="139" spans="1:4" ht="14.5" x14ac:dyDescent="0.35">
      <c r="A139" s="375" t="s">
        <v>1820</v>
      </c>
      <c r="B139" s="375" t="s">
        <v>5</v>
      </c>
      <c r="C139" s="375" t="s">
        <v>639</v>
      </c>
      <c r="D139" s="376"/>
    </row>
    <row r="140" spans="1:4" ht="29" x14ac:dyDescent="0.35">
      <c r="A140" s="375" t="s">
        <v>5</v>
      </c>
      <c r="B140" s="375" t="s">
        <v>1821</v>
      </c>
      <c r="C140" s="375" t="s">
        <v>1822</v>
      </c>
      <c r="D140" s="376">
        <v>1105</v>
      </c>
    </row>
    <row r="141" spans="1:4" ht="29" x14ac:dyDescent="0.35">
      <c r="A141" s="375" t="s">
        <v>5</v>
      </c>
      <c r="B141" s="375" t="s">
        <v>1823</v>
      </c>
      <c r="C141" s="375" t="s">
        <v>1824</v>
      </c>
      <c r="D141" s="376">
        <v>5088</v>
      </c>
    </row>
    <row r="142" spans="1:4" ht="29" x14ac:dyDescent="0.35">
      <c r="A142" s="375" t="s">
        <v>5</v>
      </c>
      <c r="B142" s="375" t="s">
        <v>1825</v>
      </c>
      <c r="C142" s="375" t="s">
        <v>1826</v>
      </c>
      <c r="D142" s="376">
        <v>0</v>
      </c>
    </row>
    <row r="143" spans="1:4" ht="30.5" x14ac:dyDescent="0.5">
      <c r="A143" s="375" t="s">
        <v>5</v>
      </c>
      <c r="B143" s="375" t="s">
        <v>1827</v>
      </c>
      <c r="C143" s="375" t="s">
        <v>1828</v>
      </c>
      <c r="D143" s="377">
        <v>0</v>
      </c>
    </row>
    <row r="144" spans="1:4" ht="14.5" x14ac:dyDescent="0.35">
      <c r="A144" s="375" t="s">
        <v>1829</v>
      </c>
      <c r="B144" s="375" t="s">
        <v>5</v>
      </c>
      <c r="C144" s="375" t="s">
        <v>5</v>
      </c>
      <c r="D144" s="376">
        <v>6193</v>
      </c>
    </row>
    <row r="145" spans="1:4" ht="14.5" x14ac:dyDescent="0.35">
      <c r="A145" s="375" t="s">
        <v>5</v>
      </c>
      <c r="B145" s="375" t="s">
        <v>5</v>
      </c>
      <c r="C145" s="375" t="s">
        <v>5</v>
      </c>
      <c r="D145" s="376"/>
    </row>
    <row r="146" spans="1:4" ht="14.5" x14ac:dyDescent="0.35">
      <c r="A146" s="375" t="s">
        <v>1510</v>
      </c>
      <c r="B146" s="375" t="s">
        <v>5</v>
      </c>
      <c r="C146" s="375" t="s">
        <v>642</v>
      </c>
      <c r="D146" s="376"/>
    </row>
    <row r="147" spans="1:4" ht="29" x14ac:dyDescent="0.35">
      <c r="A147" s="375" t="s">
        <v>5</v>
      </c>
      <c r="B147" s="375" t="s">
        <v>1830</v>
      </c>
      <c r="C147" s="375" t="s">
        <v>1831</v>
      </c>
      <c r="D147" s="376">
        <v>0</v>
      </c>
    </row>
    <row r="148" spans="1:4" ht="29" x14ac:dyDescent="0.35">
      <c r="A148" s="375" t="s">
        <v>5</v>
      </c>
      <c r="B148" s="375" t="s">
        <v>1832</v>
      </c>
      <c r="C148" s="375" t="s">
        <v>1833</v>
      </c>
      <c r="D148" s="376">
        <v>366</v>
      </c>
    </row>
    <row r="149" spans="1:4" ht="30.5" x14ac:dyDescent="0.5">
      <c r="A149" s="375" t="s">
        <v>5</v>
      </c>
      <c r="B149" s="375" t="s">
        <v>1511</v>
      </c>
      <c r="C149" s="375" t="s">
        <v>1512</v>
      </c>
      <c r="D149" s="377">
        <v>1707</v>
      </c>
    </row>
    <row r="150" spans="1:4" ht="14.5" x14ac:dyDescent="0.35">
      <c r="A150" s="375" t="s">
        <v>1513</v>
      </c>
      <c r="B150" s="375" t="s">
        <v>5</v>
      </c>
      <c r="C150" s="375" t="s">
        <v>5</v>
      </c>
      <c r="D150" s="376">
        <v>2073</v>
      </c>
    </row>
    <row r="151" spans="1:4" ht="14.5" x14ac:dyDescent="0.35">
      <c r="A151" s="375" t="s">
        <v>5</v>
      </c>
      <c r="B151" s="375" t="s">
        <v>5</v>
      </c>
      <c r="C151" s="375" t="s">
        <v>5</v>
      </c>
      <c r="D151" s="376"/>
    </row>
    <row r="152" spans="1:4" ht="14.5" x14ac:dyDescent="0.35">
      <c r="A152" s="375" t="s">
        <v>1514</v>
      </c>
      <c r="B152" s="375" t="s">
        <v>5</v>
      </c>
      <c r="C152" s="375" t="s">
        <v>136</v>
      </c>
      <c r="D152" s="376"/>
    </row>
    <row r="153" spans="1:4" ht="29" x14ac:dyDescent="0.35">
      <c r="A153" s="375" t="s">
        <v>5</v>
      </c>
      <c r="B153" s="375" t="s">
        <v>1515</v>
      </c>
      <c r="C153" s="375" t="s">
        <v>1516</v>
      </c>
      <c r="D153" s="376">
        <v>187</v>
      </c>
    </row>
    <row r="154" spans="1:4" ht="29" x14ac:dyDescent="0.35">
      <c r="A154" s="375" t="s">
        <v>5</v>
      </c>
      <c r="B154" s="375" t="s">
        <v>1834</v>
      </c>
      <c r="C154" s="375" t="s">
        <v>1835</v>
      </c>
      <c r="D154" s="376">
        <v>8085</v>
      </c>
    </row>
    <row r="155" spans="1:4" ht="29" x14ac:dyDescent="0.35">
      <c r="A155" s="375" t="s">
        <v>5</v>
      </c>
      <c r="B155" s="375" t="s">
        <v>1836</v>
      </c>
      <c r="C155" s="375" t="s">
        <v>1837</v>
      </c>
      <c r="D155" s="376">
        <v>378</v>
      </c>
    </row>
    <row r="156" spans="1:4" ht="29" x14ac:dyDescent="0.35">
      <c r="A156" s="375" t="s">
        <v>5</v>
      </c>
      <c r="B156" s="375" t="s">
        <v>1517</v>
      </c>
      <c r="C156" s="375" t="s">
        <v>1518</v>
      </c>
      <c r="D156" s="376">
        <v>2385</v>
      </c>
    </row>
    <row r="157" spans="1:4" ht="30.5" x14ac:dyDescent="0.5">
      <c r="A157" s="375" t="s">
        <v>5</v>
      </c>
      <c r="B157" s="375" t="s">
        <v>1519</v>
      </c>
      <c r="C157" s="375" t="s">
        <v>1520</v>
      </c>
      <c r="D157" s="377">
        <v>18694</v>
      </c>
    </row>
    <row r="158" spans="1:4" ht="14.5" x14ac:dyDescent="0.35">
      <c r="A158" s="375" t="s">
        <v>1521</v>
      </c>
      <c r="B158" s="375" t="s">
        <v>5</v>
      </c>
      <c r="C158" s="375" t="s">
        <v>5</v>
      </c>
      <c r="D158" s="376">
        <v>29729</v>
      </c>
    </row>
    <row r="159" spans="1:4" ht="14.5" x14ac:dyDescent="0.35">
      <c r="A159" s="375" t="s">
        <v>5</v>
      </c>
      <c r="B159" s="375" t="s">
        <v>5</v>
      </c>
      <c r="C159" s="375" t="s">
        <v>5</v>
      </c>
      <c r="D159" s="376"/>
    </row>
    <row r="160" spans="1:4" ht="14.5" x14ac:dyDescent="0.35">
      <c r="A160" s="375" t="s">
        <v>1522</v>
      </c>
      <c r="B160" s="375" t="s">
        <v>5</v>
      </c>
      <c r="C160" s="375" t="s">
        <v>1523</v>
      </c>
      <c r="D160" s="376"/>
    </row>
    <row r="161" spans="1:4" ht="30.5" x14ac:dyDescent="0.5">
      <c r="A161" s="375" t="s">
        <v>5</v>
      </c>
      <c r="B161" s="375" t="s">
        <v>1524</v>
      </c>
      <c r="C161" s="375" t="s">
        <v>1525</v>
      </c>
      <c r="D161" s="377">
        <v>441</v>
      </c>
    </row>
    <row r="162" spans="1:4" ht="14.5" x14ac:dyDescent="0.35">
      <c r="A162" s="375" t="s">
        <v>1526</v>
      </c>
      <c r="B162" s="375" t="s">
        <v>5</v>
      </c>
      <c r="C162" s="375" t="s">
        <v>5</v>
      </c>
      <c r="D162" s="376">
        <v>441</v>
      </c>
    </row>
    <row r="163" spans="1:4" ht="14.5" x14ac:dyDescent="0.35">
      <c r="A163" s="375" t="s">
        <v>5</v>
      </c>
      <c r="B163" s="375" t="s">
        <v>5</v>
      </c>
      <c r="C163" s="375" t="s">
        <v>5</v>
      </c>
      <c r="D163" s="376"/>
    </row>
    <row r="164" spans="1:4" ht="14.5" x14ac:dyDescent="0.35">
      <c r="A164" s="375" t="s">
        <v>1838</v>
      </c>
      <c r="B164" s="375" t="s">
        <v>5</v>
      </c>
      <c r="C164" s="375" t="s">
        <v>651</v>
      </c>
      <c r="D164" s="376"/>
    </row>
    <row r="165" spans="1:4" ht="29" x14ac:dyDescent="0.35">
      <c r="A165" s="375" t="s">
        <v>5</v>
      </c>
      <c r="B165" s="375" t="s">
        <v>1839</v>
      </c>
      <c r="C165" s="375" t="s">
        <v>1840</v>
      </c>
      <c r="D165" s="376">
        <v>1248</v>
      </c>
    </row>
    <row r="166" spans="1:4" ht="30.5" x14ac:dyDescent="0.5">
      <c r="A166" s="375" t="s">
        <v>5</v>
      </c>
      <c r="B166" s="375" t="s">
        <v>1841</v>
      </c>
      <c r="C166" s="375" t="s">
        <v>1842</v>
      </c>
      <c r="D166" s="377">
        <v>87</v>
      </c>
    </row>
    <row r="167" spans="1:4" ht="14.5" x14ac:dyDescent="0.35">
      <c r="A167" s="375" t="s">
        <v>1843</v>
      </c>
      <c r="B167" s="375" t="s">
        <v>5</v>
      </c>
      <c r="C167" s="375" t="s">
        <v>5</v>
      </c>
      <c r="D167" s="376">
        <v>1335</v>
      </c>
    </row>
    <row r="168" spans="1:4" ht="14.5" x14ac:dyDescent="0.35">
      <c r="A168" s="375" t="s">
        <v>5</v>
      </c>
      <c r="B168" s="375" t="s">
        <v>5</v>
      </c>
      <c r="C168" s="375" t="s">
        <v>5</v>
      </c>
      <c r="D168" s="376"/>
    </row>
    <row r="169" spans="1:4" ht="14.5" x14ac:dyDescent="0.35">
      <c r="A169" s="375" t="s">
        <v>1527</v>
      </c>
      <c r="B169" s="375" t="s">
        <v>5</v>
      </c>
      <c r="C169" s="375" t="s">
        <v>1528</v>
      </c>
      <c r="D169" s="376"/>
    </row>
    <row r="170" spans="1:4" ht="29" x14ac:dyDescent="0.35">
      <c r="A170" s="375" t="s">
        <v>5</v>
      </c>
      <c r="B170" s="375" t="s">
        <v>1529</v>
      </c>
      <c r="C170" s="375" t="s">
        <v>1530</v>
      </c>
      <c r="D170" s="376">
        <v>1182</v>
      </c>
    </row>
    <row r="171" spans="1:4" ht="29" x14ac:dyDescent="0.35">
      <c r="A171" s="375" t="s">
        <v>5</v>
      </c>
      <c r="B171" s="375" t="s">
        <v>1844</v>
      </c>
      <c r="C171" s="375" t="s">
        <v>1845</v>
      </c>
      <c r="D171" s="376">
        <v>0</v>
      </c>
    </row>
    <row r="172" spans="1:4" ht="29" x14ac:dyDescent="0.35">
      <c r="A172" s="375" t="s">
        <v>5</v>
      </c>
      <c r="B172" s="375" t="s">
        <v>1846</v>
      </c>
      <c r="C172" s="375" t="s">
        <v>1847</v>
      </c>
      <c r="D172" s="376">
        <v>1048</v>
      </c>
    </row>
    <row r="173" spans="1:4" ht="29" x14ac:dyDescent="0.35">
      <c r="A173" s="375" t="s">
        <v>5</v>
      </c>
      <c r="B173" s="375" t="s">
        <v>1848</v>
      </c>
      <c r="C173" s="375" t="s">
        <v>1849</v>
      </c>
      <c r="D173" s="376">
        <v>0</v>
      </c>
    </row>
    <row r="174" spans="1:4" ht="29" x14ac:dyDescent="0.35">
      <c r="A174" s="375" t="s">
        <v>5</v>
      </c>
      <c r="B174" s="375" t="s">
        <v>1850</v>
      </c>
      <c r="C174" s="375" t="s">
        <v>1851</v>
      </c>
      <c r="D174" s="376">
        <v>0</v>
      </c>
    </row>
    <row r="175" spans="1:4" ht="29" x14ac:dyDescent="0.35">
      <c r="A175" s="375" t="s">
        <v>5</v>
      </c>
      <c r="B175" s="375" t="s">
        <v>1852</v>
      </c>
      <c r="C175" s="375" t="s">
        <v>1853</v>
      </c>
      <c r="D175" s="376">
        <v>4324</v>
      </c>
    </row>
    <row r="176" spans="1:4" ht="29" x14ac:dyDescent="0.35">
      <c r="A176" s="375" t="s">
        <v>5</v>
      </c>
      <c r="B176" s="375" t="s">
        <v>1854</v>
      </c>
      <c r="C176" s="375" t="s">
        <v>1855</v>
      </c>
      <c r="D176" s="376">
        <v>828</v>
      </c>
    </row>
    <row r="177" spans="1:4" ht="30.5" x14ac:dyDescent="0.5">
      <c r="A177" s="375" t="s">
        <v>5</v>
      </c>
      <c r="B177" s="375" t="s">
        <v>1531</v>
      </c>
      <c r="C177" s="375" t="s">
        <v>1532</v>
      </c>
      <c r="D177" s="377">
        <v>2400</v>
      </c>
    </row>
    <row r="178" spans="1:4" ht="14.5" x14ac:dyDescent="0.35">
      <c r="A178" s="375" t="s">
        <v>1533</v>
      </c>
      <c r="B178" s="375" t="s">
        <v>5</v>
      </c>
      <c r="C178" s="375" t="s">
        <v>5</v>
      </c>
      <c r="D178" s="376">
        <v>9782</v>
      </c>
    </row>
    <row r="179" spans="1:4" ht="14.5" x14ac:dyDescent="0.35">
      <c r="A179" s="375" t="s">
        <v>5</v>
      </c>
      <c r="B179" s="375" t="s">
        <v>5</v>
      </c>
      <c r="C179" s="375" t="s">
        <v>5</v>
      </c>
      <c r="D179" s="376"/>
    </row>
    <row r="180" spans="1:4" ht="14.5" x14ac:dyDescent="0.35">
      <c r="A180" s="375" t="s">
        <v>1534</v>
      </c>
      <c r="B180" s="375" t="s">
        <v>5</v>
      </c>
      <c r="C180" s="375" t="s">
        <v>142</v>
      </c>
      <c r="D180" s="376"/>
    </row>
    <row r="181" spans="1:4" ht="29" x14ac:dyDescent="0.35">
      <c r="A181" s="375" t="s">
        <v>5</v>
      </c>
      <c r="B181" s="375" t="s">
        <v>1535</v>
      </c>
      <c r="C181" s="375" t="s">
        <v>1536</v>
      </c>
      <c r="D181" s="376">
        <v>3797</v>
      </c>
    </row>
    <row r="182" spans="1:4" ht="29" x14ac:dyDescent="0.35">
      <c r="A182" s="375" t="s">
        <v>5</v>
      </c>
      <c r="B182" s="375" t="s">
        <v>1856</v>
      </c>
      <c r="C182" s="375" t="s">
        <v>1857</v>
      </c>
      <c r="D182" s="376">
        <v>672</v>
      </c>
    </row>
    <row r="183" spans="1:4" ht="29" x14ac:dyDescent="0.35">
      <c r="A183" s="375" t="s">
        <v>5</v>
      </c>
      <c r="B183" s="375" t="s">
        <v>1858</v>
      </c>
      <c r="C183" s="375" t="s">
        <v>1859</v>
      </c>
      <c r="D183" s="376">
        <v>1834</v>
      </c>
    </row>
    <row r="184" spans="1:4" ht="29" x14ac:dyDescent="0.35">
      <c r="A184" s="375" t="s">
        <v>5</v>
      </c>
      <c r="B184" s="375" t="s">
        <v>1537</v>
      </c>
      <c r="C184" s="375" t="s">
        <v>1538</v>
      </c>
      <c r="D184" s="376">
        <v>1085</v>
      </c>
    </row>
    <row r="185" spans="1:4" ht="30.5" x14ac:dyDescent="0.5">
      <c r="A185" s="375" t="s">
        <v>5</v>
      </c>
      <c r="B185" s="375" t="s">
        <v>1539</v>
      </c>
      <c r="C185" s="375" t="s">
        <v>1540</v>
      </c>
      <c r="D185" s="377">
        <v>45</v>
      </c>
    </row>
    <row r="186" spans="1:4" ht="14.5" x14ac:dyDescent="0.35">
      <c r="A186" s="375" t="s">
        <v>1541</v>
      </c>
      <c r="B186" s="375" t="s">
        <v>5</v>
      </c>
      <c r="C186" s="375" t="s">
        <v>5</v>
      </c>
      <c r="D186" s="376">
        <v>7433</v>
      </c>
    </row>
    <row r="187" spans="1:4" ht="14.5" x14ac:dyDescent="0.35">
      <c r="A187" s="375" t="s">
        <v>5</v>
      </c>
      <c r="B187" s="375" t="s">
        <v>5</v>
      </c>
      <c r="C187" s="375" t="s">
        <v>5</v>
      </c>
      <c r="D187" s="376"/>
    </row>
    <row r="188" spans="1:4" ht="14.5" x14ac:dyDescent="0.35">
      <c r="A188" s="375" t="s">
        <v>1860</v>
      </c>
      <c r="B188" s="375" t="s">
        <v>5</v>
      </c>
      <c r="C188" s="375" t="s">
        <v>1861</v>
      </c>
      <c r="D188" s="376"/>
    </row>
    <row r="189" spans="1:4" ht="29" x14ac:dyDescent="0.35">
      <c r="A189" s="375" t="s">
        <v>5</v>
      </c>
      <c r="B189" s="375" t="s">
        <v>1862</v>
      </c>
      <c r="C189" s="375" t="s">
        <v>1863</v>
      </c>
      <c r="D189" s="376">
        <v>0</v>
      </c>
    </row>
    <row r="190" spans="1:4" ht="29" x14ac:dyDescent="0.35">
      <c r="A190" s="375" t="s">
        <v>5</v>
      </c>
      <c r="B190" s="375" t="s">
        <v>1864</v>
      </c>
      <c r="C190" s="375" t="s">
        <v>1865</v>
      </c>
      <c r="D190" s="376">
        <v>0</v>
      </c>
    </row>
    <row r="191" spans="1:4" ht="29" x14ac:dyDescent="0.35">
      <c r="A191" s="375" t="s">
        <v>5</v>
      </c>
      <c r="B191" s="375" t="s">
        <v>1866</v>
      </c>
      <c r="C191" s="375" t="s">
        <v>1867</v>
      </c>
      <c r="D191" s="376">
        <v>4234</v>
      </c>
    </row>
    <row r="192" spans="1:4" ht="30.5" x14ac:dyDescent="0.5">
      <c r="A192" s="375" t="s">
        <v>5</v>
      </c>
      <c r="B192" s="375" t="s">
        <v>1868</v>
      </c>
      <c r="C192" s="375" t="s">
        <v>1869</v>
      </c>
      <c r="D192" s="377">
        <v>0</v>
      </c>
    </row>
    <row r="193" spans="1:4" ht="14.5" x14ac:dyDescent="0.35">
      <c r="A193" s="375" t="s">
        <v>1870</v>
      </c>
      <c r="B193" s="375" t="s">
        <v>5</v>
      </c>
      <c r="C193" s="375" t="s">
        <v>5</v>
      </c>
      <c r="D193" s="376">
        <v>4234</v>
      </c>
    </row>
    <row r="194" spans="1:4" ht="14.5" x14ac:dyDescent="0.35">
      <c r="A194" s="375" t="s">
        <v>5</v>
      </c>
      <c r="B194" s="375" t="s">
        <v>5</v>
      </c>
      <c r="C194" s="375" t="s">
        <v>5</v>
      </c>
      <c r="D194" s="376"/>
    </row>
    <row r="195" spans="1:4" ht="14.5" x14ac:dyDescent="0.35">
      <c r="A195" s="375" t="s">
        <v>1542</v>
      </c>
      <c r="B195" s="375" t="s">
        <v>5</v>
      </c>
      <c r="C195" s="375" t="s">
        <v>1543</v>
      </c>
      <c r="D195" s="376"/>
    </row>
    <row r="196" spans="1:4" ht="29" x14ac:dyDescent="0.35">
      <c r="A196" s="375" t="s">
        <v>5</v>
      </c>
      <c r="B196" s="375" t="s">
        <v>1871</v>
      </c>
      <c r="C196" s="375" t="s">
        <v>1872</v>
      </c>
      <c r="D196" s="376">
        <v>1595</v>
      </c>
    </row>
    <row r="197" spans="1:4" ht="29" x14ac:dyDescent="0.35">
      <c r="A197" s="375" t="s">
        <v>5</v>
      </c>
      <c r="B197" s="375" t="s">
        <v>1873</v>
      </c>
      <c r="C197" s="375" t="s">
        <v>1874</v>
      </c>
      <c r="D197" s="376">
        <v>0</v>
      </c>
    </row>
    <row r="198" spans="1:4" ht="29" x14ac:dyDescent="0.35">
      <c r="A198" s="375" t="s">
        <v>5</v>
      </c>
      <c r="B198" s="375" t="s">
        <v>1544</v>
      </c>
      <c r="C198" s="375" t="s">
        <v>1545</v>
      </c>
      <c r="D198" s="376">
        <v>2210</v>
      </c>
    </row>
    <row r="199" spans="1:4" ht="30.5" x14ac:dyDescent="0.5">
      <c r="A199" s="375" t="s">
        <v>5</v>
      </c>
      <c r="B199" s="375" t="s">
        <v>1875</v>
      </c>
      <c r="C199" s="375" t="s">
        <v>1876</v>
      </c>
      <c r="D199" s="377">
        <v>0</v>
      </c>
    </row>
    <row r="200" spans="1:4" ht="14.5" x14ac:dyDescent="0.35">
      <c r="A200" s="375" t="s">
        <v>1546</v>
      </c>
      <c r="B200" s="375" t="s">
        <v>5</v>
      </c>
      <c r="C200" s="375" t="s">
        <v>5</v>
      </c>
      <c r="D200" s="376">
        <v>3805</v>
      </c>
    </row>
    <row r="201" spans="1:4" ht="14.5" x14ac:dyDescent="0.35">
      <c r="A201" s="375" t="s">
        <v>5</v>
      </c>
      <c r="B201" s="375" t="s">
        <v>5</v>
      </c>
      <c r="C201" s="375" t="s">
        <v>5</v>
      </c>
      <c r="D201" s="376"/>
    </row>
    <row r="202" spans="1:4" ht="14.5" x14ac:dyDescent="0.35">
      <c r="A202" s="375" t="s">
        <v>1547</v>
      </c>
      <c r="B202" s="375" t="s">
        <v>5</v>
      </c>
      <c r="C202" s="375" t="s">
        <v>1548</v>
      </c>
      <c r="D202" s="376"/>
    </row>
    <row r="203" spans="1:4" ht="29" x14ac:dyDescent="0.35">
      <c r="A203" s="375" t="s">
        <v>5</v>
      </c>
      <c r="B203" s="375" t="s">
        <v>1549</v>
      </c>
      <c r="C203" s="375" t="s">
        <v>1550</v>
      </c>
      <c r="D203" s="376">
        <v>27536</v>
      </c>
    </row>
    <row r="204" spans="1:4" ht="29" x14ac:dyDescent="0.35">
      <c r="A204" s="375" t="s">
        <v>5</v>
      </c>
      <c r="B204" s="375" t="s">
        <v>1551</v>
      </c>
      <c r="C204" s="375" t="s">
        <v>1552</v>
      </c>
      <c r="D204" s="376">
        <v>246</v>
      </c>
    </row>
    <row r="205" spans="1:4" ht="29" x14ac:dyDescent="0.35">
      <c r="A205" s="375" t="s">
        <v>5</v>
      </c>
      <c r="B205" s="375" t="s">
        <v>1877</v>
      </c>
      <c r="C205" s="375" t="s">
        <v>1878</v>
      </c>
      <c r="D205" s="376">
        <v>24566</v>
      </c>
    </row>
    <row r="206" spans="1:4" ht="29" x14ac:dyDescent="0.35">
      <c r="A206" s="375" t="s">
        <v>5</v>
      </c>
      <c r="B206" s="375" t="s">
        <v>1553</v>
      </c>
      <c r="C206" s="375" t="s">
        <v>1554</v>
      </c>
      <c r="D206" s="376">
        <v>138</v>
      </c>
    </row>
    <row r="207" spans="1:4" ht="29" x14ac:dyDescent="0.35">
      <c r="A207" s="375" t="s">
        <v>5</v>
      </c>
      <c r="B207" s="375" t="s">
        <v>1555</v>
      </c>
      <c r="C207" s="375" t="s">
        <v>1556</v>
      </c>
      <c r="D207" s="376">
        <v>560</v>
      </c>
    </row>
    <row r="208" spans="1:4" ht="29" x14ac:dyDescent="0.35">
      <c r="A208" s="375" t="s">
        <v>5</v>
      </c>
      <c r="B208" s="375" t="s">
        <v>1557</v>
      </c>
      <c r="C208" s="375" t="s">
        <v>1558</v>
      </c>
      <c r="D208" s="376">
        <v>10636</v>
      </c>
    </row>
    <row r="209" spans="1:4" ht="29" x14ac:dyDescent="0.35">
      <c r="A209" s="375" t="s">
        <v>5</v>
      </c>
      <c r="B209" s="375" t="s">
        <v>1879</v>
      </c>
      <c r="C209" s="375" t="s">
        <v>1880</v>
      </c>
      <c r="D209" s="376">
        <v>1147</v>
      </c>
    </row>
    <row r="210" spans="1:4" ht="29" x14ac:dyDescent="0.35">
      <c r="A210" s="375" t="s">
        <v>5</v>
      </c>
      <c r="B210" s="375" t="s">
        <v>1881</v>
      </c>
      <c r="C210" s="375" t="s">
        <v>1882</v>
      </c>
      <c r="D210" s="376">
        <v>38988</v>
      </c>
    </row>
    <row r="211" spans="1:4" ht="30.5" x14ac:dyDescent="0.5">
      <c r="A211" s="375" t="s">
        <v>5</v>
      </c>
      <c r="B211" s="375" t="s">
        <v>1559</v>
      </c>
      <c r="C211" s="375" t="s">
        <v>1560</v>
      </c>
      <c r="D211" s="377">
        <v>150</v>
      </c>
    </row>
    <row r="212" spans="1:4" ht="14.5" x14ac:dyDescent="0.35">
      <c r="A212" s="375" t="s">
        <v>1561</v>
      </c>
      <c r="B212" s="375" t="s">
        <v>5</v>
      </c>
      <c r="C212" s="375" t="s">
        <v>5</v>
      </c>
      <c r="D212" s="376">
        <v>103967</v>
      </c>
    </row>
    <row r="213" spans="1:4" ht="14.5" x14ac:dyDescent="0.35">
      <c r="A213" s="375" t="s">
        <v>5</v>
      </c>
      <c r="B213" s="375" t="s">
        <v>5</v>
      </c>
      <c r="C213" s="375" t="s">
        <v>5</v>
      </c>
      <c r="D213" s="376"/>
    </row>
    <row r="214" spans="1:4" ht="14.5" x14ac:dyDescent="0.35">
      <c r="A214" s="375" t="s">
        <v>1562</v>
      </c>
      <c r="B214" s="375" t="s">
        <v>5</v>
      </c>
      <c r="C214" s="375" t="s">
        <v>148</v>
      </c>
      <c r="D214" s="376"/>
    </row>
    <row r="215" spans="1:4" ht="29" x14ac:dyDescent="0.35">
      <c r="A215" s="375" t="s">
        <v>5</v>
      </c>
      <c r="B215" s="375" t="s">
        <v>1883</v>
      </c>
      <c r="C215" s="375" t="s">
        <v>1884</v>
      </c>
      <c r="D215" s="376">
        <v>127</v>
      </c>
    </row>
    <row r="216" spans="1:4" ht="29" x14ac:dyDescent="0.35">
      <c r="A216" s="375" t="s">
        <v>5</v>
      </c>
      <c r="B216" s="375" t="s">
        <v>1885</v>
      </c>
      <c r="C216" s="375" t="s">
        <v>1886</v>
      </c>
      <c r="D216" s="376">
        <v>656</v>
      </c>
    </row>
    <row r="217" spans="1:4" ht="29" x14ac:dyDescent="0.35">
      <c r="A217" s="375" t="s">
        <v>5</v>
      </c>
      <c r="B217" s="375" t="s">
        <v>1563</v>
      </c>
      <c r="C217" s="375" t="s">
        <v>1564</v>
      </c>
      <c r="D217" s="376">
        <v>190</v>
      </c>
    </row>
    <row r="218" spans="1:4" ht="29" x14ac:dyDescent="0.35">
      <c r="A218" s="375" t="s">
        <v>5</v>
      </c>
      <c r="B218" s="375" t="s">
        <v>1887</v>
      </c>
      <c r="C218" s="375" t="s">
        <v>1888</v>
      </c>
      <c r="D218" s="376">
        <v>0</v>
      </c>
    </row>
    <row r="219" spans="1:4" ht="29" x14ac:dyDescent="0.35">
      <c r="A219" s="375" t="s">
        <v>5</v>
      </c>
      <c r="B219" s="375" t="s">
        <v>1889</v>
      </c>
      <c r="C219" s="375" t="s">
        <v>1890</v>
      </c>
      <c r="D219" s="376">
        <v>0</v>
      </c>
    </row>
    <row r="220" spans="1:4" ht="29" x14ac:dyDescent="0.35">
      <c r="A220" s="375" t="s">
        <v>5</v>
      </c>
      <c r="B220" s="375" t="s">
        <v>1891</v>
      </c>
      <c r="C220" s="375" t="s">
        <v>1892</v>
      </c>
      <c r="D220" s="376">
        <v>1037</v>
      </c>
    </row>
    <row r="221" spans="1:4" ht="29" x14ac:dyDescent="0.35">
      <c r="A221" s="375" t="s">
        <v>5</v>
      </c>
      <c r="B221" s="375" t="s">
        <v>1660</v>
      </c>
      <c r="C221" s="375" t="s">
        <v>1661</v>
      </c>
      <c r="D221" s="376">
        <v>1073</v>
      </c>
    </row>
    <row r="222" spans="1:4" ht="29" x14ac:dyDescent="0.35">
      <c r="A222" s="375" t="s">
        <v>5</v>
      </c>
      <c r="B222" s="375" t="s">
        <v>1565</v>
      </c>
      <c r="C222" s="375" t="s">
        <v>1566</v>
      </c>
      <c r="D222" s="376">
        <v>709</v>
      </c>
    </row>
    <row r="223" spans="1:4" ht="29" x14ac:dyDescent="0.35">
      <c r="A223" s="375" t="s">
        <v>5</v>
      </c>
      <c r="B223" s="375" t="s">
        <v>1893</v>
      </c>
      <c r="C223" s="375" t="s">
        <v>1894</v>
      </c>
      <c r="D223" s="376">
        <v>0</v>
      </c>
    </row>
    <row r="224" spans="1:4" ht="29" x14ac:dyDescent="0.35">
      <c r="A224" s="375" t="s">
        <v>5</v>
      </c>
      <c r="B224" s="375" t="s">
        <v>1895</v>
      </c>
      <c r="C224" s="375" t="s">
        <v>1896</v>
      </c>
      <c r="D224" s="376">
        <v>19686</v>
      </c>
    </row>
    <row r="225" spans="1:4" ht="29" x14ac:dyDescent="0.35">
      <c r="A225" s="375" t="s">
        <v>5</v>
      </c>
      <c r="B225" s="375" t="s">
        <v>1897</v>
      </c>
      <c r="C225" s="375" t="s">
        <v>1898</v>
      </c>
      <c r="D225" s="376">
        <v>18587</v>
      </c>
    </row>
    <row r="226" spans="1:4" ht="29" x14ac:dyDescent="0.35">
      <c r="A226" s="375" t="s">
        <v>5</v>
      </c>
      <c r="B226" s="375" t="s">
        <v>1899</v>
      </c>
      <c r="C226" s="375" t="s">
        <v>1900</v>
      </c>
      <c r="D226" s="376">
        <v>4528</v>
      </c>
    </row>
    <row r="227" spans="1:4" ht="29" x14ac:dyDescent="0.35">
      <c r="A227" s="375" t="s">
        <v>5</v>
      </c>
      <c r="B227" s="375" t="s">
        <v>1567</v>
      </c>
      <c r="C227" s="375" t="s">
        <v>1568</v>
      </c>
      <c r="D227" s="376">
        <v>2491</v>
      </c>
    </row>
    <row r="228" spans="1:4" ht="29" x14ac:dyDescent="0.35">
      <c r="A228" s="375" t="s">
        <v>5</v>
      </c>
      <c r="B228" s="375" t="s">
        <v>1569</v>
      </c>
      <c r="C228" s="375" t="s">
        <v>1570</v>
      </c>
      <c r="D228" s="376">
        <v>821</v>
      </c>
    </row>
    <row r="229" spans="1:4" ht="29" x14ac:dyDescent="0.35">
      <c r="A229" s="375" t="s">
        <v>5</v>
      </c>
      <c r="B229" s="375" t="s">
        <v>1571</v>
      </c>
      <c r="C229" s="375" t="s">
        <v>1572</v>
      </c>
      <c r="D229" s="376">
        <v>1986</v>
      </c>
    </row>
    <row r="230" spans="1:4" ht="29" x14ac:dyDescent="0.35">
      <c r="A230" s="375" t="s">
        <v>5</v>
      </c>
      <c r="B230" s="375" t="s">
        <v>1901</v>
      </c>
      <c r="C230" s="375" t="s">
        <v>1902</v>
      </c>
      <c r="D230" s="376">
        <v>784</v>
      </c>
    </row>
    <row r="231" spans="1:4" ht="29" x14ac:dyDescent="0.35">
      <c r="A231" s="375" t="s">
        <v>5</v>
      </c>
      <c r="B231" s="375" t="s">
        <v>1573</v>
      </c>
      <c r="C231" s="375" t="s">
        <v>1574</v>
      </c>
      <c r="D231" s="376">
        <v>45</v>
      </c>
    </row>
    <row r="232" spans="1:4" ht="29" x14ac:dyDescent="0.35">
      <c r="A232" s="375" t="s">
        <v>5</v>
      </c>
      <c r="B232" s="375" t="s">
        <v>1903</v>
      </c>
      <c r="C232" s="375" t="s">
        <v>1904</v>
      </c>
      <c r="D232" s="376">
        <v>0</v>
      </c>
    </row>
    <row r="233" spans="1:4" ht="29" x14ac:dyDescent="0.35">
      <c r="A233" s="375" t="s">
        <v>5</v>
      </c>
      <c r="B233" s="375" t="s">
        <v>1905</v>
      </c>
      <c r="C233" s="375" t="s">
        <v>1906</v>
      </c>
      <c r="D233" s="376">
        <v>14291</v>
      </c>
    </row>
    <row r="234" spans="1:4" ht="29" x14ac:dyDescent="0.35">
      <c r="A234" s="375" t="s">
        <v>5</v>
      </c>
      <c r="B234" s="375" t="s">
        <v>1907</v>
      </c>
      <c r="C234" s="375" t="s">
        <v>1908</v>
      </c>
      <c r="D234" s="376">
        <v>11796</v>
      </c>
    </row>
    <row r="235" spans="1:4" ht="29" x14ac:dyDescent="0.35">
      <c r="A235" s="375" t="s">
        <v>5</v>
      </c>
      <c r="B235" s="375" t="s">
        <v>1909</v>
      </c>
      <c r="C235" s="375" t="s">
        <v>1910</v>
      </c>
      <c r="D235" s="376">
        <v>222</v>
      </c>
    </row>
    <row r="236" spans="1:4" ht="29" x14ac:dyDescent="0.35">
      <c r="A236" s="375" t="s">
        <v>5</v>
      </c>
      <c r="B236" s="375" t="s">
        <v>1575</v>
      </c>
      <c r="C236" s="375" t="s">
        <v>1576</v>
      </c>
      <c r="D236" s="376">
        <v>1899</v>
      </c>
    </row>
    <row r="237" spans="1:4" ht="29" x14ac:dyDescent="0.35">
      <c r="A237" s="375" t="s">
        <v>5</v>
      </c>
      <c r="B237" s="375" t="s">
        <v>1577</v>
      </c>
      <c r="C237" s="375" t="s">
        <v>1578</v>
      </c>
      <c r="D237" s="376">
        <v>1083</v>
      </c>
    </row>
    <row r="238" spans="1:4" ht="29" x14ac:dyDescent="0.35">
      <c r="A238" s="375" t="s">
        <v>5</v>
      </c>
      <c r="B238" s="375" t="s">
        <v>1579</v>
      </c>
      <c r="C238" s="375" t="s">
        <v>1580</v>
      </c>
      <c r="D238" s="376">
        <v>1113</v>
      </c>
    </row>
    <row r="239" spans="1:4" ht="29" x14ac:dyDescent="0.35">
      <c r="A239" s="375" t="s">
        <v>5</v>
      </c>
      <c r="B239" s="375" t="s">
        <v>1911</v>
      </c>
      <c r="C239" s="375" t="s">
        <v>1912</v>
      </c>
      <c r="D239" s="376">
        <v>0</v>
      </c>
    </row>
    <row r="240" spans="1:4" ht="29" x14ac:dyDescent="0.35">
      <c r="A240" s="375" t="s">
        <v>5</v>
      </c>
      <c r="B240" s="375" t="s">
        <v>1581</v>
      </c>
      <c r="C240" s="375" t="s">
        <v>1582</v>
      </c>
      <c r="D240" s="376">
        <v>25846</v>
      </c>
    </row>
    <row r="241" spans="1:4" ht="29" x14ac:dyDescent="0.35">
      <c r="A241" s="375" t="s">
        <v>5</v>
      </c>
      <c r="B241" s="375" t="s">
        <v>1913</v>
      </c>
      <c r="C241" s="375" t="s">
        <v>1914</v>
      </c>
      <c r="D241" s="376">
        <v>0</v>
      </c>
    </row>
    <row r="242" spans="1:4" ht="29" x14ac:dyDescent="0.35">
      <c r="A242" s="375" t="s">
        <v>5</v>
      </c>
      <c r="B242" s="375" t="s">
        <v>1915</v>
      </c>
      <c r="C242" s="375" t="s">
        <v>1916</v>
      </c>
      <c r="D242" s="376">
        <v>9275</v>
      </c>
    </row>
    <row r="243" spans="1:4" ht="29" x14ac:dyDescent="0.35">
      <c r="A243" s="375" t="s">
        <v>5</v>
      </c>
      <c r="B243" s="375" t="s">
        <v>1917</v>
      </c>
      <c r="C243" s="375" t="s">
        <v>1918</v>
      </c>
      <c r="D243" s="376">
        <v>3513</v>
      </c>
    </row>
    <row r="244" spans="1:4" ht="29" x14ac:dyDescent="0.35">
      <c r="A244" s="375" t="s">
        <v>5</v>
      </c>
      <c r="B244" s="375" t="s">
        <v>1583</v>
      </c>
      <c r="C244" s="375" t="s">
        <v>1584</v>
      </c>
      <c r="D244" s="376">
        <v>999</v>
      </c>
    </row>
    <row r="245" spans="1:4" ht="29" x14ac:dyDescent="0.35">
      <c r="A245" s="375" t="s">
        <v>5</v>
      </c>
      <c r="B245" s="375" t="s">
        <v>1585</v>
      </c>
      <c r="C245" s="375" t="s">
        <v>1586</v>
      </c>
      <c r="D245" s="376">
        <v>616</v>
      </c>
    </row>
    <row r="246" spans="1:4" ht="29" x14ac:dyDescent="0.35">
      <c r="A246" s="375" t="s">
        <v>5</v>
      </c>
      <c r="B246" s="375" t="s">
        <v>1919</v>
      </c>
      <c r="C246" s="375" t="s">
        <v>1920</v>
      </c>
      <c r="D246" s="376">
        <v>0</v>
      </c>
    </row>
    <row r="247" spans="1:4" ht="29" x14ac:dyDescent="0.35">
      <c r="A247" s="375" t="s">
        <v>5</v>
      </c>
      <c r="B247" s="375" t="s">
        <v>1921</v>
      </c>
      <c r="C247" s="375" t="s">
        <v>1922</v>
      </c>
      <c r="D247" s="376">
        <v>1290</v>
      </c>
    </row>
    <row r="248" spans="1:4" ht="29" x14ac:dyDescent="0.35">
      <c r="A248" s="375" t="s">
        <v>5</v>
      </c>
      <c r="B248" s="375" t="s">
        <v>1923</v>
      </c>
      <c r="C248" s="375" t="s">
        <v>1924</v>
      </c>
      <c r="D248" s="376">
        <v>184</v>
      </c>
    </row>
    <row r="249" spans="1:4" ht="29" x14ac:dyDescent="0.35">
      <c r="A249" s="375" t="s">
        <v>5</v>
      </c>
      <c r="B249" s="375" t="s">
        <v>1587</v>
      </c>
      <c r="C249" s="375" t="s">
        <v>1588</v>
      </c>
      <c r="D249" s="376">
        <v>194</v>
      </c>
    </row>
    <row r="250" spans="1:4" ht="29" x14ac:dyDescent="0.35">
      <c r="A250" s="375" t="s">
        <v>5</v>
      </c>
      <c r="B250" s="375" t="s">
        <v>1589</v>
      </c>
      <c r="C250" s="375" t="s">
        <v>1590</v>
      </c>
      <c r="D250" s="376">
        <v>65739</v>
      </c>
    </row>
    <row r="251" spans="1:4" ht="29" x14ac:dyDescent="0.35">
      <c r="A251" s="375" t="s">
        <v>5</v>
      </c>
      <c r="B251" s="375" t="s">
        <v>1591</v>
      </c>
      <c r="C251" s="375" t="s">
        <v>1592</v>
      </c>
      <c r="D251" s="376">
        <v>3</v>
      </c>
    </row>
    <row r="252" spans="1:4" ht="29" x14ac:dyDescent="0.35">
      <c r="A252" s="375" t="s">
        <v>5</v>
      </c>
      <c r="B252" s="375" t="s">
        <v>1925</v>
      </c>
      <c r="C252" s="375" t="s">
        <v>1926</v>
      </c>
      <c r="D252" s="376">
        <v>1031</v>
      </c>
    </row>
    <row r="253" spans="1:4" ht="29" x14ac:dyDescent="0.35">
      <c r="A253" s="375" t="s">
        <v>5</v>
      </c>
      <c r="B253" s="375" t="s">
        <v>1927</v>
      </c>
      <c r="C253" s="375" t="s">
        <v>1928</v>
      </c>
      <c r="D253" s="376">
        <v>18554</v>
      </c>
    </row>
    <row r="254" spans="1:4" ht="29" x14ac:dyDescent="0.35">
      <c r="A254" s="375" t="s">
        <v>5</v>
      </c>
      <c r="B254" s="375" t="s">
        <v>1929</v>
      </c>
      <c r="C254" s="375" t="s">
        <v>1930</v>
      </c>
      <c r="D254" s="376">
        <v>1522</v>
      </c>
    </row>
    <row r="255" spans="1:4" ht="29" x14ac:dyDescent="0.35">
      <c r="A255" s="375" t="s">
        <v>5</v>
      </c>
      <c r="B255" s="375" t="s">
        <v>1593</v>
      </c>
      <c r="C255" s="375" t="s">
        <v>1594</v>
      </c>
      <c r="D255" s="376">
        <v>1417</v>
      </c>
    </row>
    <row r="256" spans="1:4" ht="29" x14ac:dyDescent="0.35">
      <c r="A256" s="375" t="s">
        <v>5</v>
      </c>
      <c r="B256" s="375" t="s">
        <v>1595</v>
      </c>
      <c r="C256" s="375" t="s">
        <v>1596</v>
      </c>
      <c r="D256" s="376">
        <v>790</v>
      </c>
    </row>
    <row r="257" spans="1:4" ht="29" x14ac:dyDescent="0.35">
      <c r="A257" s="375" t="s">
        <v>5</v>
      </c>
      <c r="B257" s="375" t="s">
        <v>1597</v>
      </c>
      <c r="C257" s="375" t="s">
        <v>1598</v>
      </c>
      <c r="D257" s="376">
        <v>2170</v>
      </c>
    </row>
    <row r="258" spans="1:4" ht="29" x14ac:dyDescent="0.35">
      <c r="A258" s="375" t="s">
        <v>5</v>
      </c>
      <c r="B258" s="375" t="s">
        <v>1599</v>
      </c>
      <c r="C258" s="375" t="s">
        <v>1600</v>
      </c>
      <c r="D258" s="376">
        <v>53455</v>
      </c>
    </row>
    <row r="259" spans="1:4" ht="29" x14ac:dyDescent="0.35">
      <c r="A259" s="375" t="s">
        <v>5</v>
      </c>
      <c r="B259" s="375" t="s">
        <v>1931</v>
      </c>
      <c r="C259" s="375" t="s">
        <v>1932</v>
      </c>
      <c r="D259" s="376">
        <v>0</v>
      </c>
    </row>
    <row r="260" spans="1:4" ht="29" x14ac:dyDescent="0.35">
      <c r="A260" s="375" t="s">
        <v>5</v>
      </c>
      <c r="B260" s="375" t="s">
        <v>1933</v>
      </c>
      <c r="C260" s="375" t="s">
        <v>1934</v>
      </c>
      <c r="D260" s="376">
        <v>6276</v>
      </c>
    </row>
    <row r="261" spans="1:4" ht="29" x14ac:dyDescent="0.35">
      <c r="A261" s="375" t="s">
        <v>5</v>
      </c>
      <c r="B261" s="375" t="s">
        <v>1935</v>
      </c>
      <c r="C261" s="375" t="s">
        <v>1936</v>
      </c>
      <c r="D261" s="376">
        <v>9678</v>
      </c>
    </row>
    <row r="262" spans="1:4" ht="29" x14ac:dyDescent="0.35">
      <c r="A262" s="375" t="s">
        <v>5</v>
      </c>
      <c r="B262" s="375" t="s">
        <v>1937</v>
      </c>
      <c r="C262" s="375" t="s">
        <v>1938</v>
      </c>
      <c r="D262" s="376">
        <v>801</v>
      </c>
    </row>
    <row r="263" spans="1:4" ht="29" x14ac:dyDescent="0.35">
      <c r="A263" s="375" t="s">
        <v>5</v>
      </c>
      <c r="B263" s="375" t="s">
        <v>1601</v>
      </c>
      <c r="C263" s="375" t="s">
        <v>1602</v>
      </c>
      <c r="D263" s="376">
        <v>1417</v>
      </c>
    </row>
    <row r="264" spans="1:4" ht="29" x14ac:dyDescent="0.35">
      <c r="A264" s="375" t="s">
        <v>5</v>
      </c>
      <c r="B264" s="375" t="s">
        <v>1603</v>
      </c>
      <c r="C264" s="375" t="s">
        <v>1604</v>
      </c>
      <c r="D264" s="376">
        <v>818</v>
      </c>
    </row>
    <row r="265" spans="1:4" ht="29" x14ac:dyDescent="0.35">
      <c r="A265" s="375" t="s">
        <v>5</v>
      </c>
      <c r="B265" s="375" t="s">
        <v>1939</v>
      </c>
      <c r="C265" s="375" t="s">
        <v>1940</v>
      </c>
      <c r="D265" s="376">
        <v>0</v>
      </c>
    </row>
    <row r="266" spans="1:4" ht="29" x14ac:dyDescent="0.35">
      <c r="A266" s="375" t="s">
        <v>5</v>
      </c>
      <c r="B266" s="375" t="s">
        <v>1941</v>
      </c>
      <c r="C266" s="375" t="s">
        <v>1942</v>
      </c>
      <c r="D266" s="376">
        <v>1254</v>
      </c>
    </row>
    <row r="267" spans="1:4" ht="29" x14ac:dyDescent="0.35">
      <c r="A267" s="375" t="s">
        <v>5</v>
      </c>
      <c r="B267" s="375" t="s">
        <v>1943</v>
      </c>
      <c r="C267" s="375" t="s">
        <v>1944</v>
      </c>
      <c r="D267" s="376">
        <v>0</v>
      </c>
    </row>
    <row r="268" spans="1:4" ht="29" x14ac:dyDescent="0.35">
      <c r="A268" s="375" t="s">
        <v>5</v>
      </c>
      <c r="B268" s="375" t="s">
        <v>1945</v>
      </c>
      <c r="C268" s="375" t="s">
        <v>1946</v>
      </c>
      <c r="D268" s="376">
        <v>0</v>
      </c>
    </row>
    <row r="269" spans="1:4" ht="29" x14ac:dyDescent="0.35">
      <c r="A269" s="375" t="s">
        <v>5</v>
      </c>
      <c r="B269" s="375" t="s">
        <v>1947</v>
      </c>
      <c r="C269" s="375" t="s">
        <v>1948</v>
      </c>
      <c r="D269" s="376">
        <v>0</v>
      </c>
    </row>
    <row r="270" spans="1:4" ht="29" x14ac:dyDescent="0.35">
      <c r="A270" s="375" t="s">
        <v>5</v>
      </c>
      <c r="B270" s="375" t="s">
        <v>1949</v>
      </c>
      <c r="C270" s="375" t="s">
        <v>1950</v>
      </c>
      <c r="D270" s="376">
        <v>4795</v>
      </c>
    </row>
    <row r="271" spans="1:4" ht="29" x14ac:dyDescent="0.35">
      <c r="A271" s="375" t="s">
        <v>5</v>
      </c>
      <c r="B271" s="375" t="s">
        <v>1605</v>
      </c>
      <c r="C271" s="375" t="s">
        <v>1606</v>
      </c>
      <c r="D271" s="376">
        <v>471</v>
      </c>
    </row>
    <row r="272" spans="1:4" ht="29" x14ac:dyDescent="0.35">
      <c r="A272" s="375" t="s">
        <v>5</v>
      </c>
      <c r="B272" s="375" t="s">
        <v>1951</v>
      </c>
      <c r="C272" s="375" t="s">
        <v>1952</v>
      </c>
      <c r="D272" s="376">
        <v>0</v>
      </c>
    </row>
    <row r="273" spans="1:4" ht="29" x14ac:dyDescent="0.35">
      <c r="A273" s="375" t="s">
        <v>5</v>
      </c>
      <c r="B273" s="375" t="s">
        <v>1953</v>
      </c>
      <c r="C273" s="375" t="s">
        <v>1954</v>
      </c>
      <c r="D273" s="376">
        <v>5000</v>
      </c>
    </row>
    <row r="274" spans="1:4" ht="29" x14ac:dyDescent="0.35">
      <c r="A274" s="375" t="s">
        <v>5</v>
      </c>
      <c r="B274" s="375" t="s">
        <v>1607</v>
      </c>
      <c r="C274" s="375" t="s">
        <v>1608</v>
      </c>
      <c r="D274" s="376">
        <v>16701</v>
      </c>
    </row>
    <row r="275" spans="1:4" ht="29" x14ac:dyDescent="0.35">
      <c r="A275" s="375" t="s">
        <v>5</v>
      </c>
      <c r="B275" s="375" t="s">
        <v>1609</v>
      </c>
      <c r="C275" s="375" t="s">
        <v>1610</v>
      </c>
      <c r="D275" s="376">
        <v>15</v>
      </c>
    </row>
    <row r="276" spans="1:4" ht="29" x14ac:dyDescent="0.35">
      <c r="A276" s="375" t="s">
        <v>5</v>
      </c>
      <c r="B276" s="375" t="s">
        <v>1955</v>
      </c>
      <c r="C276" s="375" t="s">
        <v>1956</v>
      </c>
      <c r="D276" s="376">
        <v>0</v>
      </c>
    </row>
    <row r="277" spans="1:4" ht="29" x14ac:dyDescent="0.35">
      <c r="A277" s="375" t="s">
        <v>5</v>
      </c>
      <c r="B277" s="375" t="s">
        <v>1957</v>
      </c>
      <c r="C277" s="375" t="s">
        <v>1958</v>
      </c>
      <c r="D277" s="376">
        <v>222</v>
      </c>
    </row>
    <row r="278" spans="1:4" ht="29" x14ac:dyDescent="0.35">
      <c r="A278" s="375" t="s">
        <v>5</v>
      </c>
      <c r="B278" s="375" t="s">
        <v>1611</v>
      </c>
      <c r="C278" s="375" t="s">
        <v>1612</v>
      </c>
      <c r="D278" s="376">
        <v>350</v>
      </c>
    </row>
    <row r="279" spans="1:4" ht="29" x14ac:dyDescent="0.35">
      <c r="A279" s="375" t="s">
        <v>5</v>
      </c>
      <c r="B279" s="375" t="s">
        <v>1959</v>
      </c>
      <c r="C279" s="375" t="s">
        <v>1960</v>
      </c>
      <c r="D279" s="376">
        <v>0</v>
      </c>
    </row>
    <row r="280" spans="1:4" ht="29" x14ac:dyDescent="0.35">
      <c r="A280" s="375" t="s">
        <v>5</v>
      </c>
      <c r="B280" s="375" t="s">
        <v>1961</v>
      </c>
      <c r="C280" s="375" t="s">
        <v>1962</v>
      </c>
      <c r="D280" s="376">
        <v>10659</v>
      </c>
    </row>
    <row r="281" spans="1:4" ht="29" x14ac:dyDescent="0.35">
      <c r="A281" s="375" t="s">
        <v>5</v>
      </c>
      <c r="B281" s="375" t="s">
        <v>1963</v>
      </c>
      <c r="C281" s="375" t="s">
        <v>1964</v>
      </c>
      <c r="D281" s="376">
        <v>7837</v>
      </c>
    </row>
    <row r="282" spans="1:4" ht="29" x14ac:dyDescent="0.35">
      <c r="A282" s="375" t="s">
        <v>5</v>
      </c>
      <c r="B282" s="375" t="s">
        <v>1965</v>
      </c>
      <c r="C282" s="375" t="s">
        <v>1966</v>
      </c>
      <c r="D282" s="376">
        <v>445</v>
      </c>
    </row>
    <row r="283" spans="1:4" ht="29" x14ac:dyDescent="0.35">
      <c r="A283" s="375" t="s">
        <v>5</v>
      </c>
      <c r="B283" s="375" t="s">
        <v>1613</v>
      </c>
      <c r="C283" s="375" t="s">
        <v>1614</v>
      </c>
      <c r="D283" s="376">
        <v>769</v>
      </c>
    </row>
    <row r="284" spans="1:4" ht="29" x14ac:dyDescent="0.35">
      <c r="A284" s="375" t="s">
        <v>5</v>
      </c>
      <c r="B284" s="375" t="s">
        <v>1615</v>
      </c>
      <c r="C284" s="375" t="s">
        <v>1616</v>
      </c>
      <c r="D284" s="376">
        <v>1404</v>
      </c>
    </row>
    <row r="285" spans="1:4" ht="29" x14ac:dyDescent="0.35">
      <c r="A285" s="375" t="s">
        <v>5</v>
      </c>
      <c r="B285" s="375" t="s">
        <v>1617</v>
      </c>
      <c r="C285" s="375" t="s">
        <v>1618</v>
      </c>
      <c r="D285" s="376">
        <v>-4</v>
      </c>
    </row>
    <row r="286" spans="1:4" ht="29" x14ac:dyDescent="0.35">
      <c r="A286" s="375" t="s">
        <v>5</v>
      </c>
      <c r="B286" s="375" t="s">
        <v>1967</v>
      </c>
      <c r="C286" s="375" t="s">
        <v>1968</v>
      </c>
      <c r="D286" s="376">
        <v>3169</v>
      </c>
    </row>
    <row r="287" spans="1:4" ht="29" x14ac:dyDescent="0.35">
      <c r="A287" s="375" t="s">
        <v>5</v>
      </c>
      <c r="B287" s="375" t="s">
        <v>1969</v>
      </c>
      <c r="C287" s="375" t="s">
        <v>1970</v>
      </c>
      <c r="D287" s="376">
        <v>10287</v>
      </c>
    </row>
    <row r="288" spans="1:4" ht="29" x14ac:dyDescent="0.35">
      <c r="A288" s="375" t="s">
        <v>5</v>
      </c>
      <c r="B288" s="375" t="s">
        <v>1971</v>
      </c>
      <c r="C288" s="375" t="s">
        <v>1972</v>
      </c>
      <c r="D288" s="376">
        <v>147</v>
      </c>
    </row>
    <row r="289" spans="1:4" ht="29" x14ac:dyDescent="0.35">
      <c r="A289" s="375" t="s">
        <v>5</v>
      </c>
      <c r="B289" s="375" t="s">
        <v>1619</v>
      </c>
      <c r="C289" s="375" t="s">
        <v>1620</v>
      </c>
      <c r="D289" s="376">
        <v>668</v>
      </c>
    </row>
    <row r="290" spans="1:4" ht="29" x14ac:dyDescent="0.35">
      <c r="A290" s="375" t="s">
        <v>5</v>
      </c>
      <c r="B290" s="375" t="s">
        <v>1973</v>
      </c>
      <c r="C290" s="375" t="s">
        <v>1974</v>
      </c>
      <c r="D290" s="376">
        <v>0</v>
      </c>
    </row>
    <row r="291" spans="1:4" ht="29" x14ac:dyDescent="0.35">
      <c r="A291" s="375" t="s">
        <v>5</v>
      </c>
      <c r="B291" s="375" t="s">
        <v>1621</v>
      </c>
      <c r="C291" s="375" t="s">
        <v>1622</v>
      </c>
      <c r="D291" s="376">
        <v>1669</v>
      </c>
    </row>
    <row r="292" spans="1:4" ht="29" x14ac:dyDescent="0.35">
      <c r="A292" s="375" t="s">
        <v>5</v>
      </c>
      <c r="B292" s="375" t="s">
        <v>1623</v>
      </c>
      <c r="C292" s="375" t="s">
        <v>1624</v>
      </c>
      <c r="D292" s="376">
        <v>16952</v>
      </c>
    </row>
    <row r="293" spans="1:4" ht="29" x14ac:dyDescent="0.35">
      <c r="A293" s="375" t="s">
        <v>5</v>
      </c>
      <c r="B293" s="375" t="s">
        <v>1975</v>
      </c>
      <c r="C293" s="375" t="s">
        <v>1976</v>
      </c>
      <c r="D293" s="376">
        <v>0</v>
      </c>
    </row>
    <row r="294" spans="1:4" ht="29" x14ac:dyDescent="0.35">
      <c r="A294" s="375" t="s">
        <v>5</v>
      </c>
      <c r="B294" s="375" t="s">
        <v>1977</v>
      </c>
      <c r="C294" s="375" t="s">
        <v>1978</v>
      </c>
      <c r="D294" s="376">
        <v>6966</v>
      </c>
    </row>
    <row r="295" spans="1:4" ht="29" x14ac:dyDescent="0.35">
      <c r="A295" s="375" t="s">
        <v>5</v>
      </c>
      <c r="B295" s="375" t="s">
        <v>1979</v>
      </c>
      <c r="C295" s="375" t="s">
        <v>1980</v>
      </c>
      <c r="D295" s="376">
        <v>5008</v>
      </c>
    </row>
    <row r="296" spans="1:4" ht="29" x14ac:dyDescent="0.35">
      <c r="A296" s="375" t="s">
        <v>5</v>
      </c>
      <c r="B296" s="375" t="s">
        <v>1981</v>
      </c>
      <c r="C296" s="375" t="s">
        <v>1982</v>
      </c>
      <c r="D296" s="376">
        <v>0</v>
      </c>
    </row>
    <row r="297" spans="1:4" ht="29" x14ac:dyDescent="0.35">
      <c r="A297" s="375" t="s">
        <v>5</v>
      </c>
      <c r="B297" s="375" t="s">
        <v>1625</v>
      </c>
      <c r="C297" s="375" t="s">
        <v>1626</v>
      </c>
      <c r="D297" s="376">
        <v>449</v>
      </c>
    </row>
    <row r="298" spans="1:4" ht="29" x14ac:dyDescent="0.35">
      <c r="A298" s="375" t="s">
        <v>5</v>
      </c>
      <c r="B298" s="375" t="s">
        <v>1627</v>
      </c>
      <c r="C298" s="375" t="s">
        <v>1628</v>
      </c>
      <c r="D298" s="376">
        <v>1255</v>
      </c>
    </row>
    <row r="299" spans="1:4" ht="29" x14ac:dyDescent="0.35">
      <c r="A299" s="375" t="s">
        <v>5</v>
      </c>
      <c r="B299" s="375" t="s">
        <v>1983</v>
      </c>
      <c r="C299" s="375" t="s">
        <v>1984</v>
      </c>
      <c r="D299" s="376">
        <v>0</v>
      </c>
    </row>
    <row r="300" spans="1:4" ht="29" x14ac:dyDescent="0.35">
      <c r="A300" s="375" t="s">
        <v>5</v>
      </c>
      <c r="B300" s="375" t="s">
        <v>1985</v>
      </c>
      <c r="C300" s="375" t="s">
        <v>1986</v>
      </c>
      <c r="D300" s="376">
        <v>0</v>
      </c>
    </row>
    <row r="301" spans="1:4" ht="29" x14ac:dyDescent="0.35">
      <c r="A301" s="375" t="s">
        <v>5</v>
      </c>
      <c r="B301" s="375" t="s">
        <v>1987</v>
      </c>
      <c r="C301" s="375" t="s">
        <v>1988</v>
      </c>
      <c r="D301" s="376">
        <v>5042</v>
      </c>
    </row>
    <row r="302" spans="1:4" ht="29" x14ac:dyDescent="0.35">
      <c r="A302" s="375" t="s">
        <v>5</v>
      </c>
      <c r="B302" s="375" t="s">
        <v>1629</v>
      </c>
      <c r="C302" s="375" t="s">
        <v>1630</v>
      </c>
      <c r="D302" s="376">
        <v>289</v>
      </c>
    </row>
    <row r="303" spans="1:4" ht="29" x14ac:dyDescent="0.35">
      <c r="A303" s="375" t="s">
        <v>5</v>
      </c>
      <c r="B303" s="375" t="s">
        <v>1631</v>
      </c>
      <c r="C303" s="375" t="s">
        <v>1632</v>
      </c>
      <c r="D303" s="376">
        <v>1894</v>
      </c>
    </row>
    <row r="304" spans="1:4" ht="30.5" x14ac:dyDescent="0.5">
      <c r="A304" s="375" t="s">
        <v>5</v>
      </c>
      <c r="B304" s="375" t="s">
        <v>1633</v>
      </c>
      <c r="C304" s="375" t="s">
        <v>1634</v>
      </c>
      <c r="D304" s="377">
        <v>46</v>
      </c>
    </row>
    <row r="305" spans="1:4" ht="14.5" x14ac:dyDescent="0.35">
      <c r="A305" s="375" t="s">
        <v>1635</v>
      </c>
      <c r="B305" s="375" t="s">
        <v>5</v>
      </c>
      <c r="C305" s="375" t="s">
        <v>5</v>
      </c>
      <c r="D305" s="376">
        <v>392471</v>
      </c>
    </row>
    <row r="306" spans="1:4" ht="14.5" x14ac:dyDescent="0.35">
      <c r="A306" s="375" t="s">
        <v>5</v>
      </c>
      <c r="B306" s="375" t="s">
        <v>5</v>
      </c>
      <c r="C306" s="375" t="s">
        <v>5</v>
      </c>
      <c r="D306" s="376"/>
    </row>
    <row r="307" spans="1:4" ht="14.5" x14ac:dyDescent="0.35">
      <c r="A307" s="375" t="s">
        <v>1636</v>
      </c>
      <c r="B307" s="375" t="s">
        <v>5</v>
      </c>
      <c r="C307" s="375" t="s">
        <v>1637</v>
      </c>
      <c r="D307" s="376"/>
    </row>
    <row r="308" spans="1:4" ht="29" x14ac:dyDescent="0.35">
      <c r="A308" s="375" t="s">
        <v>5</v>
      </c>
      <c r="B308" s="375" t="s">
        <v>1989</v>
      </c>
      <c r="C308" s="375" t="s">
        <v>1990</v>
      </c>
      <c r="D308" s="376">
        <v>93</v>
      </c>
    </row>
    <row r="309" spans="1:4" ht="30.5" x14ac:dyDescent="0.5">
      <c r="A309" s="375" t="s">
        <v>5</v>
      </c>
      <c r="B309" s="375" t="s">
        <v>1638</v>
      </c>
      <c r="C309" s="375" t="s">
        <v>1639</v>
      </c>
      <c r="D309" s="377">
        <v>380</v>
      </c>
    </row>
    <row r="310" spans="1:4" ht="14.5" x14ac:dyDescent="0.35">
      <c r="A310" s="375" t="s">
        <v>1640</v>
      </c>
      <c r="B310" s="375" t="s">
        <v>5</v>
      </c>
      <c r="C310" s="375" t="s">
        <v>5</v>
      </c>
      <c r="D310" s="376">
        <v>473</v>
      </c>
    </row>
    <row r="311" spans="1:4" ht="14.5" x14ac:dyDescent="0.35">
      <c r="A311" s="375" t="s">
        <v>5</v>
      </c>
      <c r="B311" s="375" t="s">
        <v>5</v>
      </c>
      <c r="C311" s="375" t="s">
        <v>5</v>
      </c>
      <c r="D311" s="376"/>
    </row>
    <row r="312" spans="1:4" ht="14.5" x14ac:dyDescent="0.35">
      <c r="A312" s="375" t="s">
        <v>1641</v>
      </c>
      <c r="B312" s="375" t="s">
        <v>5</v>
      </c>
      <c r="C312" s="375" t="s">
        <v>675</v>
      </c>
      <c r="D312" s="376"/>
    </row>
    <row r="313" spans="1:4" ht="29" x14ac:dyDescent="0.35">
      <c r="A313" s="375" t="s">
        <v>5</v>
      </c>
      <c r="B313" s="375" t="s">
        <v>1991</v>
      </c>
      <c r="C313" s="375" t="s">
        <v>1992</v>
      </c>
      <c r="D313" s="376">
        <v>1987</v>
      </c>
    </row>
    <row r="314" spans="1:4" ht="30.5" x14ac:dyDescent="0.5">
      <c r="A314" s="375" t="s">
        <v>5</v>
      </c>
      <c r="B314" s="375" t="s">
        <v>1642</v>
      </c>
      <c r="C314" s="375" t="s">
        <v>1643</v>
      </c>
      <c r="D314" s="377">
        <v>197</v>
      </c>
    </row>
    <row r="315" spans="1:4" ht="14.5" x14ac:dyDescent="0.35">
      <c r="A315" s="375" t="s">
        <v>1644</v>
      </c>
      <c r="B315" s="375" t="s">
        <v>5</v>
      </c>
      <c r="C315" s="375" t="s">
        <v>5</v>
      </c>
      <c r="D315" s="376">
        <v>2184</v>
      </c>
    </row>
    <row r="316" spans="1:4" ht="14.5" x14ac:dyDescent="0.35">
      <c r="A316" s="375" t="s">
        <v>5</v>
      </c>
      <c r="B316" s="375" t="s">
        <v>5</v>
      </c>
      <c r="C316" s="375" t="s">
        <v>5</v>
      </c>
      <c r="D316" s="376"/>
    </row>
    <row r="317" spans="1:4" ht="14.5" x14ac:dyDescent="0.35">
      <c r="A317" s="375" t="s">
        <v>1645</v>
      </c>
      <c r="B317" s="375" t="s">
        <v>5</v>
      </c>
      <c r="C317" s="375" t="s">
        <v>687</v>
      </c>
      <c r="D317" s="376"/>
    </row>
    <row r="318" spans="1:4" ht="29" x14ac:dyDescent="0.35">
      <c r="A318" s="375" t="s">
        <v>5</v>
      </c>
      <c r="B318" s="375" t="s">
        <v>1646</v>
      </c>
      <c r="C318" s="375" t="s">
        <v>1647</v>
      </c>
      <c r="D318" s="376">
        <v>25</v>
      </c>
    </row>
    <row r="319" spans="1:4" ht="29" x14ac:dyDescent="0.35">
      <c r="A319" s="375" t="s">
        <v>5</v>
      </c>
      <c r="B319" s="375" t="s">
        <v>1648</v>
      </c>
      <c r="C319" s="375" t="s">
        <v>1649</v>
      </c>
      <c r="D319" s="376">
        <v>65</v>
      </c>
    </row>
    <row r="320" spans="1:4" ht="29" x14ac:dyDescent="0.35">
      <c r="A320" s="375" t="s">
        <v>5</v>
      </c>
      <c r="B320" s="375" t="s">
        <v>1993</v>
      </c>
      <c r="C320" s="375" t="s">
        <v>1994</v>
      </c>
      <c r="D320" s="376">
        <v>1330</v>
      </c>
    </row>
    <row r="321" spans="1:4" ht="29" x14ac:dyDescent="0.35">
      <c r="A321" s="375" t="s">
        <v>5</v>
      </c>
      <c r="B321" s="375" t="s">
        <v>1995</v>
      </c>
      <c r="C321" s="375" t="s">
        <v>1996</v>
      </c>
      <c r="D321" s="376">
        <v>77838</v>
      </c>
    </row>
    <row r="322" spans="1:4" ht="29" x14ac:dyDescent="0.35">
      <c r="A322" s="375" t="s">
        <v>5</v>
      </c>
      <c r="B322" s="375" t="s">
        <v>1650</v>
      </c>
      <c r="C322" s="375" t="s">
        <v>1651</v>
      </c>
      <c r="D322" s="376">
        <v>235</v>
      </c>
    </row>
    <row r="323" spans="1:4" ht="29" x14ac:dyDescent="0.35">
      <c r="A323" s="375" t="s">
        <v>5</v>
      </c>
      <c r="B323" s="375" t="s">
        <v>1652</v>
      </c>
      <c r="C323" s="375" t="s">
        <v>1653</v>
      </c>
      <c r="D323" s="376">
        <v>5597</v>
      </c>
    </row>
    <row r="324" spans="1:4" ht="29" x14ac:dyDescent="0.35">
      <c r="A324" s="375" t="s">
        <v>5</v>
      </c>
      <c r="B324" s="375" t="s">
        <v>1997</v>
      </c>
      <c r="C324" s="375" t="s">
        <v>1998</v>
      </c>
      <c r="D324" s="376">
        <v>0</v>
      </c>
    </row>
    <row r="325" spans="1:4" ht="29" x14ac:dyDescent="0.35">
      <c r="A325" s="375" t="s">
        <v>5</v>
      </c>
      <c r="B325" s="375" t="s">
        <v>1999</v>
      </c>
      <c r="C325" s="375" t="s">
        <v>2000</v>
      </c>
      <c r="D325" s="376">
        <v>32</v>
      </c>
    </row>
    <row r="326" spans="1:4" ht="29" x14ac:dyDescent="0.35">
      <c r="A326" s="375" t="s">
        <v>5</v>
      </c>
      <c r="B326" s="375" t="s">
        <v>1654</v>
      </c>
      <c r="C326" s="375" t="s">
        <v>1655</v>
      </c>
      <c r="D326" s="376">
        <v>800</v>
      </c>
    </row>
    <row r="327" spans="1:4" ht="30.5" x14ac:dyDescent="0.5">
      <c r="A327" s="375" t="s">
        <v>5</v>
      </c>
      <c r="B327" s="375" t="s">
        <v>1656</v>
      </c>
      <c r="C327" s="375" t="s">
        <v>1657</v>
      </c>
      <c r="D327" s="377">
        <v>3907</v>
      </c>
    </row>
    <row r="328" spans="1:4" ht="14.5" x14ac:dyDescent="0.35">
      <c r="A328" s="375" t="s">
        <v>1658</v>
      </c>
      <c r="B328" s="375" t="s">
        <v>5</v>
      </c>
      <c r="C328" s="375" t="s">
        <v>5</v>
      </c>
      <c r="D328" s="376">
        <v>89829</v>
      </c>
    </row>
    <row r="329" spans="1:4" ht="14.5" x14ac:dyDescent="0.35">
      <c r="A329" s="375" t="s">
        <v>5</v>
      </c>
      <c r="B329" s="375" t="s">
        <v>5</v>
      </c>
      <c r="C329" s="375" t="s">
        <v>5</v>
      </c>
      <c r="D329" s="376"/>
    </row>
    <row r="330" spans="1:4" ht="14.5" x14ac:dyDescent="0.35">
      <c r="A330" s="375" t="s">
        <v>1659</v>
      </c>
      <c r="B330" s="375" t="s">
        <v>5</v>
      </c>
      <c r="C330" s="375" t="s">
        <v>162</v>
      </c>
      <c r="D330" s="376"/>
    </row>
    <row r="331" spans="1:4" ht="29" x14ac:dyDescent="0.35">
      <c r="A331" s="375" t="s">
        <v>5</v>
      </c>
      <c r="B331" s="375" t="s">
        <v>2001</v>
      </c>
      <c r="C331" s="375" t="s">
        <v>2002</v>
      </c>
      <c r="D331" s="376">
        <v>2105</v>
      </c>
    </row>
    <row r="332" spans="1:4" ht="29" x14ac:dyDescent="0.35">
      <c r="A332" s="375" t="s">
        <v>5</v>
      </c>
      <c r="B332" s="375" t="s">
        <v>2003</v>
      </c>
      <c r="C332" s="375" t="s">
        <v>2004</v>
      </c>
      <c r="D332" s="376">
        <v>37</v>
      </c>
    </row>
    <row r="333" spans="1:4" ht="29" x14ac:dyDescent="0.35">
      <c r="A333" s="375" t="s">
        <v>5</v>
      </c>
      <c r="B333" s="375" t="s">
        <v>1662</v>
      </c>
      <c r="C333" s="375" t="s">
        <v>1663</v>
      </c>
      <c r="D333" s="376">
        <v>22</v>
      </c>
    </row>
    <row r="334" spans="1:4" ht="30.5" x14ac:dyDescent="0.5">
      <c r="A334" s="375" t="s">
        <v>5</v>
      </c>
      <c r="B334" s="375" t="s">
        <v>2005</v>
      </c>
      <c r="C334" s="375" t="s">
        <v>2006</v>
      </c>
      <c r="D334" s="377">
        <v>1802</v>
      </c>
    </row>
    <row r="335" spans="1:4" ht="14.5" x14ac:dyDescent="0.35">
      <c r="A335" s="375" t="s">
        <v>1664</v>
      </c>
      <c r="B335" s="375" t="s">
        <v>5</v>
      </c>
      <c r="C335" s="375" t="s">
        <v>5</v>
      </c>
      <c r="D335" s="376">
        <v>3966</v>
      </c>
    </row>
    <row r="336" spans="1:4" ht="14.5" x14ac:dyDescent="0.35">
      <c r="A336" s="375" t="s">
        <v>5</v>
      </c>
      <c r="B336" s="375" t="s">
        <v>5</v>
      </c>
      <c r="C336" s="375" t="s">
        <v>5</v>
      </c>
      <c r="D336" s="376"/>
    </row>
    <row r="337" spans="1:4" ht="14.5" x14ac:dyDescent="0.35">
      <c r="A337" s="375" t="s">
        <v>2007</v>
      </c>
      <c r="B337" s="375" t="s">
        <v>5</v>
      </c>
      <c r="C337" s="375" t="s">
        <v>582</v>
      </c>
      <c r="D337" s="376"/>
    </row>
    <row r="338" spans="1:4" ht="29" x14ac:dyDescent="0.35">
      <c r="A338" s="375" t="s">
        <v>5</v>
      </c>
      <c r="B338" s="375" t="s">
        <v>2008</v>
      </c>
      <c r="C338" s="375" t="s">
        <v>2009</v>
      </c>
      <c r="D338" s="376">
        <v>69</v>
      </c>
    </row>
    <row r="339" spans="1:4" ht="30.5" x14ac:dyDescent="0.5">
      <c r="A339" s="375" t="s">
        <v>5</v>
      </c>
      <c r="B339" s="375" t="s">
        <v>2010</v>
      </c>
      <c r="C339" s="375" t="s">
        <v>2011</v>
      </c>
      <c r="D339" s="377">
        <v>0</v>
      </c>
    </row>
    <row r="340" spans="1:4" ht="14.5" x14ac:dyDescent="0.35">
      <c r="A340" s="375" t="s">
        <v>2012</v>
      </c>
      <c r="B340" s="375" t="s">
        <v>5</v>
      </c>
      <c r="C340" s="375" t="s">
        <v>5</v>
      </c>
      <c r="D340" s="376">
        <v>69</v>
      </c>
    </row>
    <row r="341" spans="1:4" ht="14.5" x14ac:dyDescent="0.35">
      <c r="A341" s="375" t="s">
        <v>5</v>
      </c>
      <c r="B341" s="375" t="s">
        <v>5</v>
      </c>
      <c r="C341" s="375" t="s">
        <v>5</v>
      </c>
      <c r="D341" s="376"/>
    </row>
    <row r="342" spans="1:4" ht="14.5" x14ac:dyDescent="0.35">
      <c r="A342" s="375" t="s">
        <v>1665</v>
      </c>
      <c r="B342" s="375" t="s">
        <v>5</v>
      </c>
      <c r="C342" s="375" t="s">
        <v>166</v>
      </c>
      <c r="D342" s="376"/>
    </row>
    <row r="343" spans="1:4" ht="29" x14ac:dyDescent="0.35">
      <c r="A343" s="375" t="s">
        <v>5</v>
      </c>
      <c r="B343" s="375" t="s">
        <v>1666</v>
      </c>
      <c r="C343" s="375" t="s">
        <v>1667</v>
      </c>
      <c r="D343" s="376">
        <v>134515</v>
      </c>
    </row>
    <row r="344" spans="1:4" ht="29" x14ac:dyDescent="0.35">
      <c r="A344" s="375" t="s">
        <v>5</v>
      </c>
      <c r="B344" s="375" t="s">
        <v>2013</v>
      </c>
      <c r="C344" s="375" t="s">
        <v>2014</v>
      </c>
      <c r="D344" s="376">
        <v>5291</v>
      </c>
    </row>
    <row r="345" spans="1:4" ht="29" x14ac:dyDescent="0.35">
      <c r="A345" s="375" t="s">
        <v>5</v>
      </c>
      <c r="B345" s="375" t="s">
        <v>2015</v>
      </c>
      <c r="C345" s="375" t="s">
        <v>2016</v>
      </c>
      <c r="D345" s="376">
        <v>0</v>
      </c>
    </row>
    <row r="346" spans="1:4" ht="29" x14ac:dyDescent="0.35">
      <c r="A346" s="375" t="s">
        <v>5</v>
      </c>
      <c r="B346" s="375" t="s">
        <v>1668</v>
      </c>
      <c r="C346" s="375" t="s">
        <v>1669</v>
      </c>
      <c r="D346" s="376">
        <v>205</v>
      </c>
    </row>
    <row r="347" spans="1:4" ht="30.5" x14ac:dyDescent="0.5">
      <c r="A347" s="375" t="s">
        <v>5</v>
      </c>
      <c r="B347" s="375" t="s">
        <v>1670</v>
      </c>
      <c r="C347" s="375" t="s">
        <v>1671</v>
      </c>
      <c r="D347" s="377">
        <v>40</v>
      </c>
    </row>
    <row r="348" spans="1:4" ht="14.5" x14ac:dyDescent="0.35">
      <c r="A348" s="375" t="s">
        <v>1672</v>
      </c>
      <c r="B348" s="375" t="s">
        <v>5</v>
      </c>
      <c r="C348" s="375" t="s">
        <v>5</v>
      </c>
      <c r="D348" s="376">
        <v>140051</v>
      </c>
    </row>
    <row r="349" spans="1:4" ht="14.5" x14ac:dyDescent="0.35">
      <c r="A349" s="375" t="s">
        <v>5</v>
      </c>
      <c r="B349" s="375" t="s">
        <v>5</v>
      </c>
      <c r="C349" s="375" t="s">
        <v>5</v>
      </c>
      <c r="D349" s="376"/>
    </row>
    <row r="350" spans="1:4" ht="14.5" x14ac:dyDescent="0.35">
      <c r="A350" s="375" t="s">
        <v>1673</v>
      </c>
      <c r="B350" s="375" t="s">
        <v>5</v>
      </c>
      <c r="C350" s="375" t="s">
        <v>167</v>
      </c>
      <c r="D350" s="376"/>
    </row>
    <row r="351" spans="1:4" ht="29" x14ac:dyDescent="0.35">
      <c r="A351" s="375" t="s">
        <v>5</v>
      </c>
      <c r="B351" s="375" t="s">
        <v>1674</v>
      </c>
      <c r="C351" s="375" t="s">
        <v>1675</v>
      </c>
      <c r="D351" s="376">
        <v>70</v>
      </c>
    </row>
    <row r="352" spans="1:4" ht="29" x14ac:dyDescent="0.35">
      <c r="A352" s="375" t="s">
        <v>5</v>
      </c>
      <c r="B352" s="375" t="s">
        <v>2017</v>
      </c>
      <c r="C352" s="375" t="s">
        <v>2018</v>
      </c>
      <c r="D352" s="376">
        <v>7486</v>
      </c>
    </row>
    <row r="353" spans="1:4" ht="29" x14ac:dyDescent="0.35">
      <c r="A353" s="375" t="s">
        <v>5</v>
      </c>
      <c r="B353" s="375" t="s">
        <v>2019</v>
      </c>
      <c r="C353" s="375" t="s">
        <v>2020</v>
      </c>
      <c r="D353" s="376">
        <v>6361</v>
      </c>
    </row>
    <row r="354" spans="1:4" ht="29" x14ac:dyDescent="0.35">
      <c r="A354" s="375" t="s">
        <v>5</v>
      </c>
      <c r="B354" s="375" t="s">
        <v>1676</v>
      </c>
      <c r="C354" s="375" t="s">
        <v>1677</v>
      </c>
      <c r="D354" s="376">
        <v>296</v>
      </c>
    </row>
    <row r="355" spans="1:4" ht="30.5" x14ac:dyDescent="0.5">
      <c r="A355" s="375" t="s">
        <v>5</v>
      </c>
      <c r="B355" s="375" t="s">
        <v>1678</v>
      </c>
      <c r="C355" s="375" t="s">
        <v>1679</v>
      </c>
      <c r="D355" s="377">
        <v>5356</v>
      </c>
    </row>
    <row r="356" spans="1:4" ht="14.5" x14ac:dyDescent="0.35">
      <c r="A356" s="375" t="s">
        <v>1680</v>
      </c>
      <c r="B356" s="375" t="s">
        <v>5</v>
      </c>
      <c r="C356" s="375" t="s">
        <v>5</v>
      </c>
      <c r="D356" s="376">
        <v>19569</v>
      </c>
    </row>
    <row r="357" spans="1:4" ht="14.5" x14ac:dyDescent="0.35">
      <c r="A357" s="375" t="s">
        <v>5</v>
      </c>
      <c r="B357" s="375" t="s">
        <v>5</v>
      </c>
      <c r="C357" s="375" t="s">
        <v>5</v>
      </c>
      <c r="D357" s="376"/>
    </row>
    <row r="358" spans="1:4" ht="14.5" x14ac:dyDescent="0.35">
      <c r="A358" s="375" t="s">
        <v>2021</v>
      </c>
      <c r="B358" s="375" t="s">
        <v>5</v>
      </c>
      <c r="C358" s="375" t="s">
        <v>168</v>
      </c>
      <c r="D358" s="376"/>
    </row>
    <row r="359" spans="1:4" ht="29" x14ac:dyDescent="0.35">
      <c r="A359" s="375" t="s">
        <v>5</v>
      </c>
      <c r="B359" s="375" t="s">
        <v>2022</v>
      </c>
      <c r="C359" s="375" t="s">
        <v>2023</v>
      </c>
      <c r="D359" s="376">
        <v>617</v>
      </c>
    </row>
    <row r="360" spans="1:4" ht="30.5" x14ac:dyDescent="0.5">
      <c r="A360" s="375" t="s">
        <v>5</v>
      </c>
      <c r="B360" s="375" t="s">
        <v>2024</v>
      </c>
      <c r="C360" s="375" t="s">
        <v>2025</v>
      </c>
      <c r="D360" s="377">
        <v>2183</v>
      </c>
    </row>
    <row r="361" spans="1:4" ht="14.5" x14ac:dyDescent="0.35">
      <c r="A361" s="375" t="s">
        <v>2026</v>
      </c>
      <c r="B361" s="375" t="s">
        <v>5</v>
      </c>
      <c r="C361" s="375" t="s">
        <v>5</v>
      </c>
      <c r="D361" s="376">
        <v>2800</v>
      </c>
    </row>
    <row r="362" spans="1:4" ht="14.5" x14ac:dyDescent="0.35">
      <c r="A362" s="375" t="s">
        <v>5</v>
      </c>
      <c r="B362" s="375" t="s">
        <v>5</v>
      </c>
      <c r="C362" s="375" t="s">
        <v>5</v>
      </c>
      <c r="D362" s="376"/>
    </row>
    <row r="363" spans="1:4" ht="14.5" x14ac:dyDescent="0.35">
      <c r="A363" s="375" t="s">
        <v>1681</v>
      </c>
      <c r="B363" s="375" t="s">
        <v>5</v>
      </c>
      <c r="C363" s="375" t="s">
        <v>590</v>
      </c>
      <c r="D363" s="376"/>
    </row>
    <row r="364" spans="1:4" ht="29" x14ac:dyDescent="0.35">
      <c r="A364" s="375" t="s">
        <v>5</v>
      </c>
      <c r="B364" s="375" t="s">
        <v>2027</v>
      </c>
      <c r="C364" s="375" t="s">
        <v>2028</v>
      </c>
      <c r="D364" s="376">
        <v>0</v>
      </c>
    </row>
    <row r="365" spans="1:4" ht="29" x14ac:dyDescent="0.35">
      <c r="A365" s="375" t="s">
        <v>5</v>
      </c>
      <c r="B365" s="375" t="s">
        <v>2029</v>
      </c>
      <c r="C365" s="375" t="s">
        <v>2030</v>
      </c>
      <c r="D365" s="376">
        <v>15168</v>
      </c>
    </row>
    <row r="366" spans="1:4" ht="29" x14ac:dyDescent="0.35">
      <c r="A366" s="375" t="s">
        <v>5</v>
      </c>
      <c r="B366" s="375" t="s">
        <v>2031</v>
      </c>
      <c r="C366" s="375" t="s">
        <v>2032</v>
      </c>
      <c r="D366" s="376">
        <v>594</v>
      </c>
    </row>
    <row r="367" spans="1:4" ht="30.5" x14ac:dyDescent="0.5">
      <c r="A367" s="375" t="s">
        <v>5</v>
      </c>
      <c r="B367" s="375" t="s">
        <v>1682</v>
      </c>
      <c r="C367" s="375" t="s">
        <v>1683</v>
      </c>
      <c r="D367" s="377">
        <v>265</v>
      </c>
    </row>
    <row r="368" spans="1:4" ht="14.5" x14ac:dyDescent="0.35">
      <c r="A368" s="375" t="s">
        <v>1684</v>
      </c>
      <c r="B368" s="375" t="s">
        <v>5</v>
      </c>
      <c r="C368" s="375" t="s">
        <v>5</v>
      </c>
      <c r="D368" s="376">
        <v>16027</v>
      </c>
    </row>
    <row r="369" spans="1:4" ht="14.5" x14ac:dyDescent="0.35">
      <c r="A369" s="375" t="s">
        <v>5</v>
      </c>
      <c r="B369" s="375" t="s">
        <v>5</v>
      </c>
      <c r="C369" s="375" t="s">
        <v>5</v>
      </c>
      <c r="D369" s="376"/>
    </row>
    <row r="370" spans="1:4" ht="14.5" x14ac:dyDescent="0.35">
      <c r="A370" s="375" t="s">
        <v>1685</v>
      </c>
      <c r="B370" s="375" t="s">
        <v>5</v>
      </c>
      <c r="C370" s="375" t="s">
        <v>172</v>
      </c>
      <c r="D370" s="376"/>
    </row>
    <row r="371" spans="1:4" ht="29" x14ac:dyDescent="0.35">
      <c r="A371" s="375" t="s">
        <v>5</v>
      </c>
      <c r="B371" s="375" t="s">
        <v>2033</v>
      </c>
      <c r="C371" s="375" t="s">
        <v>2034</v>
      </c>
      <c r="D371" s="376">
        <v>5586</v>
      </c>
    </row>
    <row r="372" spans="1:4" ht="29" x14ac:dyDescent="0.35">
      <c r="A372" s="375" t="s">
        <v>5</v>
      </c>
      <c r="B372" s="375" t="s">
        <v>2035</v>
      </c>
      <c r="C372" s="375" t="s">
        <v>2036</v>
      </c>
      <c r="D372" s="376">
        <v>442</v>
      </c>
    </row>
    <row r="373" spans="1:4" ht="29" x14ac:dyDescent="0.35">
      <c r="A373" s="375" t="s">
        <v>5</v>
      </c>
      <c r="B373" s="375" t="s">
        <v>1686</v>
      </c>
      <c r="C373" s="375" t="s">
        <v>1687</v>
      </c>
      <c r="D373" s="376">
        <v>201</v>
      </c>
    </row>
    <row r="374" spans="1:4" ht="30.5" x14ac:dyDescent="0.5">
      <c r="A374" s="375" t="s">
        <v>5</v>
      </c>
      <c r="B374" s="375" t="s">
        <v>1688</v>
      </c>
      <c r="C374" s="375" t="s">
        <v>1689</v>
      </c>
      <c r="D374" s="377">
        <v>682</v>
      </c>
    </row>
    <row r="375" spans="1:4" ht="14.5" x14ac:dyDescent="0.35">
      <c r="A375" s="375" t="s">
        <v>1690</v>
      </c>
      <c r="B375" s="375" t="s">
        <v>5</v>
      </c>
      <c r="C375" s="375" t="s">
        <v>5</v>
      </c>
      <c r="D375" s="376">
        <v>6911</v>
      </c>
    </row>
    <row r="376" spans="1:4" ht="14.5" x14ac:dyDescent="0.35">
      <c r="A376" s="375" t="s">
        <v>5</v>
      </c>
      <c r="B376" s="375" t="s">
        <v>5</v>
      </c>
      <c r="C376" s="375" t="s">
        <v>5</v>
      </c>
      <c r="D376" s="376"/>
    </row>
    <row r="377" spans="1:4" ht="14.5" x14ac:dyDescent="0.35">
      <c r="A377" s="375" t="s">
        <v>1691</v>
      </c>
      <c r="B377" s="375" t="s">
        <v>5</v>
      </c>
      <c r="C377" s="375" t="s">
        <v>588</v>
      </c>
      <c r="D377" s="376"/>
    </row>
    <row r="378" spans="1:4" ht="29" x14ac:dyDescent="0.35">
      <c r="A378" s="375" t="s">
        <v>5</v>
      </c>
      <c r="B378" s="375" t="s">
        <v>2037</v>
      </c>
      <c r="C378" s="375" t="s">
        <v>2038</v>
      </c>
      <c r="D378" s="376">
        <v>0</v>
      </c>
    </row>
    <row r="379" spans="1:4" ht="29" x14ac:dyDescent="0.35">
      <c r="A379" s="375" t="s">
        <v>5</v>
      </c>
      <c r="B379" s="375" t="s">
        <v>2039</v>
      </c>
      <c r="C379" s="375" t="s">
        <v>2040</v>
      </c>
      <c r="D379" s="376">
        <v>539</v>
      </c>
    </row>
    <row r="380" spans="1:4" ht="29" x14ac:dyDescent="0.35">
      <c r="A380" s="375" t="s">
        <v>5</v>
      </c>
      <c r="B380" s="375" t="s">
        <v>1695</v>
      </c>
      <c r="C380" s="375" t="s">
        <v>1696</v>
      </c>
      <c r="D380" s="376">
        <v>255</v>
      </c>
    </row>
    <row r="381" spans="1:4" ht="29" x14ac:dyDescent="0.35">
      <c r="A381" s="375" t="s">
        <v>5</v>
      </c>
      <c r="B381" s="375" t="s">
        <v>2041</v>
      </c>
      <c r="C381" s="375" t="s">
        <v>2042</v>
      </c>
      <c r="D381" s="376">
        <v>5977</v>
      </c>
    </row>
    <row r="382" spans="1:4" ht="29" x14ac:dyDescent="0.35">
      <c r="A382" s="375" t="s">
        <v>5</v>
      </c>
      <c r="B382" s="375" t="s">
        <v>2043</v>
      </c>
      <c r="C382" s="375" t="s">
        <v>2044</v>
      </c>
      <c r="D382" s="376">
        <v>1853</v>
      </c>
    </row>
    <row r="383" spans="1:4" ht="30.5" x14ac:dyDescent="0.5">
      <c r="A383" s="375" t="s">
        <v>5</v>
      </c>
      <c r="B383" s="375" t="s">
        <v>1692</v>
      </c>
      <c r="C383" s="375" t="s">
        <v>1693</v>
      </c>
      <c r="D383" s="377">
        <v>900</v>
      </c>
    </row>
    <row r="384" spans="1:4" ht="14.5" x14ac:dyDescent="0.35">
      <c r="A384" s="375" t="s">
        <v>1694</v>
      </c>
      <c r="B384" s="375" t="s">
        <v>5</v>
      </c>
      <c r="C384" s="375" t="s">
        <v>5</v>
      </c>
      <c r="D384" s="376">
        <v>9524</v>
      </c>
    </row>
    <row r="385" spans="1:4" ht="14.5" x14ac:dyDescent="0.35">
      <c r="A385" s="375" t="s">
        <v>5</v>
      </c>
      <c r="B385" s="375" t="s">
        <v>5</v>
      </c>
      <c r="C385" s="375" t="s">
        <v>5</v>
      </c>
      <c r="D385" s="376"/>
    </row>
    <row r="386" spans="1:4" ht="14.5" x14ac:dyDescent="0.35">
      <c r="A386" s="375" t="s">
        <v>1697</v>
      </c>
      <c r="B386" s="375" t="s">
        <v>5</v>
      </c>
      <c r="C386" s="375" t="s">
        <v>1698</v>
      </c>
      <c r="D386" s="376"/>
    </row>
    <row r="387" spans="1:4" ht="29" x14ac:dyDescent="0.35">
      <c r="A387" s="375" t="s">
        <v>5</v>
      </c>
      <c r="B387" s="375" t="s">
        <v>2045</v>
      </c>
      <c r="C387" s="375" t="s">
        <v>2046</v>
      </c>
      <c r="D387" s="376">
        <v>0</v>
      </c>
    </row>
    <row r="388" spans="1:4" ht="29" x14ac:dyDescent="0.35">
      <c r="A388" s="375" t="s">
        <v>5</v>
      </c>
      <c r="B388" s="375" t="s">
        <v>2047</v>
      </c>
      <c r="C388" s="375" t="s">
        <v>2048</v>
      </c>
      <c r="D388" s="376">
        <v>30301</v>
      </c>
    </row>
    <row r="389" spans="1:4" ht="29" x14ac:dyDescent="0.35">
      <c r="A389" s="375" t="s">
        <v>5</v>
      </c>
      <c r="B389" s="375" t="s">
        <v>2049</v>
      </c>
      <c r="C389" s="375" t="s">
        <v>2050</v>
      </c>
      <c r="D389" s="376">
        <v>545</v>
      </c>
    </row>
    <row r="390" spans="1:4" ht="29" x14ac:dyDescent="0.35">
      <c r="A390" s="375" t="s">
        <v>5</v>
      </c>
      <c r="B390" s="375" t="s">
        <v>2051</v>
      </c>
      <c r="C390" s="375" t="s">
        <v>2052</v>
      </c>
      <c r="D390" s="376">
        <v>665</v>
      </c>
    </row>
    <row r="391" spans="1:4" ht="29" x14ac:dyDescent="0.35">
      <c r="A391" s="375" t="s">
        <v>5</v>
      </c>
      <c r="B391" s="375" t="s">
        <v>1699</v>
      </c>
      <c r="C391" s="375" t="s">
        <v>1700</v>
      </c>
      <c r="D391" s="376">
        <v>2120</v>
      </c>
    </row>
    <row r="392" spans="1:4" ht="29" x14ac:dyDescent="0.35">
      <c r="A392" s="375" t="s">
        <v>5</v>
      </c>
      <c r="B392" s="375" t="s">
        <v>1701</v>
      </c>
      <c r="C392" s="375" t="s">
        <v>1702</v>
      </c>
      <c r="D392" s="376">
        <v>1656</v>
      </c>
    </row>
    <row r="393" spans="1:4" ht="29" x14ac:dyDescent="0.35">
      <c r="A393" s="375" t="s">
        <v>5</v>
      </c>
      <c r="B393" s="375" t="s">
        <v>1703</v>
      </c>
      <c r="C393" s="375" t="s">
        <v>1704</v>
      </c>
      <c r="D393" s="376">
        <v>164266</v>
      </c>
    </row>
    <row r="394" spans="1:4" ht="29" x14ac:dyDescent="0.35">
      <c r="A394" s="375" t="s">
        <v>5</v>
      </c>
      <c r="B394" s="375" t="s">
        <v>2053</v>
      </c>
      <c r="C394" s="375" t="s">
        <v>2054</v>
      </c>
      <c r="D394" s="376">
        <v>1495</v>
      </c>
    </row>
    <row r="395" spans="1:4" ht="29" x14ac:dyDescent="0.35">
      <c r="A395" s="375" t="s">
        <v>5</v>
      </c>
      <c r="B395" s="375" t="s">
        <v>1705</v>
      </c>
      <c r="C395" s="375" t="s">
        <v>1706</v>
      </c>
      <c r="D395" s="376">
        <v>402</v>
      </c>
    </row>
    <row r="396" spans="1:4" ht="29" x14ac:dyDescent="0.35">
      <c r="A396" s="375" t="s">
        <v>5</v>
      </c>
      <c r="B396" s="375" t="s">
        <v>2055</v>
      </c>
      <c r="C396" s="375" t="s">
        <v>2056</v>
      </c>
      <c r="D396" s="376">
        <v>29597</v>
      </c>
    </row>
    <row r="397" spans="1:4" ht="30.5" x14ac:dyDescent="0.5">
      <c r="A397" s="375" t="s">
        <v>5</v>
      </c>
      <c r="B397" s="375" t="s">
        <v>2057</v>
      </c>
      <c r="C397" s="375" t="s">
        <v>2058</v>
      </c>
      <c r="D397" s="377">
        <v>0</v>
      </c>
    </row>
    <row r="398" spans="1:4" ht="14.5" x14ac:dyDescent="0.35">
      <c r="A398" s="375" t="s">
        <v>1707</v>
      </c>
      <c r="B398" s="375" t="s">
        <v>5</v>
      </c>
      <c r="C398" s="375" t="s">
        <v>5</v>
      </c>
      <c r="D398" s="376">
        <v>231047</v>
      </c>
    </row>
    <row r="399" spans="1:4" ht="14.5" x14ac:dyDescent="0.35">
      <c r="A399" s="375" t="s">
        <v>5</v>
      </c>
      <c r="B399" s="375" t="s">
        <v>5</v>
      </c>
      <c r="C399" s="375" t="s">
        <v>5</v>
      </c>
      <c r="D399" s="376"/>
    </row>
    <row r="400" spans="1:4" ht="14.5" x14ac:dyDescent="0.35">
      <c r="A400" s="375" t="s">
        <v>1708</v>
      </c>
      <c r="B400" s="375" t="s">
        <v>5</v>
      </c>
      <c r="C400" s="375" t="s">
        <v>1709</v>
      </c>
      <c r="D400" s="376"/>
    </row>
    <row r="401" spans="1:4" ht="29" x14ac:dyDescent="0.35">
      <c r="A401" s="375" t="s">
        <v>5</v>
      </c>
      <c r="B401" s="375" t="s">
        <v>2059</v>
      </c>
      <c r="C401" s="375" t="s">
        <v>2060</v>
      </c>
      <c r="D401" s="376">
        <v>5787</v>
      </c>
    </row>
    <row r="402" spans="1:4" ht="29" x14ac:dyDescent="0.35">
      <c r="A402" s="375" t="s">
        <v>5</v>
      </c>
      <c r="B402" s="375" t="s">
        <v>2061</v>
      </c>
      <c r="C402" s="375" t="s">
        <v>2062</v>
      </c>
      <c r="D402" s="376">
        <v>36</v>
      </c>
    </row>
    <row r="403" spans="1:4" ht="29" x14ac:dyDescent="0.35">
      <c r="A403" s="375" t="s">
        <v>5</v>
      </c>
      <c r="B403" s="375" t="s">
        <v>1710</v>
      </c>
      <c r="C403" s="375" t="s">
        <v>1711</v>
      </c>
      <c r="D403" s="376">
        <v>269</v>
      </c>
    </row>
    <row r="404" spans="1:4" ht="29" x14ac:dyDescent="0.35">
      <c r="A404" s="375" t="s">
        <v>5</v>
      </c>
      <c r="B404" s="375" t="s">
        <v>2063</v>
      </c>
      <c r="C404" s="375" t="s">
        <v>2064</v>
      </c>
      <c r="D404" s="376">
        <v>0</v>
      </c>
    </row>
    <row r="405" spans="1:4" ht="30.5" x14ac:dyDescent="0.5">
      <c r="A405" s="375" t="s">
        <v>5</v>
      </c>
      <c r="B405" s="375" t="s">
        <v>1712</v>
      </c>
      <c r="C405" s="375" t="s">
        <v>1713</v>
      </c>
      <c r="D405" s="377">
        <v>385</v>
      </c>
    </row>
    <row r="406" spans="1:4" ht="14.5" x14ac:dyDescent="0.35">
      <c r="A406" s="375" t="s">
        <v>1714</v>
      </c>
      <c r="B406" s="375" t="s">
        <v>5</v>
      </c>
      <c r="C406" s="375" t="s">
        <v>5</v>
      </c>
      <c r="D406" s="376">
        <v>6477</v>
      </c>
    </row>
    <row r="407" spans="1:4" ht="14.5" x14ac:dyDescent="0.35">
      <c r="A407" s="375" t="s">
        <v>5</v>
      </c>
      <c r="B407" s="375" t="s">
        <v>5</v>
      </c>
      <c r="C407" s="375" t="s">
        <v>5</v>
      </c>
      <c r="D407" s="376"/>
    </row>
    <row r="408" spans="1:4" ht="14.5" x14ac:dyDescent="0.35">
      <c r="A408" s="375" t="s">
        <v>1715</v>
      </c>
      <c r="B408" s="375" t="s">
        <v>5</v>
      </c>
      <c r="C408" s="375" t="s">
        <v>565</v>
      </c>
      <c r="D408" s="376"/>
    </row>
    <row r="409" spans="1:4" ht="29" x14ac:dyDescent="0.35">
      <c r="A409" s="375" t="s">
        <v>5</v>
      </c>
      <c r="B409" s="375" t="s">
        <v>2065</v>
      </c>
      <c r="C409" s="375" t="s">
        <v>2066</v>
      </c>
      <c r="D409" s="376">
        <v>0</v>
      </c>
    </row>
    <row r="410" spans="1:4" ht="29" x14ac:dyDescent="0.35">
      <c r="A410" s="375" t="s">
        <v>5</v>
      </c>
      <c r="B410" s="375" t="s">
        <v>2067</v>
      </c>
      <c r="C410" s="375" t="s">
        <v>2068</v>
      </c>
      <c r="D410" s="376">
        <v>9933</v>
      </c>
    </row>
    <row r="411" spans="1:4" ht="29" x14ac:dyDescent="0.35">
      <c r="A411" s="375" t="s">
        <v>5</v>
      </c>
      <c r="B411" s="375" t="s">
        <v>2069</v>
      </c>
      <c r="C411" s="375" t="s">
        <v>2070</v>
      </c>
      <c r="D411" s="376">
        <v>17</v>
      </c>
    </row>
    <row r="412" spans="1:4" ht="29" x14ac:dyDescent="0.35">
      <c r="A412" s="375" t="s">
        <v>5</v>
      </c>
      <c r="B412" s="375" t="s">
        <v>1716</v>
      </c>
      <c r="C412" s="375" t="s">
        <v>1717</v>
      </c>
      <c r="D412" s="376">
        <v>22213</v>
      </c>
    </row>
    <row r="413" spans="1:4" ht="29" x14ac:dyDescent="0.35">
      <c r="A413" s="375" t="s">
        <v>5</v>
      </c>
      <c r="B413" s="375" t="s">
        <v>1718</v>
      </c>
      <c r="C413" s="375" t="s">
        <v>1719</v>
      </c>
      <c r="D413" s="376">
        <v>286864</v>
      </c>
    </row>
    <row r="414" spans="1:4" ht="29" x14ac:dyDescent="0.35">
      <c r="A414" s="375" t="s">
        <v>5</v>
      </c>
      <c r="B414" s="375" t="s">
        <v>1720</v>
      </c>
      <c r="C414" s="375" t="s">
        <v>1721</v>
      </c>
      <c r="D414" s="376">
        <v>14348</v>
      </c>
    </row>
    <row r="415" spans="1:4" ht="30.5" x14ac:dyDescent="0.5">
      <c r="A415" s="375" t="s">
        <v>5</v>
      </c>
      <c r="B415" s="375" t="s">
        <v>2071</v>
      </c>
      <c r="C415" s="375" t="s">
        <v>2072</v>
      </c>
      <c r="D415" s="377">
        <v>751</v>
      </c>
    </row>
    <row r="416" spans="1:4" ht="14.5" x14ac:dyDescent="0.35">
      <c r="A416" s="375" t="s">
        <v>1722</v>
      </c>
      <c r="B416" s="375" t="s">
        <v>5</v>
      </c>
      <c r="C416" s="375" t="s">
        <v>5</v>
      </c>
      <c r="D416" s="376">
        <v>334126</v>
      </c>
    </row>
    <row r="417" spans="1:4" ht="14.5" x14ac:dyDescent="0.35">
      <c r="A417" s="375" t="s">
        <v>5</v>
      </c>
      <c r="B417" s="375" t="s">
        <v>5</v>
      </c>
      <c r="C417" s="375" t="s">
        <v>5</v>
      </c>
      <c r="D417" s="376"/>
    </row>
    <row r="418" spans="1:4" ht="14.5" x14ac:dyDescent="0.35">
      <c r="A418" s="375" t="s">
        <v>1723</v>
      </c>
      <c r="B418" s="375" t="s">
        <v>5</v>
      </c>
      <c r="C418" s="375" t="s">
        <v>179</v>
      </c>
      <c r="D418" s="376"/>
    </row>
    <row r="419" spans="1:4" ht="29" x14ac:dyDescent="0.35">
      <c r="A419" s="375" t="s">
        <v>5</v>
      </c>
      <c r="B419" s="375" t="s">
        <v>2073</v>
      </c>
      <c r="C419" s="375" t="s">
        <v>2074</v>
      </c>
      <c r="D419" s="376">
        <v>0</v>
      </c>
    </row>
    <row r="420" spans="1:4" ht="29" x14ac:dyDescent="0.35">
      <c r="A420" s="375" t="s">
        <v>5</v>
      </c>
      <c r="B420" s="375" t="s">
        <v>2075</v>
      </c>
      <c r="C420" s="375" t="s">
        <v>2076</v>
      </c>
      <c r="D420" s="376">
        <v>2942</v>
      </c>
    </row>
    <row r="421" spans="1:4" ht="29" x14ac:dyDescent="0.35">
      <c r="A421" s="375" t="s">
        <v>5</v>
      </c>
      <c r="B421" s="375" t="s">
        <v>2077</v>
      </c>
      <c r="C421" s="375" t="s">
        <v>2078</v>
      </c>
      <c r="D421" s="376">
        <v>499</v>
      </c>
    </row>
    <row r="422" spans="1:4" ht="29" x14ac:dyDescent="0.35">
      <c r="A422" s="375" t="s">
        <v>5</v>
      </c>
      <c r="B422" s="375" t="s">
        <v>1724</v>
      </c>
      <c r="C422" s="375" t="s">
        <v>1725</v>
      </c>
      <c r="D422" s="376">
        <v>6213</v>
      </c>
    </row>
    <row r="423" spans="1:4" ht="29" x14ac:dyDescent="0.35">
      <c r="A423" s="375" t="s">
        <v>5</v>
      </c>
      <c r="B423" s="375" t="s">
        <v>1726</v>
      </c>
      <c r="C423" s="375" t="s">
        <v>1727</v>
      </c>
      <c r="D423" s="376">
        <v>811</v>
      </c>
    </row>
    <row r="424" spans="1:4" ht="29" x14ac:dyDescent="0.35">
      <c r="A424" s="375" t="s">
        <v>5</v>
      </c>
      <c r="B424" s="375" t="s">
        <v>1728</v>
      </c>
      <c r="C424" s="375" t="s">
        <v>1729</v>
      </c>
      <c r="D424" s="376">
        <v>320</v>
      </c>
    </row>
    <row r="425" spans="1:4" ht="29" x14ac:dyDescent="0.35">
      <c r="A425" s="375" t="s">
        <v>5</v>
      </c>
      <c r="B425" s="375" t="s">
        <v>2079</v>
      </c>
      <c r="C425" s="375" t="s">
        <v>2080</v>
      </c>
      <c r="D425" s="376">
        <v>12160</v>
      </c>
    </row>
    <row r="426" spans="1:4" ht="29" x14ac:dyDescent="0.35">
      <c r="A426" s="375" t="s">
        <v>5</v>
      </c>
      <c r="B426" s="375" t="s">
        <v>1730</v>
      </c>
      <c r="C426" s="375" t="s">
        <v>1731</v>
      </c>
      <c r="D426" s="376">
        <v>150</v>
      </c>
    </row>
    <row r="427" spans="1:4" ht="29" x14ac:dyDescent="0.35">
      <c r="A427" s="375" t="s">
        <v>5</v>
      </c>
      <c r="B427" s="375" t="s">
        <v>2081</v>
      </c>
      <c r="C427" s="375" t="s">
        <v>2082</v>
      </c>
      <c r="D427" s="376">
        <v>0</v>
      </c>
    </row>
    <row r="428" spans="1:4" ht="29" x14ac:dyDescent="0.35">
      <c r="A428" s="375" t="s">
        <v>5</v>
      </c>
      <c r="B428" s="375" t="s">
        <v>2083</v>
      </c>
      <c r="C428" s="375" t="s">
        <v>2084</v>
      </c>
      <c r="D428" s="376">
        <v>0</v>
      </c>
    </row>
    <row r="429" spans="1:4" ht="29" x14ac:dyDescent="0.35">
      <c r="A429" s="375" t="s">
        <v>5</v>
      </c>
      <c r="B429" s="375" t="s">
        <v>2085</v>
      </c>
      <c r="C429" s="375" t="s">
        <v>2086</v>
      </c>
      <c r="D429" s="376">
        <v>0</v>
      </c>
    </row>
    <row r="430" spans="1:4" ht="29" x14ac:dyDescent="0.35">
      <c r="A430" s="375" t="s">
        <v>5</v>
      </c>
      <c r="B430" s="375" t="s">
        <v>1732</v>
      </c>
      <c r="C430" s="375" t="s">
        <v>1733</v>
      </c>
      <c r="D430" s="376">
        <v>701</v>
      </c>
    </row>
    <row r="431" spans="1:4" ht="29" x14ac:dyDescent="0.35">
      <c r="A431" s="375" t="s">
        <v>5</v>
      </c>
      <c r="B431" s="375" t="s">
        <v>1734</v>
      </c>
      <c r="C431" s="375" t="s">
        <v>1735</v>
      </c>
      <c r="D431" s="376">
        <v>182</v>
      </c>
    </row>
    <row r="432" spans="1:4" ht="30.5" x14ac:dyDescent="0.5">
      <c r="A432" s="375" t="s">
        <v>5</v>
      </c>
      <c r="B432" s="375" t="s">
        <v>1736</v>
      </c>
      <c r="C432" s="375" t="s">
        <v>1737</v>
      </c>
      <c r="D432" s="377">
        <v>4338</v>
      </c>
    </row>
    <row r="433" spans="1:4" ht="14.5" x14ac:dyDescent="0.35">
      <c r="A433" s="375" t="s">
        <v>1738</v>
      </c>
      <c r="B433" s="375" t="s">
        <v>5</v>
      </c>
      <c r="C433" s="375" t="s">
        <v>5</v>
      </c>
      <c r="D433" s="376">
        <v>28316</v>
      </c>
    </row>
    <row r="434" spans="1:4" ht="14.5" x14ac:dyDescent="0.35">
      <c r="A434" s="375" t="s">
        <v>5</v>
      </c>
      <c r="B434" s="375" t="s">
        <v>5</v>
      </c>
      <c r="C434" s="375" t="s">
        <v>5</v>
      </c>
      <c r="D434" s="376"/>
    </row>
    <row r="435" spans="1:4" ht="14.5" x14ac:dyDescent="0.35">
      <c r="A435" s="375" t="s">
        <v>1739</v>
      </c>
      <c r="B435" s="375" t="s">
        <v>5</v>
      </c>
      <c r="C435" s="375" t="s">
        <v>601</v>
      </c>
      <c r="D435" s="376"/>
    </row>
    <row r="436" spans="1:4" ht="29" x14ac:dyDescent="0.35">
      <c r="A436" s="375" t="s">
        <v>5</v>
      </c>
      <c r="B436" s="375" t="s">
        <v>2087</v>
      </c>
      <c r="C436" s="375" t="s">
        <v>2088</v>
      </c>
      <c r="D436" s="376">
        <v>13607</v>
      </c>
    </row>
    <row r="437" spans="1:4" ht="29" x14ac:dyDescent="0.35">
      <c r="A437" s="375" t="s">
        <v>5</v>
      </c>
      <c r="B437" s="375" t="s">
        <v>1740</v>
      </c>
      <c r="C437" s="375" t="s">
        <v>1741</v>
      </c>
      <c r="D437" s="376">
        <v>1774</v>
      </c>
    </row>
    <row r="438" spans="1:4" ht="29" x14ac:dyDescent="0.35">
      <c r="A438" s="375" t="s">
        <v>5</v>
      </c>
      <c r="B438" s="375" t="s">
        <v>1742</v>
      </c>
      <c r="C438" s="375" t="s">
        <v>1743</v>
      </c>
      <c r="D438" s="376">
        <v>65</v>
      </c>
    </row>
    <row r="439" spans="1:4" ht="30.5" x14ac:dyDescent="0.5">
      <c r="A439" s="375" t="s">
        <v>5</v>
      </c>
      <c r="B439" s="375" t="s">
        <v>1744</v>
      </c>
      <c r="C439" s="375" t="s">
        <v>1745</v>
      </c>
      <c r="D439" s="377">
        <v>501</v>
      </c>
    </row>
    <row r="440" spans="1:4" ht="14.5" x14ac:dyDescent="0.35">
      <c r="A440" s="375" t="s">
        <v>1746</v>
      </c>
      <c r="B440" s="375" t="s">
        <v>5</v>
      </c>
      <c r="C440" s="375" t="s">
        <v>5</v>
      </c>
      <c r="D440" s="376">
        <v>15947</v>
      </c>
    </row>
    <row r="441" spans="1:4" ht="14.5" x14ac:dyDescent="0.35">
      <c r="A441" s="375" t="s">
        <v>5</v>
      </c>
      <c r="B441" s="375" t="s">
        <v>5</v>
      </c>
      <c r="C441" s="375" t="s">
        <v>5</v>
      </c>
      <c r="D441" s="376"/>
    </row>
    <row r="442" spans="1:4" ht="14.5" x14ac:dyDescent="0.35">
      <c r="A442" s="375" t="s">
        <v>1747</v>
      </c>
      <c r="B442" s="375" t="s">
        <v>5</v>
      </c>
      <c r="C442" s="375" t="s">
        <v>603</v>
      </c>
      <c r="D442" s="376"/>
    </row>
    <row r="443" spans="1:4" ht="29" x14ac:dyDescent="0.35">
      <c r="A443" s="375" t="s">
        <v>5</v>
      </c>
      <c r="B443" s="375" t="s">
        <v>1748</v>
      </c>
      <c r="C443" s="375" t="s">
        <v>1749</v>
      </c>
      <c r="D443" s="376">
        <v>187</v>
      </c>
    </row>
    <row r="444" spans="1:4" ht="29" x14ac:dyDescent="0.35">
      <c r="A444" s="375" t="s">
        <v>5</v>
      </c>
      <c r="B444" s="375" t="s">
        <v>2089</v>
      </c>
      <c r="C444" s="375" t="s">
        <v>2090</v>
      </c>
      <c r="D444" s="376">
        <v>9083</v>
      </c>
    </row>
    <row r="445" spans="1:4" ht="29" x14ac:dyDescent="0.35">
      <c r="A445" s="375" t="s">
        <v>5</v>
      </c>
      <c r="B445" s="375" t="s">
        <v>2091</v>
      </c>
      <c r="C445" s="375" t="s">
        <v>2092</v>
      </c>
      <c r="D445" s="376">
        <v>29890</v>
      </c>
    </row>
    <row r="446" spans="1:4" ht="29" x14ac:dyDescent="0.35">
      <c r="A446" s="375" t="s">
        <v>5</v>
      </c>
      <c r="B446" s="375" t="s">
        <v>1750</v>
      </c>
      <c r="C446" s="375" t="s">
        <v>1751</v>
      </c>
      <c r="D446" s="376">
        <v>310</v>
      </c>
    </row>
    <row r="447" spans="1:4" ht="29" x14ac:dyDescent="0.35">
      <c r="A447" s="375" t="s">
        <v>5</v>
      </c>
      <c r="B447" s="375" t="s">
        <v>1752</v>
      </c>
      <c r="C447" s="375" t="s">
        <v>1753</v>
      </c>
      <c r="D447" s="376">
        <v>5068</v>
      </c>
    </row>
    <row r="448" spans="1:4" ht="29" x14ac:dyDescent="0.35">
      <c r="A448" s="375" t="s">
        <v>5</v>
      </c>
      <c r="B448" s="375" t="s">
        <v>1754</v>
      </c>
      <c r="C448" s="375" t="s">
        <v>1755</v>
      </c>
      <c r="D448" s="376">
        <v>1784</v>
      </c>
    </row>
    <row r="449" spans="1:4" ht="30.5" x14ac:dyDescent="0.5">
      <c r="A449" s="375" t="s">
        <v>5</v>
      </c>
      <c r="B449" s="375" t="s">
        <v>2093</v>
      </c>
      <c r="C449" s="375" t="s">
        <v>2094</v>
      </c>
      <c r="D449" s="377">
        <v>215975</v>
      </c>
    </row>
    <row r="450" spans="1:4" ht="14.5" x14ac:dyDescent="0.35">
      <c r="A450" s="375" t="s">
        <v>1756</v>
      </c>
      <c r="B450" s="375" t="s">
        <v>5</v>
      </c>
      <c r="C450" s="375" t="s">
        <v>5</v>
      </c>
      <c r="D450" s="376">
        <v>262297</v>
      </c>
    </row>
    <row r="451" spans="1:4" ht="14.5" x14ac:dyDescent="0.35">
      <c r="A451" s="375" t="s">
        <v>5</v>
      </c>
      <c r="B451" s="375" t="s">
        <v>5</v>
      </c>
      <c r="C451" s="375" t="s">
        <v>5</v>
      </c>
      <c r="D451" s="376"/>
    </row>
    <row r="452" spans="1:4" ht="14.5" x14ac:dyDescent="0.35">
      <c r="A452" s="375" t="s">
        <v>1757</v>
      </c>
      <c r="B452" s="375" t="s">
        <v>5</v>
      </c>
      <c r="C452" s="375" t="s">
        <v>1758</v>
      </c>
      <c r="D452" s="376"/>
    </row>
    <row r="453" spans="1:4" ht="29" x14ac:dyDescent="0.35">
      <c r="A453" s="375" t="s">
        <v>5</v>
      </c>
      <c r="B453" s="375" t="s">
        <v>2095</v>
      </c>
      <c r="C453" s="375" t="s">
        <v>2096</v>
      </c>
      <c r="D453" s="376">
        <v>0</v>
      </c>
    </row>
    <row r="454" spans="1:4" ht="29" x14ac:dyDescent="0.35">
      <c r="A454" s="375" t="s">
        <v>5</v>
      </c>
      <c r="B454" s="375" t="s">
        <v>2097</v>
      </c>
      <c r="C454" s="375" t="s">
        <v>2098</v>
      </c>
      <c r="D454" s="376">
        <v>19632</v>
      </c>
    </row>
    <row r="455" spans="1:4" ht="29" x14ac:dyDescent="0.35">
      <c r="A455" s="375" t="s">
        <v>5</v>
      </c>
      <c r="B455" s="375" t="s">
        <v>1759</v>
      </c>
      <c r="C455" s="375" t="s">
        <v>1760</v>
      </c>
      <c r="D455" s="376">
        <v>2456</v>
      </c>
    </row>
    <row r="456" spans="1:4" ht="29" x14ac:dyDescent="0.35">
      <c r="A456" s="375" t="s">
        <v>5</v>
      </c>
      <c r="B456" s="375" t="s">
        <v>1761</v>
      </c>
      <c r="C456" s="375" t="s">
        <v>1762</v>
      </c>
      <c r="D456" s="376">
        <v>2400</v>
      </c>
    </row>
    <row r="457" spans="1:4" ht="29" x14ac:dyDescent="0.35">
      <c r="A457" s="375" t="s">
        <v>5</v>
      </c>
      <c r="B457" s="375" t="s">
        <v>1763</v>
      </c>
      <c r="C457" s="375" t="s">
        <v>1764</v>
      </c>
      <c r="D457" s="376">
        <v>1306</v>
      </c>
    </row>
    <row r="458" spans="1:4" ht="30.5" x14ac:dyDescent="0.5">
      <c r="A458" s="375" t="s">
        <v>5</v>
      </c>
      <c r="B458" s="375" t="s">
        <v>1765</v>
      </c>
      <c r="C458" s="375" t="s">
        <v>1766</v>
      </c>
      <c r="D458" s="377">
        <v>150</v>
      </c>
    </row>
    <row r="459" spans="1:4" ht="14.5" x14ac:dyDescent="0.35">
      <c r="A459" s="375" t="s">
        <v>1767</v>
      </c>
      <c r="B459" s="375" t="s">
        <v>5</v>
      </c>
      <c r="C459" s="375" t="s">
        <v>5</v>
      </c>
      <c r="D459" s="376">
        <v>25944</v>
      </c>
    </row>
    <row r="460" spans="1:4" ht="14.5" x14ac:dyDescent="0.35">
      <c r="A460" s="375" t="s">
        <v>5</v>
      </c>
      <c r="B460" s="375" t="s">
        <v>5</v>
      </c>
      <c r="C460" s="375" t="s">
        <v>5</v>
      </c>
      <c r="D460" s="376"/>
    </row>
    <row r="461" spans="1:4" ht="14.5" x14ac:dyDescent="0.35">
      <c r="A461" s="375" t="s">
        <v>1768</v>
      </c>
      <c r="B461" s="375" t="s">
        <v>5</v>
      </c>
      <c r="C461" s="375" t="s">
        <v>1769</v>
      </c>
      <c r="D461" s="376"/>
    </row>
    <row r="462" spans="1:4" ht="29" x14ac:dyDescent="0.35">
      <c r="A462" s="375" t="s">
        <v>5</v>
      </c>
      <c r="B462" s="375" t="s">
        <v>2099</v>
      </c>
      <c r="C462" s="375" t="s">
        <v>2100</v>
      </c>
      <c r="D462" s="376">
        <v>16506</v>
      </c>
    </row>
    <row r="463" spans="1:4" ht="29" x14ac:dyDescent="0.35">
      <c r="A463" s="375" t="s">
        <v>5</v>
      </c>
      <c r="B463" s="375" t="s">
        <v>2101</v>
      </c>
      <c r="C463" s="375" t="s">
        <v>2102</v>
      </c>
      <c r="D463" s="376">
        <v>35</v>
      </c>
    </row>
    <row r="464" spans="1:4" ht="29" x14ac:dyDescent="0.35">
      <c r="A464" s="375" t="s">
        <v>5</v>
      </c>
      <c r="B464" s="375" t="s">
        <v>1770</v>
      </c>
      <c r="C464" s="375" t="s">
        <v>1771</v>
      </c>
      <c r="D464" s="376">
        <v>5396</v>
      </c>
    </row>
    <row r="465" spans="1:4" ht="29" x14ac:dyDescent="0.35">
      <c r="A465" s="375" t="s">
        <v>5</v>
      </c>
      <c r="B465" s="375" t="s">
        <v>1772</v>
      </c>
      <c r="C465" s="375" t="s">
        <v>1773</v>
      </c>
      <c r="D465" s="376">
        <v>275</v>
      </c>
    </row>
    <row r="466" spans="1:4" ht="29" x14ac:dyDescent="0.35">
      <c r="A466" s="375" t="s">
        <v>5</v>
      </c>
      <c r="B466" s="375" t="s">
        <v>1774</v>
      </c>
      <c r="C466" s="375" t="s">
        <v>1775</v>
      </c>
      <c r="D466" s="376">
        <v>2787</v>
      </c>
    </row>
    <row r="467" spans="1:4" ht="29" x14ac:dyDescent="0.35">
      <c r="A467" s="375" t="s">
        <v>5</v>
      </c>
      <c r="B467" s="375" t="s">
        <v>1776</v>
      </c>
      <c r="C467" s="375" t="s">
        <v>1777</v>
      </c>
      <c r="D467" s="376">
        <v>3883</v>
      </c>
    </row>
    <row r="468" spans="1:4" ht="29" x14ac:dyDescent="0.35">
      <c r="A468" s="375" t="s">
        <v>5</v>
      </c>
      <c r="B468" s="375" t="s">
        <v>2103</v>
      </c>
      <c r="C468" s="375" t="s">
        <v>2104</v>
      </c>
      <c r="D468" s="376">
        <v>279</v>
      </c>
    </row>
    <row r="469" spans="1:4" ht="30.5" x14ac:dyDescent="0.5">
      <c r="A469" s="375" t="s">
        <v>5</v>
      </c>
      <c r="B469" s="375" t="s">
        <v>1778</v>
      </c>
      <c r="C469" s="375" t="s">
        <v>1779</v>
      </c>
      <c r="D469" s="377">
        <v>115</v>
      </c>
    </row>
    <row r="470" spans="1:4" ht="14.5" x14ac:dyDescent="0.35">
      <c r="A470" s="375" t="s">
        <v>1780</v>
      </c>
      <c r="B470" s="375" t="s">
        <v>5</v>
      </c>
      <c r="C470" s="375" t="s">
        <v>5</v>
      </c>
      <c r="D470" s="376">
        <v>29276</v>
      </c>
    </row>
    <row r="471" spans="1:4" ht="14.5" x14ac:dyDescent="0.35">
      <c r="A471" s="375" t="s">
        <v>5</v>
      </c>
      <c r="B471" s="375" t="s">
        <v>5</v>
      </c>
      <c r="C471" s="375" t="s">
        <v>5</v>
      </c>
      <c r="D471" s="376"/>
    </row>
    <row r="472" spans="1:4" ht="14.5" x14ac:dyDescent="0.35">
      <c r="A472" s="375" t="s">
        <v>1781</v>
      </c>
      <c r="B472" s="375" t="s">
        <v>5</v>
      </c>
      <c r="C472" s="375" t="s">
        <v>1782</v>
      </c>
      <c r="D472" s="376"/>
    </row>
    <row r="473" spans="1:4" ht="29" x14ac:dyDescent="0.35">
      <c r="A473" s="375" t="s">
        <v>5</v>
      </c>
      <c r="B473" s="375" t="s">
        <v>2105</v>
      </c>
      <c r="C473" s="375" t="s">
        <v>2106</v>
      </c>
      <c r="D473" s="376">
        <v>0</v>
      </c>
    </row>
    <row r="474" spans="1:4" ht="29" x14ac:dyDescent="0.35">
      <c r="A474" s="375" t="s">
        <v>5</v>
      </c>
      <c r="B474" s="375" t="s">
        <v>1783</v>
      </c>
      <c r="C474" s="375" t="s">
        <v>1784</v>
      </c>
      <c r="D474" s="376">
        <v>972</v>
      </c>
    </row>
    <row r="475" spans="1:4" ht="29" x14ac:dyDescent="0.35">
      <c r="A475" s="375" t="s">
        <v>5</v>
      </c>
      <c r="B475" s="375" t="s">
        <v>1785</v>
      </c>
      <c r="C475" s="375" t="s">
        <v>1786</v>
      </c>
      <c r="D475" s="376">
        <v>217544</v>
      </c>
    </row>
    <row r="476" spans="1:4" ht="29" x14ac:dyDescent="0.35">
      <c r="A476" s="375" t="s">
        <v>5</v>
      </c>
      <c r="B476" s="375" t="s">
        <v>2107</v>
      </c>
      <c r="C476" s="375" t="s">
        <v>2108</v>
      </c>
      <c r="D476" s="376">
        <v>0</v>
      </c>
    </row>
    <row r="477" spans="1:4" ht="29" x14ac:dyDescent="0.35">
      <c r="A477" s="375" t="s">
        <v>5</v>
      </c>
      <c r="B477" s="375" t="s">
        <v>1787</v>
      </c>
      <c r="C477" s="375" t="s">
        <v>1788</v>
      </c>
      <c r="D477" s="376">
        <v>551923</v>
      </c>
    </row>
    <row r="478" spans="1:4" ht="30.5" x14ac:dyDescent="0.5">
      <c r="A478" s="375" t="s">
        <v>5</v>
      </c>
      <c r="B478" s="375" t="s">
        <v>1789</v>
      </c>
      <c r="C478" s="375" t="s">
        <v>1790</v>
      </c>
      <c r="D478" s="377">
        <v>34182</v>
      </c>
    </row>
    <row r="479" spans="1:4" ht="14.5" x14ac:dyDescent="0.35">
      <c r="A479" s="375" t="s">
        <v>1791</v>
      </c>
      <c r="B479" s="375" t="s">
        <v>5</v>
      </c>
      <c r="C479" s="375" t="s">
        <v>5</v>
      </c>
      <c r="D479" s="376">
        <v>804621</v>
      </c>
    </row>
  </sheetData>
  <pageMargins left="0.7" right="0.7" top="0.75" bottom="0.75" header="0.3" footer="0.3"/>
  <pageSetup scale="5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view="pageBreakPreview" topLeftCell="A8" zoomScale="60" zoomScaleNormal="100" workbookViewId="0">
      <selection activeCell="G26" sqref="G26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827</v>
      </c>
    </row>
    <row r="2" spans="1:7" ht="20.149999999999999" customHeight="1" x14ac:dyDescent="0.35">
      <c r="A2" s="71" t="s">
        <v>828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H-140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Kittitas Valley Healthcare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"&amp;data!C103</f>
        <v xml:space="preserve">  Kittitas  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829</v>
      </c>
      <c r="C7" s="76"/>
      <c r="D7" s="73" t="str">
        <f>"  "&amp;data!C104</f>
        <v xml:space="preserve">  Julie Petersen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830</v>
      </c>
      <c r="C8" s="76"/>
      <c r="D8" s="73" t="str">
        <f>"  "&amp;data!C105</f>
        <v xml:space="preserve">  Jason Adler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831</v>
      </c>
      <c r="C9" s="76"/>
      <c r="D9" s="73" t="str">
        <f>"  "&amp;data!C106</f>
        <v xml:space="preserve">  Matthew Altman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832</v>
      </c>
      <c r="C10" s="76"/>
      <c r="D10" s="73" t="str">
        <f>"  "&amp;data!C107</f>
        <v xml:space="preserve">  (509) 962-9841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833</v>
      </c>
      <c r="C11" s="76"/>
      <c r="D11" s="73" t="str">
        <f>"  "&amp;data!C108</f>
        <v xml:space="preserve">  (509 962-7351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834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326</v>
      </c>
      <c r="B15" s="83"/>
      <c r="C15" s="84" t="s">
        <v>328</v>
      </c>
      <c r="D15" s="83"/>
      <c r="E15" s="84" t="s">
        <v>330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835</v>
      </c>
      <c r="E16" s="240" t="str">
        <f>IF(data!C120&gt;0," X","")</f>
        <v/>
      </c>
      <c r="F16" s="90" t="s">
        <v>331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411</v>
      </c>
      <c r="E17" s="240" t="str">
        <f>IF(data!C121&gt;0," X","")</f>
        <v/>
      </c>
      <c r="F17" s="90" t="s">
        <v>332</v>
      </c>
      <c r="G17" s="76"/>
    </row>
    <row r="18" spans="1:7" ht="20.149999999999999" customHeight="1" x14ac:dyDescent="0.35">
      <c r="A18" s="87"/>
      <c r="B18" s="76" t="s">
        <v>836</v>
      </c>
      <c r="C18" s="76"/>
      <c r="D18" s="76"/>
      <c r="E18" s="240" t="str">
        <f>IF(data!C122&gt;0," X","")</f>
        <v/>
      </c>
      <c r="F18" s="90" t="s">
        <v>333</v>
      </c>
      <c r="G18" s="76"/>
    </row>
    <row r="19" spans="1:7" ht="20.149999999999999" customHeight="1" x14ac:dyDescent="0.35">
      <c r="A19" s="87" t="str">
        <f>IF(data!C115&gt;0," X","")</f>
        <v xml:space="preserve"> X</v>
      </c>
      <c r="B19" s="89" t="s">
        <v>837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838</v>
      </c>
      <c r="C22" s="73"/>
      <c r="D22" s="73"/>
      <c r="E22" s="73"/>
      <c r="F22" s="87" t="s">
        <v>336</v>
      </c>
      <c r="G22" s="88" t="s">
        <v>242</v>
      </c>
    </row>
    <row r="23" spans="1:7" ht="20.149999999999999" customHeight="1" x14ac:dyDescent="0.35">
      <c r="A23" s="72"/>
      <c r="B23" s="73" t="s">
        <v>839</v>
      </c>
      <c r="C23" s="73"/>
      <c r="D23" s="73"/>
      <c r="E23" s="73"/>
      <c r="F23" s="72">
        <f>data!C127</f>
        <v>856</v>
      </c>
      <c r="G23" s="76">
        <f>data!D127</f>
        <v>3143</v>
      </c>
    </row>
    <row r="24" spans="1:7" ht="20.149999999999999" customHeight="1" x14ac:dyDescent="0.35">
      <c r="A24" s="72"/>
      <c r="B24" s="73" t="s">
        <v>840</v>
      </c>
      <c r="C24" s="73"/>
      <c r="D24" s="73"/>
      <c r="E24" s="73"/>
      <c r="F24" s="72">
        <f>data!C128</f>
        <v>9</v>
      </c>
      <c r="G24" s="76">
        <f>data!D128</f>
        <v>62</v>
      </c>
    </row>
    <row r="25" spans="1:7" ht="20.149999999999999" customHeight="1" x14ac:dyDescent="0.35">
      <c r="A25" s="72"/>
      <c r="B25" s="73" t="s">
        <v>841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340</v>
      </c>
      <c r="C26" s="73"/>
      <c r="D26" s="73"/>
      <c r="E26" s="73"/>
      <c r="F26" s="72">
        <f>data!C130</f>
        <v>226</v>
      </c>
      <c r="G26" s="76">
        <f>data!D130</f>
        <v>369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842</v>
      </c>
      <c r="C29" s="76"/>
      <c r="D29" s="88" t="s">
        <v>194</v>
      </c>
      <c r="E29" s="92" t="s">
        <v>842</v>
      </c>
      <c r="F29" s="76"/>
      <c r="G29" s="88" t="s">
        <v>194</v>
      </c>
    </row>
    <row r="30" spans="1:7" ht="20.149999999999999" customHeight="1" x14ac:dyDescent="0.35">
      <c r="A30" s="72"/>
      <c r="B30" s="73" t="s">
        <v>342</v>
      </c>
      <c r="C30" s="76"/>
      <c r="D30" s="76">
        <f>data!C132</f>
        <v>6</v>
      </c>
      <c r="E30" s="73" t="s">
        <v>348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843</v>
      </c>
      <c r="C31" s="76"/>
      <c r="D31" s="76">
        <f>data!C133</f>
        <v>0</v>
      </c>
      <c r="E31" s="73" t="s">
        <v>349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844</v>
      </c>
      <c r="C32" s="76"/>
      <c r="D32" s="76">
        <f>data!C134</f>
        <v>19</v>
      </c>
      <c r="E32" s="73" t="s">
        <v>845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846</v>
      </c>
      <c r="C33" s="76"/>
      <c r="D33" s="76">
        <f>data!C135</f>
        <v>0</v>
      </c>
      <c r="E33" s="73" t="s">
        <v>847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848</v>
      </c>
      <c r="C34" s="76"/>
      <c r="D34" s="76">
        <f>data!C136</f>
        <v>0</v>
      </c>
      <c r="E34" s="73" t="s">
        <v>351</v>
      </c>
      <c r="F34" s="76"/>
      <c r="G34" s="76">
        <f>data!E143</f>
        <v>25</v>
      </c>
    </row>
    <row r="35" spans="1:7" ht="20.149999999999999" customHeight="1" x14ac:dyDescent="0.35">
      <c r="A35" s="72"/>
      <c r="B35" s="92" t="s">
        <v>849</v>
      </c>
      <c r="C35" s="76"/>
      <c r="D35" s="76">
        <f>data!C137</f>
        <v>0</v>
      </c>
      <c r="E35" s="73" t="s">
        <v>850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352</v>
      </c>
      <c r="F36" s="76"/>
      <c r="G36" s="76">
        <f>data!C144</f>
        <v>25</v>
      </c>
    </row>
    <row r="37" spans="1:7" ht="20.149999999999999" customHeight="1" x14ac:dyDescent="0.35">
      <c r="A37" s="72"/>
      <c r="E37" s="73" t="s">
        <v>353</v>
      </c>
      <c r="F37" s="76"/>
      <c r="G37" s="76">
        <f>data!C145</f>
        <v>6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348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851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view="pageBreakPreview" zoomScale="60" zoomScaleNormal="100" workbookViewId="0">
      <selection activeCell="D7" sqref="D7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1348</v>
      </c>
      <c r="G1" s="70" t="s">
        <v>1349</v>
      </c>
    </row>
    <row r="2" spans="1:7" ht="20.149999999999999" customHeight="1" x14ac:dyDescent="0.35">
      <c r="A2" s="1" t="str">
        <f>"Hospital: "&amp;data!C98</f>
        <v>Hospital: Kittitas Valley Healthcare</v>
      </c>
      <c r="G2" s="4" t="s">
        <v>1350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1351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1352</v>
      </c>
      <c r="C5" s="83"/>
      <c r="D5" s="83"/>
      <c r="E5" s="134" t="s">
        <v>363</v>
      </c>
      <c r="F5" s="83"/>
      <c r="G5" s="83"/>
    </row>
    <row r="6" spans="1:7" ht="20.149999999999999" customHeight="1" x14ac:dyDescent="0.35">
      <c r="A6" s="135" t="s">
        <v>1353</v>
      </c>
      <c r="B6" s="88" t="s">
        <v>336</v>
      </c>
      <c r="C6" s="88" t="s">
        <v>1354</v>
      </c>
      <c r="D6" s="88" t="s">
        <v>359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357</v>
      </c>
      <c r="B7" s="136">
        <f>data!B154</f>
        <v>438</v>
      </c>
      <c r="C7" s="136">
        <f>data!B155</f>
        <v>1361</v>
      </c>
      <c r="D7" s="136">
        <f>data!B156</f>
        <v>0</v>
      </c>
      <c r="E7" s="136">
        <f>data!B157</f>
        <v>12916206</v>
      </c>
      <c r="F7" s="136">
        <f>data!B158</f>
        <v>93771280</v>
      </c>
      <c r="G7" s="136">
        <f>data!B157+data!B158</f>
        <v>106687486</v>
      </c>
    </row>
    <row r="8" spans="1:7" ht="20.149999999999999" customHeight="1" x14ac:dyDescent="0.35">
      <c r="A8" s="72" t="s">
        <v>358</v>
      </c>
      <c r="B8" s="136">
        <f>data!C154</f>
        <v>147</v>
      </c>
      <c r="C8" s="136">
        <f>data!C155</f>
        <v>25</v>
      </c>
      <c r="D8" s="136">
        <f>data!C156</f>
        <v>0</v>
      </c>
      <c r="E8" s="136">
        <f>data!C157</f>
        <v>4638813</v>
      </c>
      <c r="F8" s="136">
        <f>data!C158</f>
        <v>38158588</v>
      </c>
      <c r="G8" s="136">
        <f>data!C157+data!C158</f>
        <v>42797401</v>
      </c>
    </row>
    <row r="9" spans="1:7" ht="20.149999999999999" customHeight="1" x14ac:dyDescent="0.35">
      <c r="A9" s="72" t="s">
        <v>1355</v>
      </c>
      <c r="B9" s="136">
        <f>data!D154</f>
        <v>271</v>
      </c>
      <c r="C9" s="136">
        <f>data!D155</f>
        <v>1757</v>
      </c>
      <c r="D9" s="136">
        <f>data!D156</f>
        <v>0</v>
      </c>
      <c r="E9" s="136">
        <f>data!D157</f>
        <v>8330002</v>
      </c>
      <c r="F9" s="136">
        <f>data!D158</f>
        <v>82594507</v>
      </c>
      <c r="G9" s="136">
        <f>data!D157+data!D158</f>
        <v>90924509</v>
      </c>
    </row>
    <row r="10" spans="1:7" ht="20.149999999999999" customHeight="1" x14ac:dyDescent="0.35">
      <c r="A10" s="87" t="s">
        <v>230</v>
      </c>
      <c r="B10" s="136">
        <f>data!E154</f>
        <v>856</v>
      </c>
      <c r="C10" s="136">
        <f>data!E155</f>
        <v>3143</v>
      </c>
      <c r="D10" s="136">
        <f>data!E156</f>
        <v>0</v>
      </c>
      <c r="E10" s="136">
        <f>data!E157</f>
        <v>25885021</v>
      </c>
      <c r="F10" s="136">
        <f>data!E158</f>
        <v>214524375</v>
      </c>
      <c r="G10" s="136">
        <f>E10+F10</f>
        <v>240409396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1356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1352</v>
      </c>
      <c r="C14" s="142"/>
      <c r="D14" s="142"/>
      <c r="E14" s="142" t="s">
        <v>363</v>
      </c>
      <c r="F14" s="142"/>
      <c r="G14" s="142"/>
    </row>
    <row r="15" spans="1:7" ht="20.149999999999999" customHeight="1" x14ac:dyDescent="0.35">
      <c r="A15" s="135" t="s">
        <v>1353</v>
      </c>
      <c r="B15" s="88" t="s">
        <v>336</v>
      </c>
      <c r="C15" s="88" t="s">
        <v>1354</v>
      </c>
      <c r="D15" s="88" t="s">
        <v>359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357</v>
      </c>
      <c r="B16" s="136">
        <f>data!B160</f>
        <v>7</v>
      </c>
      <c r="C16" s="136">
        <f>data!B161</f>
        <v>46</v>
      </c>
      <c r="D16" s="136">
        <f>data!B162</f>
        <v>0</v>
      </c>
      <c r="E16" s="136">
        <f>data!B163</f>
        <v>4388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358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1355</v>
      </c>
      <c r="B18" s="136">
        <f>data!D160</f>
        <v>2</v>
      </c>
      <c r="C18" s="136">
        <f>data!D161</f>
        <v>16</v>
      </c>
      <c r="D18" s="136">
        <f>data!D162</f>
        <v>0</v>
      </c>
      <c r="E18" s="136">
        <f>data!D163</f>
        <v>25837</v>
      </c>
      <c r="F18" s="136">
        <f>data!D164</f>
        <v>0</v>
      </c>
      <c r="G18" s="136">
        <f>data!D163+data!D164</f>
        <v>25837</v>
      </c>
    </row>
    <row r="19" spans="1:7" ht="20.149999999999999" customHeight="1" x14ac:dyDescent="0.35">
      <c r="A19" s="87" t="s">
        <v>230</v>
      </c>
      <c r="B19" s="136">
        <f>data!E160</f>
        <v>9</v>
      </c>
      <c r="C19" s="136">
        <f>data!E161</f>
        <v>62</v>
      </c>
      <c r="D19" s="136">
        <f>data!E162</f>
        <v>0</v>
      </c>
      <c r="E19" s="136">
        <f>data!E163</f>
        <v>30225</v>
      </c>
      <c r="F19" s="136">
        <f>data!E164</f>
        <v>0</v>
      </c>
      <c r="G19" s="136">
        <f>data!E163+data!E164</f>
        <v>30225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1357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1352</v>
      </c>
      <c r="C23" s="83"/>
      <c r="D23" s="83"/>
      <c r="E23" s="83" t="s">
        <v>363</v>
      </c>
      <c r="F23" s="83"/>
      <c r="G23" s="83"/>
    </row>
    <row r="24" spans="1:7" ht="20.149999999999999" customHeight="1" x14ac:dyDescent="0.35">
      <c r="A24" s="135" t="s">
        <v>1353</v>
      </c>
      <c r="B24" s="88" t="s">
        <v>336</v>
      </c>
      <c r="C24" s="88" t="s">
        <v>1354</v>
      </c>
      <c r="D24" s="88" t="s">
        <v>359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357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358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1355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1358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1359</v>
      </c>
      <c r="C32" s="148">
        <f>data!B173</f>
        <v>11268917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1360</v>
      </c>
      <c r="C33" s="144">
        <f>data!C173</f>
        <v>8242807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view="pageBreakPreview" zoomScale="60" zoomScaleNormal="100"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366</v>
      </c>
      <c r="B1" s="71"/>
      <c r="C1" s="70" t="s">
        <v>852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Kittitas Valley Healthcare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367</v>
      </c>
      <c r="C5" s="132"/>
    </row>
    <row r="6" spans="1:3" ht="20.149999999999999" customHeight="1" x14ac:dyDescent="0.35">
      <c r="A6" s="152">
        <v>2</v>
      </c>
      <c r="B6" s="73" t="s">
        <v>853</v>
      </c>
      <c r="C6" s="72">
        <f>data!C181</f>
        <v>4104312</v>
      </c>
    </row>
    <row r="7" spans="1:3" ht="20.149999999999999" customHeight="1" x14ac:dyDescent="0.35">
      <c r="A7" s="153">
        <v>3</v>
      </c>
      <c r="B7" s="92" t="s">
        <v>369</v>
      </c>
      <c r="C7" s="72">
        <f>data!C182</f>
        <v>39459</v>
      </c>
    </row>
    <row r="8" spans="1:3" ht="20.149999999999999" customHeight="1" x14ac:dyDescent="0.35">
      <c r="A8" s="153">
        <v>4</v>
      </c>
      <c r="B8" s="73" t="s">
        <v>370</v>
      </c>
      <c r="C8" s="72">
        <f>data!C183</f>
        <v>502104</v>
      </c>
    </row>
    <row r="9" spans="1:3" ht="20.149999999999999" customHeight="1" x14ac:dyDescent="0.35">
      <c r="A9" s="153">
        <v>5</v>
      </c>
      <c r="B9" s="73" t="s">
        <v>371</v>
      </c>
      <c r="C9" s="72">
        <f>data!C184</f>
        <v>5998844</v>
      </c>
    </row>
    <row r="10" spans="1:3" ht="20.149999999999999" customHeight="1" x14ac:dyDescent="0.35">
      <c r="A10" s="153">
        <v>6</v>
      </c>
      <c r="B10" s="73" t="s">
        <v>372</v>
      </c>
      <c r="C10" s="72">
        <f>data!C185</f>
        <v>54819</v>
      </c>
    </row>
    <row r="11" spans="1:3" ht="20.149999999999999" customHeight="1" x14ac:dyDescent="0.35">
      <c r="A11" s="153">
        <v>7</v>
      </c>
      <c r="B11" s="73" t="s">
        <v>373</v>
      </c>
      <c r="C11" s="72">
        <f>data!C186</f>
        <v>3406511</v>
      </c>
    </row>
    <row r="12" spans="1:3" ht="20.149999999999999" customHeight="1" x14ac:dyDescent="0.35">
      <c r="A12" s="153">
        <v>8</v>
      </c>
      <c r="B12" s="73" t="s">
        <v>374</v>
      </c>
      <c r="C12" s="72">
        <f>data!C187</f>
        <v>855943</v>
      </c>
    </row>
    <row r="13" spans="1:3" ht="20.149999999999999" customHeight="1" x14ac:dyDescent="0.35">
      <c r="A13" s="153">
        <v>9</v>
      </c>
      <c r="B13" s="73" t="s">
        <v>374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854</v>
      </c>
      <c r="C14" s="72">
        <f>data!D189</f>
        <v>14961992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375</v>
      </c>
      <c r="C17" s="86"/>
    </row>
    <row r="18" spans="1:3" ht="20.149999999999999" customHeight="1" x14ac:dyDescent="0.35">
      <c r="A18" s="72">
        <v>12</v>
      </c>
      <c r="B18" s="73" t="s">
        <v>855</v>
      </c>
      <c r="C18" s="72">
        <f>data!C191</f>
        <v>15463</v>
      </c>
    </row>
    <row r="19" spans="1:3" ht="20.149999999999999" customHeight="1" x14ac:dyDescent="0.35">
      <c r="A19" s="72">
        <v>13</v>
      </c>
      <c r="B19" s="73" t="s">
        <v>856</v>
      </c>
      <c r="C19" s="72">
        <f>data!C192</f>
        <v>212230</v>
      </c>
    </row>
    <row r="20" spans="1:3" ht="20.149999999999999" customHeight="1" x14ac:dyDescent="0.35">
      <c r="A20" s="72">
        <v>14</v>
      </c>
      <c r="B20" s="73" t="s">
        <v>857</v>
      </c>
      <c r="C20" s="72">
        <f>data!D193</f>
        <v>227693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378</v>
      </c>
      <c r="C23" s="132"/>
    </row>
    <row r="24" spans="1:3" ht="20.149999999999999" customHeight="1" x14ac:dyDescent="0.35">
      <c r="A24" s="72">
        <v>16</v>
      </c>
      <c r="B24" s="84" t="s">
        <v>858</v>
      </c>
      <c r="C24" s="157"/>
    </row>
    <row r="25" spans="1:3" ht="20.149999999999999" customHeight="1" x14ac:dyDescent="0.35">
      <c r="A25" s="72">
        <v>17</v>
      </c>
      <c r="B25" s="73" t="s">
        <v>859</v>
      </c>
      <c r="C25" s="72">
        <f>data!C195</f>
        <v>1545048</v>
      </c>
    </row>
    <row r="26" spans="1:3" ht="20.149999999999999" customHeight="1" x14ac:dyDescent="0.35">
      <c r="A26" s="72">
        <v>18</v>
      </c>
      <c r="B26" s="73" t="s">
        <v>380</v>
      </c>
      <c r="C26" s="72">
        <f>data!C196</f>
        <v>548735</v>
      </c>
    </row>
    <row r="27" spans="1:3" ht="20.149999999999999" customHeight="1" x14ac:dyDescent="0.35">
      <c r="A27" s="72">
        <v>19</v>
      </c>
      <c r="B27" s="73" t="s">
        <v>860</v>
      </c>
      <c r="C27" s="72">
        <f>data!D197</f>
        <v>2093783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861</v>
      </c>
      <c r="C30" s="142"/>
    </row>
    <row r="31" spans="1:3" ht="20.149999999999999" customHeight="1" x14ac:dyDescent="0.35">
      <c r="A31" s="72">
        <v>21</v>
      </c>
      <c r="B31" s="73" t="s">
        <v>382</v>
      </c>
      <c r="C31" s="72">
        <f>data!C199</f>
        <v>1070406</v>
      </c>
    </row>
    <row r="32" spans="1:3" ht="20.149999999999999" customHeight="1" x14ac:dyDescent="0.35">
      <c r="A32" s="72">
        <v>22</v>
      </c>
      <c r="B32" s="73" t="s">
        <v>862</v>
      </c>
      <c r="C32" s="72">
        <f>data!C200</f>
        <v>0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863</v>
      </c>
      <c r="C34" s="72">
        <f>data!D202</f>
        <v>1070406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384</v>
      </c>
      <c r="C37" s="132"/>
    </row>
    <row r="38" spans="1:3" ht="20.149999999999999" customHeight="1" x14ac:dyDescent="0.35">
      <c r="A38" s="72">
        <v>26</v>
      </c>
      <c r="B38" s="73" t="s">
        <v>864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386</v>
      </c>
      <c r="C39" s="72">
        <f>data!C205</f>
        <v>1428448</v>
      </c>
    </row>
    <row r="40" spans="1:3" ht="20.149999999999999" customHeight="1" x14ac:dyDescent="0.35">
      <c r="A40" s="72">
        <v>28</v>
      </c>
      <c r="B40" s="73" t="s">
        <v>865</v>
      </c>
      <c r="C40" s="72">
        <f>data!D206</f>
        <v>1428448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view="pageBreakPreview" topLeftCell="A4" zoomScale="60" zoomScaleNormal="100" workbookViewId="0">
      <selection activeCell="F33" sqref="F33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387</v>
      </c>
      <c r="B1" s="71"/>
      <c r="C1" s="71"/>
      <c r="D1" s="71"/>
      <c r="E1" s="71"/>
      <c r="F1" s="70" t="s">
        <v>866</v>
      </c>
    </row>
    <row r="3" spans="1:6" ht="20.149999999999999" customHeight="1" x14ac:dyDescent="0.35">
      <c r="A3" s="129" t="str">
        <f>"Hospital: "&amp;data!C98</f>
        <v>Hospital: Kittitas Valley Healthcare</v>
      </c>
      <c r="F3" s="151" t="str">
        <f>"FYE: "&amp;data!C96</f>
        <v>FYE: 12/31/2023</v>
      </c>
    </row>
    <row r="4" spans="1:6" ht="20.149999999999999" customHeight="1" x14ac:dyDescent="0.35">
      <c r="A4" s="157" t="s">
        <v>388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867</v>
      </c>
      <c r="D5" s="160"/>
      <c r="E5" s="160"/>
      <c r="F5" s="160" t="s">
        <v>868</v>
      </c>
    </row>
    <row r="6" spans="1:6" ht="20.149999999999999" customHeight="1" x14ac:dyDescent="0.35">
      <c r="A6" s="161"/>
      <c r="B6" s="79"/>
      <c r="C6" s="162" t="s">
        <v>869</v>
      </c>
      <c r="D6" s="162" t="s">
        <v>390</v>
      </c>
      <c r="E6" s="162" t="s">
        <v>870</v>
      </c>
      <c r="F6" s="162" t="s">
        <v>869</v>
      </c>
    </row>
    <row r="7" spans="1:6" ht="20.149999999999999" customHeight="1" x14ac:dyDescent="0.35">
      <c r="A7" s="72">
        <v>1</v>
      </c>
      <c r="B7" s="76" t="s">
        <v>393</v>
      </c>
      <c r="C7" s="76">
        <f>data!B211</f>
        <v>3212912</v>
      </c>
      <c r="D7" s="76">
        <f>data!C211</f>
        <v>121426</v>
      </c>
      <c r="E7" s="76">
        <f>data!D211</f>
        <v>0</v>
      </c>
      <c r="F7" s="76">
        <f>data!E211</f>
        <v>3334338</v>
      </c>
    </row>
    <row r="8" spans="1:6" ht="20.149999999999999" customHeight="1" x14ac:dyDescent="0.35">
      <c r="A8" s="72">
        <v>2</v>
      </c>
      <c r="B8" s="76" t="s">
        <v>394</v>
      </c>
      <c r="C8" s="76">
        <f>data!B212</f>
        <v>211345</v>
      </c>
      <c r="D8" s="76">
        <f>data!C212</f>
        <v>841418</v>
      </c>
      <c r="E8" s="76">
        <f>data!D212</f>
        <v>0</v>
      </c>
      <c r="F8" s="76">
        <f>data!E212</f>
        <v>1052763</v>
      </c>
    </row>
    <row r="9" spans="1:6" ht="20.149999999999999" customHeight="1" x14ac:dyDescent="0.35">
      <c r="A9" s="72">
        <v>3</v>
      </c>
      <c r="B9" s="76" t="s">
        <v>395</v>
      </c>
      <c r="C9" s="76">
        <f>data!B213</f>
        <v>48482067</v>
      </c>
      <c r="D9" s="76">
        <f>data!C213</f>
        <v>3218374</v>
      </c>
      <c r="E9" s="76">
        <f>data!D213</f>
        <v>0</v>
      </c>
      <c r="F9" s="76">
        <f>data!E213</f>
        <v>51700441</v>
      </c>
    </row>
    <row r="10" spans="1:6" ht="20.149999999999999" customHeight="1" x14ac:dyDescent="0.35">
      <c r="A10" s="72">
        <v>4</v>
      </c>
      <c r="B10" s="76" t="s">
        <v>871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872</v>
      </c>
      <c r="C11" s="76">
        <f>data!B215</f>
        <v>6980569</v>
      </c>
      <c r="D11" s="76">
        <f>data!C215</f>
        <v>2591573</v>
      </c>
      <c r="E11" s="76">
        <f>data!D215</f>
        <v>0</v>
      </c>
      <c r="F11" s="76">
        <f>data!E215</f>
        <v>9572142</v>
      </c>
    </row>
    <row r="12" spans="1:6" ht="20.149999999999999" customHeight="1" x14ac:dyDescent="0.35">
      <c r="A12" s="72">
        <v>6</v>
      </c>
      <c r="B12" s="76" t="s">
        <v>873</v>
      </c>
      <c r="C12" s="76">
        <f>data!B216</f>
        <v>33367301</v>
      </c>
      <c r="D12" s="76">
        <f>data!C216</f>
        <v>3048992</v>
      </c>
      <c r="E12" s="76">
        <f>data!D216</f>
        <v>749060</v>
      </c>
      <c r="F12" s="76">
        <f>data!E216</f>
        <v>35667233</v>
      </c>
    </row>
    <row r="13" spans="1:6" ht="20.149999999999999" customHeight="1" x14ac:dyDescent="0.35">
      <c r="A13" s="72">
        <v>7</v>
      </c>
      <c r="B13" s="76" t="s">
        <v>874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400</v>
      </c>
      <c r="C14" s="76">
        <f>data!B218</f>
        <v>5716029</v>
      </c>
      <c r="D14" s="76">
        <f>data!C218</f>
        <v>5170103</v>
      </c>
      <c r="E14" s="76">
        <f>data!D218</f>
        <v>1205267</v>
      </c>
      <c r="F14" s="76">
        <f>data!E218</f>
        <v>9680865</v>
      </c>
    </row>
    <row r="15" spans="1:6" ht="20.149999999999999" customHeight="1" x14ac:dyDescent="0.35">
      <c r="A15" s="72">
        <v>9</v>
      </c>
      <c r="B15" s="76" t="s">
        <v>875</v>
      </c>
      <c r="C15" s="76">
        <f>data!B219</f>
        <v>8119115</v>
      </c>
      <c r="D15" s="76">
        <f>data!C219</f>
        <v>15538109</v>
      </c>
      <c r="E15" s="76">
        <f>data!D219</f>
        <v>6987944</v>
      </c>
      <c r="F15" s="76">
        <f>data!E219</f>
        <v>16669280</v>
      </c>
    </row>
    <row r="16" spans="1:6" ht="20.149999999999999" customHeight="1" x14ac:dyDescent="0.35">
      <c r="A16" s="72">
        <v>10</v>
      </c>
      <c r="B16" s="76" t="s">
        <v>614</v>
      </c>
      <c r="C16" s="76">
        <f>data!B220</f>
        <v>106089338</v>
      </c>
      <c r="D16" s="76">
        <f>data!C220</f>
        <v>30529995</v>
      </c>
      <c r="E16" s="76">
        <f>data!D220</f>
        <v>8942271</v>
      </c>
      <c r="F16" s="76">
        <f>data!E220</f>
        <v>127677062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402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867</v>
      </c>
      <c r="D21" s="4" t="s">
        <v>230</v>
      </c>
      <c r="E21" s="162"/>
      <c r="F21" s="162" t="s">
        <v>868</v>
      </c>
    </row>
    <row r="22" spans="1:6" ht="20.149999999999999" customHeight="1" x14ac:dyDescent="0.35">
      <c r="A22" s="163"/>
      <c r="B22" s="155"/>
      <c r="C22" s="162" t="s">
        <v>869</v>
      </c>
      <c r="D22" s="162" t="s">
        <v>876</v>
      </c>
      <c r="E22" s="162" t="s">
        <v>870</v>
      </c>
      <c r="F22" s="162" t="s">
        <v>869</v>
      </c>
    </row>
    <row r="23" spans="1:6" ht="20.149999999999999" customHeight="1" x14ac:dyDescent="0.35">
      <c r="A23" s="72">
        <v>11</v>
      </c>
      <c r="B23" s="164" t="s">
        <v>393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394</v>
      </c>
      <c r="C24" s="76">
        <f>data!B225</f>
        <v>220006</v>
      </c>
      <c r="D24" s="76">
        <f>data!C225</f>
        <v>48288</v>
      </c>
      <c r="E24" s="76">
        <f>data!D225</f>
        <v>0</v>
      </c>
      <c r="F24" s="76">
        <f>data!E225</f>
        <v>268294</v>
      </c>
    </row>
    <row r="25" spans="1:6" ht="20.149999999999999" customHeight="1" x14ac:dyDescent="0.35">
      <c r="A25" s="72">
        <v>13</v>
      </c>
      <c r="B25" s="76" t="s">
        <v>395</v>
      </c>
      <c r="C25" s="76">
        <f>data!B226</f>
        <v>22210502</v>
      </c>
      <c r="D25" s="76">
        <f>data!C226</f>
        <v>2593651</v>
      </c>
      <c r="E25" s="76">
        <f>data!D226</f>
        <v>0</v>
      </c>
      <c r="F25" s="76">
        <f>data!E226</f>
        <v>24804153</v>
      </c>
    </row>
    <row r="26" spans="1:6" ht="20.149999999999999" customHeight="1" x14ac:dyDescent="0.35">
      <c r="A26" s="72">
        <v>14</v>
      </c>
      <c r="B26" s="76" t="s">
        <v>871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872</v>
      </c>
      <c r="C27" s="76">
        <f>data!B228</f>
        <v>4691980</v>
      </c>
      <c r="D27" s="76">
        <f>data!C228</f>
        <v>412734</v>
      </c>
      <c r="E27" s="76">
        <f>data!D228</f>
        <v>0</v>
      </c>
      <c r="F27" s="76">
        <f>data!E228</f>
        <v>5104714</v>
      </c>
    </row>
    <row r="28" spans="1:6" ht="20.149999999999999" customHeight="1" x14ac:dyDescent="0.35">
      <c r="A28" s="72">
        <v>16</v>
      </c>
      <c r="B28" s="76" t="s">
        <v>873</v>
      </c>
      <c r="C28" s="76">
        <f>data!B229</f>
        <v>25516990</v>
      </c>
      <c r="D28" s="76">
        <f>data!C229</f>
        <v>2523748</v>
      </c>
      <c r="E28" s="76">
        <f>data!D229</f>
        <v>748949</v>
      </c>
      <c r="F28" s="76">
        <f>data!E229</f>
        <v>27291789</v>
      </c>
    </row>
    <row r="29" spans="1:6" ht="20.149999999999999" customHeight="1" x14ac:dyDescent="0.35">
      <c r="A29" s="72">
        <v>17</v>
      </c>
      <c r="B29" s="76" t="s">
        <v>874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400</v>
      </c>
      <c r="C30" s="76">
        <f>data!B231</f>
        <v>1225541</v>
      </c>
      <c r="D30" s="76">
        <f>data!C231</f>
        <v>1636095</v>
      </c>
      <c r="E30" s="76">
        <f>data!D231</f>
        <v>1032620</v>
      </c>
      <c r="F30" s="76">
        <f>data!E231</f>
        <v>1829016</v>
      </c>
    </row>
    <row r="31" spans="1:6" ht="20.149999999999999" customHeight="1" x14ac:dyDescent="0.35">
      <c r="A31" s="72">
        <v>19</v>
      </c>
      <c r="B31" s="76" t="s">
        <v>875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614</v>
      </c>
      <c r="C32" s="76">
        <f>data!B233</f>
        <v>53865019</v>
      </c>
      <c r="D32" s="76">
        <f>data!C233</f>
        <v>7214516</v>
      </c>
      <c r="E32" s="76">
        <f>data!D233</f>
        <v>1781569</v>
      </c>
      <c r="F32" s="76">
        <f>data!E233</f>
        <v>59297966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view="pageBreakPreview" zoomScale="60" zoomScaleNormal="100" workbookViewId="0">
      <selection activeCell="D22" activeCellId="2" sqref="D5 D13 D22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877</v>
      </c>
      <c r="B1" s="71"/>
      <c r="C1" s="71"/>
      <c r="D1" s="70" t="s">
        <v>878</v>
      </c>
    </row>
    <row r="2" spans="1:4" ht="20.149999999999999" customHeight="1" x14ac:dyDescent="0.35">
      <c r="A2" s="129" t="str">
        <f>"Hospital: "&amp;data!C98</f>
        <v>Hospital: Kittitas Valley Healthcare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879</v>
      </c>
      <c r="C4" s="165" t="s">
        <v>880</v>
      </c>
      <c r="D4" s="166"/>
    </row>
    <row r="5" spans="1:4" ht="20.149999999999999" customHeight="1" x14ac:dyDescent="0.35">
      <c r="A5" s="133">
        <v>1</v>
      </c>
      <c r="B5" s="167"/>
      <c r="C5" s="89" t="s">
        <v>404</v>
      </c>
      <c r="D5" s="76">
        <f>data!D237</f>
        <v>5541525</v>
      </c>
    </row>
    <row r="6" spans="1:4" ht="20.149999999999999" customHeight="1" x14ac:dyDescent="0.35">
      <c r="A6" s="72">
        <v>2</v>
      </c>
      <c r="B6" s="78"/>
      <c r="C6" s="151" t="s">
        <v>500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357</v>
      </c>
      <c r="D7" s="76">
        <f>data!C239</f>
        <v>46007652</v>
      </c>
    </row>
    <row r="8" spans="1:4" ht="20.149999999999999" customHeight="1" x14ac:dyDescent="0.35">
      <c r="A8" s="72">
        <v>4</v>
      </c>
      <c r="B8" s="167">
        <v>5820</v>
      </c>
      <c r="C8" s="76" t="s">
        <v>358</v>
      </c>
      <c r="D8" s="76">
        <f>data!C240</f>
        <v>18466230</v>
      </c>
    </row>
    <row r="9" spans="1:4" ht="20.149999999999999" customHeight="1" x14ac:dyDescent="0.35">
      <c r="A9" s="72">
        <v>5</v>
      </c>
      <c r="B9" s="167">
        <v>5830</v>
      </c>
      <c r="C9" s="76" t="s">
        <v>370</v>
      </c>
      <c r="D9" s="76">
        <f>data!C241</f>
        <v>0</v>
      </c>
    </row>
    <row r="10" spans="1:4" ht="20.149999999999999" customHeight="1" x14ac:dyDescent="0.35">
      <c r="A10" s="72">
        <v>6</v>
      </c>
      <c r="B10" s="167">
        <v>5840</v>
      </c>
      <c r="C10" s="76" t="s">
        <v>409</v>
      </c>
      <c r="D10" s="76">
        <f>data!C242</f>
        <v>0</v>
      </c>
    </row>
    <row r="11" spans="1:4" ht="20.149999999999999" customHeight="1" x14ac:dyDescent="0.35">
      <c r="A11" s="72">
        <v>7</v>
      </c>
      <c r="B11" s="167">
        <v>5850</v>
      </c>
      <c r="C11" s="76" t="s">
        <v>881</v>
      </c>
      <c r="D11" s="76">
        <f>data!C243</f>
        <v>0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39208452</v>
      </c>
    </row>
    <row r="13" spans="1:4" ht="20.149999999999999" customHeight="1" x14ac:dyDescent="0.35">
      <c r="A13" s="72">
        <v>9</v>
      </c>
      <c r="B13" s="76"/>
      <c r="C13" s="76" t="s">
        <v>882</v>
      </c>
      <c r="D13" s="76">
        <f>data!D245</f>
        <v>103682334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413</v>
      </c>
      <c r="D15" s="162"/>
    </row>
    <row r="16" spans="1:4" ht="20.149999999999999" customHeight="1" x14ac:dyDescent="0.35">
      <c r="A16" s="161">
        <v>12</v>
      </c>
      <c r="B16" s="88"/>
      <c r="C16" s="73" t="s">
        <v>883</v>
      </c>
      <c r="D16" s="72">
        <f>data!C247</f>
        <v>490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415</v>
      </c>
      <c r="D18" s="76">
        <f>data!C249</f>
        <v>225805</v>
      </c>
    </row>
    <row r="19" spans="1:4" ht="20.149999999999999" customHeight="1" x14ac:dyDescent="0.35">
      <c r="A19" s="170">
        <v>15</v>
      </c>
      <c r="B19" s="167">
        <v>5910</v>
      </c>
      <c r="C19" s="89" t="s">
        <v>884</v>
      </c>
      <c r="D19" s="76">
        <f>data!C250</f>
        <v>1869094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885</v>
      </c>
      <c r="D22" s="76">
        <f>data!D252</f>
        <v>2094899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419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886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887</v>
      </c>
      <c r="C27" s="88"/>
      <c r="D27" s="76">
        <f>data!D258</f>
        <v>111318758</v>
      </c>
    </row>
    <row r="28" spans="1:4" ht="20.149999999999999" customHeight="1" x14ac:dyDescent="0.35">
      <c r="A28" s="81">
        <v>24</v>
      </c>
      <c r="B28" s="147" t="s">
        <v>888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2023-06-16T00:15:48Z</cp:lastPrinted>
  <dcterms:created xsi:type="dcterms:W3CDTF">1999-06-02T22:01:56Z</dcterms:created>
  <dcterms:modified xsi:type="dcterms:W3CDTF">2024-07-10T16:29:54Z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000000K7VN20240625230908.xlsx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