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F940A464-E991-4542-B3A8-40C07DF32864}" xr6:coauthVersionLast="47" xr6:coauthVersionMax="47" xr10:uidLastSave="{00000000-0000-0000-0000-000000000000}"/>
  <workbookProtection workbookAlgorithmName="SHA-512" workbookHashValue="S/Q7xc+jm1JKWFbnRyO2rOyRpYl9BhXDiYco8/gpFtyalMfJLSr1Ev70qxyI7pT9Dwn8vRQ9Mkuge8c57SjkhQ==" workbookSaltValue="6c6DWnivE2Tt5scYiK781Q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data!$A$95:$E$424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'Prior Year'!$A$95:$E$424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33" l="1"/>
  <c r="D29" i="33"/>
  <c r="D21" i="33"/>
  <c r="D16" i="33"/>
  <c r="AG88" i="24"/>
  <c r="AG87" i="24"/>
  <c r="CE88" i="24"/>
  <c r="I377" i="32" s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L612" i="34"/>
  <c r="D420" i="34"/>
  <c r="F420" i="34" s="1"/>
  <c r="D415" i="34"/>
  <c r="D416" i="34" s="1"/>
  <c r="E414" i="34" s="1"/>
  <c r="D381" i="34"/>
  <c r="D383" i="34" s="1"/>
  <c r="D366" i="34"/>
  <c r="D360" i="34"/>
  <c r="D340" i="34"/>
  <c r="D339" i="34"/>
  <c r="D341" i="34" s="1"/>
  <c r="D329" i="34"/>
  <c r="D324" i="34"/>
  <c r="D306" i="34"/>
  <c r="D299" i="34"/>
  <c r="D291" i="34"/>
  <c r="D293" i="34" s="1"/>
  <c r="D281" i="34"/>
  <c r="D276" i="34"/>
  <c r="D308" i="34" s="1"/>
  <c r="D256" i="34"/>
  <c r="D252" i="34"/>
  <c r="D245" i="34"/>
  <c r="D258" i="34" s="1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E233" i="34" s="1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E220" i="34" s="1"/>
  <c r="F234" i="34" s="1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CF93" i="34"/>
  <c r="CE93" i="34"/>
  <c r="J612" i="34" s="1"/>
  <c r="CE92" i="34"/>
  <c r="I612" i="34" s="1"/>
  <c r="CE91" i="34"/>
  <c r="CF91" i="34" s="1"/>
  <c r="CE90" i="34"/>
  <c r="CF90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62" i="34" s="1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20" i="8" s="1"/>
  <c r="C117" i="8"/>
  <c r="C116" i="8"/>
  <c r="C112" i="8"/>
  <c r="C111" i="8"/>
  <c r="C113" i="8" s="1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F31" i="6" s="1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F12" i="6" s="1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5" i="3"/>
  <c r="F4" i="3"/>
  <c r="B4" i="3"/>
  <c r="D36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19" i="27"/>
  <c r="E18" i="27"/>
  <c r="E17" i="27"/>
  <c r="D420" i="24"/>
  <c r="D415" i="24"/>
  <c r="CP2" i="30" s="1"/>
  <c r="D381" i="24"/>
  <c r="BQ2" i="30" s="1"/>
  <c r="D366" i="24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D276" i="24"/>
  <c r="C16" i="8" s="1"/>
  <c r="D256" i="24"/>
  <c r="D252" i="24"/>
  <c r="D22" i="7" s="1"/>
  <c r="D245" i="24"/>
  <c r="D13" i="7" s="1"/>
  <c r="D237" i="24"/>
  <c r="D233" i="24"/>
  <c r="C233" i="24"/>
  <c r="B233" i="24"/>
  <c r="E232" i="24"/>
  <c r="E231" i="24"/>
  <c r="E230" i="24"/>
  <c r="E229" i="24"/>
  <c r="E228" i="24"/>
  <c r="E227" i="24"/>
  <c r="E226" i="24"/>
  <c r="E225" i="24"/>
  <c r="D220" i="24"/>
  <c r="E16" i="6" s="1"/>
  <c r="C220" i="24"/>
  <c r="D16" i="6" s="1"/>
  <c r="B220" i="24"/>
  <c r="E219" i="24"/>
  <c r="E218" i="24"/>
  <c r="E217" i="24"/>
  <c r="E216" i="24"/>
  <c r="E215" i="24"/>
  <c r="E214" i="24"/>
  <c r="E213" i="24"/>
  <c r="E212" i="24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AE18" i="31" s="1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O62" i="31" s="1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O24" i="31" s="1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O4" i="31" s="1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K2" i="30" s="1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H65" i="31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E32" i="6" l="1"/>
  <c r="F7" i="6"/>
  <c r="F29" i="6"/>
  <c r="F27" i="6"/>
  <c r="F25" i="6"/>
  <c r="F13" i="6"/>
  <c r="F14" i="6"/>
  <c r="F10" i="6"/>
  <c r="F26" i="6"/>
  <c r="F28" i="6"/>
  <c r="F30" i="6"/>
  <c r="F9" i="6"/>
  <c r="F15" i="6"/>
  <c r="F11" i="6"/>
  <c r="C32" i="6"/>
  <c r="E233" i="24"/>
  <c r="F24" i="6"/>
  <c r="E220" i="24"/>
  <c r="C89" i="24"/>
  <c r="CE89" i="24" s="1"/>
  <c r="E380" i="34"/>
  <c r="C121" i="8"/>
  <c r="D350" i="34"/>
  <c r="C33" i="8"/>
  <c r="C35" i="8" s="1"/>
  <c r="G19" i="4"/>
  <c r="Y85" i="34"/>
  <c r="C690" i="34" s="1"/>
  <c r="BE85" i="34"/>
  <c r="C614" i="34" s="1"/>
  <c r="BU85" i="34"/>
  <c r="C641" i="34" s="1"/>
  <c r="K85" i="34"/>
  <c r="C676" i="34" s="1"/>
  <c r="AA85" i="34"/>
  <c r="C692" i="34" s="1"/>
  <c r="BG85" i="34"/>
  <c r="C618" i="34" s="1"/>
  <c r="O85" i="34"/>
  <c r="C680" i="34" s="1"/>
  <c r="AE85" i="34"/>
  <c r="C696" i="34" s="1"/>
  <c r="AU85" i="34"/>
  <c r="C712" i="34" s="1"/>
  <c r="BK85" i="34"/>
  <c r="C635" i="34" s="1"/>
  <c r="CA85" i="34"/>
  <c r="C647" i="34" s="1"/>
  <c r="AQ85" i="34"/>
  <c r="C708" i="34" s="1"/>
  <c r="AO85" i="34"/>
  <c r="C706" i="34" s="1"/>
  <c r="P85" i="34"/>
  <c r="C681" i="34" s="1"/>
  <c r="AF85" i="34"/>
  <c r="B44" i="15" s="1"/>
  <c r="AV85" i="34"/>
  <c r="C713" i="34" s="1"/>
  <c r="BL85" i="34"/>
  <c r="C637" i="34" s="1"/>
  <c r="CB85" i="34"/>
  <c r="C622" i="34" s="1"/>
  <c r="E90" i="32"/>
  <c r="CF91" i="24"/>
  <c r="BW85" i="34"/>
  <c r="C643" i="34" s="1"/>
  <c r="Q85" i="34"/>
  <c r="C682" i="34" s="1"/>
  <c r="AG85" i="34"/>
  <c r="C698" i="34" s="1"/>
  <c r="AW85" i="34"/>
  <c r="C631" i="34" s="1"/>
  <c r="BM85" i="34"/>
  <c r="B77" i="15" s="1"/>
  <c r="CC85" i="34"/>
  <c r="B93" i="15" s="1"/>
  <c r="I85" i="34"/>
  <c r="C674" i="34" s="1"/>
  <c r="D612" i="24"/>
  <c r="G612" i="24"/>
  <c r="BA85" i="34"/>
  <c r="C630" i="34" s="1"/>
  <c r="CF90" i="24"/>
  <c r="D612" i="34"/>
  <c r="CE69" i="24"/>
  <c r="I371" i="32" s="1"/>
  <c r="CE69" i="34"/>
  <c r="S85" i="34"/>
  <c r="AI85" i="34"/>
  <c r="C700" i="34" s="1"/>
  <c r="AY85" i="34"/>
  <c r="BO85" i="34"/>
  <c r="C627" i="34" s="1"/>
  <c r="D85" i="34"/>
  <c r="C669" i="34" s="1"/>
  <c r="N85" i="34"/>
  <c r="C679" i="34" s="1"/>
  <c r="AD85" i="34"/>
  <c r="C695" i="34" s="1"/>
  <c r="AT85" i="34"/>
  <c r="C711" i="34" s="1"/>
  <c r="BJ85" i="34"/>
  <c r="B74" i="15" s="1"/>
  <c r="BZ85" i="34"/>
  <c r="C646" i="34" s="1"/>
  <c r="R85" i="34"/>
  <c r="B30" i="15" s="1"/>
  <c r="F30" i="15" s="1"/>
  <c r="AH85" i="34"/>
  <c r="C699" i="34" s="1"/>
  <c r="AX85" i="34"/>
  <c r="C616" i="34" s="1"/>
  <c r="BN85" i="34"/>
  <c r="B78" i="15" s="1"/>
  <c r="T85" i="34"/>
  <c r="C685" i="34" s="1"/>
  <c r="AJ85" i="34"/>
  <c r="C701" i="34" s="1"/>
  <c r="AZ85" i="34"/>
  <c r="C628" i="34" s="1"/>
  <c r="BP85" i="34"/>
  <c r="C621" i="34" s="1"/>
  <c r="E85" i="34"/>
  <c r="U85" i="34"/>
  <c r="AK85" i="34"/>
  <c r="BQ85" i="34"/>
  <c r="B85" i="15"/>
  <c r="G85" i="34"/>
  <c r="H85" i="34"/>
  <c r="B20" i="15" s="1"/>
  <c r="H20" i="15" s="1"/>
  <c r="I20" i="15" s="1"/>
  <c r="X85" i="34"/>
  <c r="C689" i="34" s="1"/>
  <c r="AN85" i="34"/>
  <c r="C705" i="34" s="1"/>
  <c r="CE48" i="24"/>
  <c r="H612" i="24"/>
  <c r="H5" i="31"/>
  <c r="F12" i="32"/>
  <c r="H21" i="31"/>
  <c r="H76" i="32"/>
  <c r="H37" i="31"/>
  <c r="C172" i="32"/>
  <c r="H53" i="31"/>
  <c r="E236" i="32"/>
  <c r="H69" i="31"/>
  <c r="G300" i="32"/>
  <c r="H6" i="31"/>
  <c r="G12" i="32"/>
  <c r="H22" i="31"/>
  <c r="I76" i="32"/>
  <c r="H38" i="31"/>
  <c r="D172" i="32"/>
  <c r="H54" i="31"/>
  <c r="F236" i="32"/>
  <c r="H70" i="31"/>
  <c r="H300" i="32"/>
  <c r="H39" i="31"/>
  <c r="E172" i="32"/>
  <c r="H9" i="31"/>
  <c r="C44" i="32"/>
  <c r="H25" i="31"/>
  <c r="E108" i="32"/>
  <c r="H41" i="31"/>
  <c r="G172" i="32"/>
  <c r="H57" i="31"/>
  <c r="I236" i="32"/>
  <c r="H73" i="31"/>
  <c r="D332" i="32"/>
  <c r="H26" i="31"/>
  <c r="F108" i="32"/>
  <c r="H58" i="31"/>
  <c r="C268" i="32"/>
  <c r="H23" i="31"/>
  <c r="C108" i="32"/>
  <c r="H10" i="31"/>
  <c r="D44" i="32"/>
  <c r="H42" i="31"/>
  <c r="H172" i="32"/>
  <c r="H74" i="31"/>
  <c r="E332" i="32"/>
  <c r="H11" i="31"/>
  <c r="E44" i="32"/>
  <c r="H27" i="31"/>
  <c r="G108" i="32"/>
  <c r="H43" i="31"/>
  <c r="I172" i="32"/>
  <c r="H59" i="31"/>
  <c r="D268" i="32"/>
  <c r="H75" i="31"/>
  <c r="F332" i="32"/>
  <c r="E373" i="32"/>
  <c r="C94" i="15"/>
  <c r="G94" i="15" s="1"/>
  <c r="H15" i="31"/>
  <c r="I44" i="32"/>
  <c r="H47" i="31"/>
  <c r="F204" i="32"/>
  <c r="H63" i="31"/>
  <c r="H268" i="32"/>
  <c r="H55" i="31"/>
  <c r="G236" i="32"/>
  <c r="H31" i="31"/>
  <c r="D140" i="32"/>
  <c r="H79" i="31"/>
  <c r="C364" i="32"/>
  <c r="H7" i="31"/>
  <c r="H12" i="32"/>
  <c r="H35" i="31"/>
  <c r="H140" i="32"/>
  <c r="H67" i="31"/>
  <c r="E300" i="32"/>
  <c r="H71" i="31"/>
  <c r="I300" i="32"/>
  <c r="H3" i="31"/>
  <c r="D12" i="32"/>
  <c r="H19" i="31"/>
  <c r="F76" i="32"/>
  <c r="H51" i="31"/>
  <c r="C236" i="32"/>
  <c r="H4" i="31"/>
  <c r="E12" i="32"/>
  <c r="H20" i="31"/>
  <c r="G76" i="32"/>
  <c r="H36" i="31"/>
  <c r="I140" i="32"/>
  <c r="D236" i="32"/>
  <c r="H52" i="31"/>
  <c r="H68" i="31"/>
  <c r="F300" i="32"/>
  <c r="H13" i="31"/>
  <c r="G44" i="32"/>
  <c r="H29" i="31"/>
  <c r="I108" i="32"/>
  <c r="H45" i="31"/>
  <c r="D204" i="32"/>
  <c r="H61" i="31"/>
  <c r="F268" i="32"/>
  <c r="H77" i="31"/>
  <c r="H332" i="32"/>
  <c r="O12" i="31"/>
  <c r="F51" i="32"/>
  <c r="O28" i="31"/>
  <c r="H115" i="32"/>
  <c r="O44" i="31"/>
  <c r="C211" i="32"/>
  <c r="O60" i="31"/>
  <c r="E275" i="32"/>
  <c r="O76" i="31"/>
  <c r="G339" i="32"/>
  <c r="I362" i="32"/>
  <c r="C697" i="34"/>
  <c r="B60" i="15"/>
  <c r="H46" i="31"/>
  <c r="E204" i="32"/>
  <c r="O45" i="31"/>
  <c r="D211" i="32"/>
  <c r="F44" i="32"/>
  <c r="H12" i="31"/>
  <c r="H78" i="31"/>
  <c r="I332" i="32"/>
  <c r="O29" i="31"/>
  <c r="I115" i="32"/>
  <c r="O14" i="31"/>
  <c r="H51" i="32"/>
  <c r="O30" i="31"/>
  <c r="C147" i="32"/>
  <c r="O46" i="31"/>
  <c r="E211" i="32"/>
  <c r="O78" i="31"/>
  <c r="I339" i="32"/>
  <c r="AE5" i="31"/>
  <c r="F26" i="32"/>
  <c r="AE21" i="31"/>
  <c r="H90" i="32"/>
  <c r="AE37" i="31"/>
  <c r="C186" i="32"/>
  <c r="I382" i="32"/>
  <c r="I612" i="24"/>
  <c r="AE4" i="31"/>
  <c r="E26" i="32"/>
  <c r="E140" i="32"/>
  <c r="H32" i="31"/>
  <c r="H48" i="31"/>
  <c r="G204" i="32"/>
  <c r="I268" i="32"/>
  <c r="H64" i="31"/>
  <c r="D364" i="32"/>
  <c r="H80" i="31"/>
  <c r="O15" i="31"/>
  <c r="I51" i="32"/>
  <c r="O31" i="31"/>
  <c r="D147" i="32"/>
  <c r="O47" i="31"/>
  <c r="F211" i="32"/>
  <c r="O63" i="31"/>
  <c r="H275" i="32"/>
  <c r="O79" i="31"/>
  <c r="C371" i="32"/>
  <c r="AE6" i="31"/>
  <c r="G26" i="32"/>
  <c r="AE22" i="31"/>
  <c r="I90" i="32"/>
  <c r="AE38" i="31"/>
  <c r="D186" i="32"/>
  <c r="I383" i="32"/>
  <c r="J612" i="24"/>
  <c r="H30" i="31"/>
  <c r="C140" i="32"/>
  <c r="O13" i="31"/>
  <c r="G51" i="32"/>
  <c r="O61" i="31"/>
  <c r="F275" i="32"/>
  <c r="O77" i="31"/>
  <c r="H339" i="32"/>
  <c r="AE20" i="31"/>
  <c r="G90" i="32"/>
  <c r="AE36" i="31"/>
  <c r="I154" i="32"/>
  <c r="C85" i="8"/>
  <c r="D341" i="24"/>
  <c r="C87" i="8" s="1"/>
  <c r="H16" i="31"/>
  <c r="C76" i="32"/>
  <c r="H17" i="31"/>
  <c r="D76" i="32"/>
  <c r="H33" i="31"/>
  <c r="F140" i="32"/>
  <c r="H49" i="31"/>
  <c r="H204" i="32"/>
  <c r="CE62" i="24"/>
  <c r="I364" i="32" s="1"/>
  <c r="AE7" i="31"/>
  <c r="H26" i="32"/>
  <c r="AE23" i="31"/>
  <c r="C122" i="32"/>
  <c r="AE39" i="31"/>
  <c r="E186" i="32"/>
  <c r="G28" i="4"/>
  <c r="E28" i="4"/>
  <c r="O11" i="31"/>
  <c r="E51" i="32"/>
  <c r="I384" i="32"/>
  <c r="L612" i="24"/>
  <c r="H76" i="31"/>
  <c r="G332" i="32"/>
  <c r="O27" i="31"/>
  <c r="G115" i="32"/>
  <c r="O75" i="31"/>
  <c r="F339" i="32"/>
  <c r="B91" i="15"/>
  <c r="CF2" i="28"/>
  <c r="D5" i="7"/>
  <c r="D27" i="7" s="1"/>
  <c r="I366" i="32"/>
  <c r="F612" i="24"/>
  <c r="O2" i="31"/>
  <c r="C19" i="32"/>
  <c r="O18" i="31"/>
  <c r="E83" i="32"/>
  <c r="O34" i="31"/>
  <c r="G147" i="32"/>
  <c r="O50" i="31"/>
  <c r="I211" i="32"/>
  <c r="O66" i="31"/>
  <c r="D307" i="32"/>
  <c r="AE9" i="31"/>
  <c r="C58" i="32"/>
  <c r="AE25" i="31"/>
  <c r="E122" i="32"/>
  <c r="D367" i="24"/>
  <c r="O59" i="31"/>
  <c r="D275" i="32"/>
  <c r="H50" i="31"/>
  <c r="I204" i="32"/>
  <c r="O17" i="31"/>
  <c r="D83" i="32"/>
  <c r="O3" i="31"/>
  <c r="D19" i="32"/>
  <c r="O19" i="31"/>
  <c r="F83" i="32"/>
  <c r="O35" i="31"/>
  <c r="H147" i="32"/>
  <c r="O51" i="31"/>
  <c r="C243" i="32"/>
  <c r="O67" i="31"/>
  <c r="E307" i="32"/>
  <c r="AE10" i="31"/>
  <c r="D58" i="32"/>
  <c r="AE26" i="31"/>
  <c r="F122" i="32"/>
  <c r="AE42" i="31"/>
  <c r="H186" i="32"/>
  <c r="E19" i="32"/>
  <c r="G275" i="32"/>
  <c r="C300" i="32"/>
  <c r="H28" i="31"/>
  <c r="H108" i="32"/>
  <c r="H62" i="31"/>
  <c r="G268" i="32"/>
  <c r="H34" i="31"/>
  <c r="G140" i="32"/>
  <c r="O52" i="31"/>
  <c r="D243" i="32"/>
  <c r="AE27" i="31"/>
  <c r="G122" i="32"/>
  <c r="H60" i="31"/>
  <c r="E268" i="32"/>
  <c r="O43" i="31"/>
  <c r="I179" i="32"/>
  <c r="H66" i="31"/>
  <c r="D300" i="32"/>
  <c r="O65" i="31"/>
  <c r="C307" i="32"/>
  <c r="AE8" i="31"/>
  <c r="I26" i="32"/>
  <c r="O36" i="31"/>
  <c r="I147" i="32"/>
  <c r="O68" i="31"/>
  <c r="F307" i="32"/>
  <c r="AE43" i="31"/>
  <c r="I186" i="32"/>
  <c r="O5" i="31"/>
  <c r="F19" i="32"/>
  <c r="O21" i="31"/>
  <c r="H83" i="32"/>
  <c r="O37" i="31"/>
  <c r="C179" i="32"/>
  <c r="O53" i="31"/>
  <c r="E243" i="32"/>
  <c r="O69" i="31"/>
  <c r="G307" i="32"/>
  <c r="AE12" i="31"/>
  <c r="F58" i="32"/>
  <c r="AE28" i="31"/>
  <c r="H122" i="32"/>
  <c r="AE44" i="31"/>
  <c r="C218" i="32"/>
  <c r="D258" i="24"/>
  <c r="H18" i="31"/>
  <c r="E76" i="32"/>
  <c r="O33" i="31"/>
  <c r="F147" i="32"/>
  <c r="AE40" i="31"/>
  <c r="F186" i="32"/>
  <c r="O20" i="31"/>
  <c r="G83" i="32"/>
  <c r="AE11" i="31"/>
  <c r="E58" i="32"/>
  <c r="O6" i="31"/>
  <c r="G19" i="32"/>
  <c r="O22" i="31"/>
  <c r="I83" i="32"/>
  <c r="G10" i="4"/>
  <c r="F32" i="6"/>
  <c r="H14" i="31"/>
  <c r="H44" i="32"/>
  <c r="H236" i="32"/>
  <c r="H56" i="31"/>
  <c r="O7" i="31"/>
  <c r="H19" i="32"/>
  <c r="AE46" i="31"/>
  <c r="E218" i="32"/>
  <c r="DF2" i="30"/>
  <c r="C170" i="8"/>
  <c r="H44" i="31"/>
  <c r="C204" i="32"/>
  <c r="H24" i="31"/>
  <c r="D108" i="32"/>
  <c r="C332" i="32"/>
  <c r="H72" i="31"/>
  <c r="O23" i="31"/>
  <c r="C115" i="32"/>
  <c r="O71" i="31"/>
  <c r="I307" i="32"/>
  <c r="AE30" i="31"/>
  <c r="C154" i="32"/>
  <c r="O8" i="31"/>
  <c r="I19" i="32"/>
  <c r="O40" i="31"/>
  <c r="F179" i="32"/>
  <c r="O56" i="31"/>
  <c r="H243" i="32"/>
  <c r="O72" i="31"/>
  <c r="C339" i="32"/>
  <c r="AE15" i="31"/>
  <c r="I58" i="32"/>
  <c r="AE31" i="31"/>
  <c r="D154" i="32"/>
  <c r="AE47" i="31"/>
  <c r="F218" i="32"/>
  <c r="F420" i="24"/>
  <c r="D115" i="32"/>
  <c r="O49" i="31"/>
  <c r="H211" i="32"/>
  <c r="AE24" i="31"/>
  <c r="D122" i="32"/>
  <c r="H40" i="31"/>
  <c r="F172" i="32"/>
  <c r="O39" i="31"/>
  <c r="E179" i="32"/>
  <c r="O55" i="31"/>
  <c r="G243" i="32"/>
  <c r="AE14" i="31"/>
  <c r="H58" i="32"/>
  <c r="C22" i="8"/>
  <c r="D308" i="24"/>
  <c r="O9" i="31"/>
  <c r="C51" i="32"/>
  <c r="O25" i="31"/>
  <c r="E115" i="32"/>
  <c r="O41" i="31"/>
  <c r="G179" i="32"/>
  <c r="O57" i="31"/>
  <c r="I243" i="32"/>
  <c r="O73" i="31"/>
  <c r="D339" i="32"/>
  <c r="AE16" i="31"/>
  <c r="C90" i="32"/>
  <c r="AE32" i="31"/>
  <c r="E154" i="32"/>
  <c r="H2" i="31"/>
  <c r="C12" i="32"/>
  <c r="E371" i="32"/>
  <c r="C615" i="24"/>
  <c r="I12" i="32"/>
  <c r="H8" i="31"/>
  <c r="O10" i="31"/>
  <c r="D51" i="32"/>
  <c r="O26" i="31"/>
  <c r="F115" i="32"/>
  <c r="O42" i="31"/>
  <c r="H179" i="32"/>
  <c r="O58" i="31"/>
  <c r="C275" i="32"/>
  <c r="O74" i="31"/>
  <c r="E339" i="32"/>
  <c r="AE17" i="31"/>
  <c r="D90" i="32"/>
  <c r="AE33" i="31"/>
  <c r="F154" i="32"/>
  <c r="AE41" i="31"/>
  <c r="G186" i="32"/>
  <c r="C85" i="34"/>
  <c r="CE62" i="34"/>
  <c r="CE67" i="34"/>
  <c r="O16" i="31"/>
  <c r="C83" i="32"/>
  <c r="O32" i="31"/>
  <c r="E147" i="32"/>
  <c r="O48" i="31"/>
  <c r="G211" i="32"/>
  <c r="O64" i="31"/>
  <c r="I275" i="32"/>
  <c r="O80" i="31"/>
  <c r="D371" i="32"/>
  <c r="AE13" i="31"/>
  <c r="G58" i="32"/>
  <c r="AE29" i="31"/>
  <c r="I122" i="32"/>
  <c r="AE45" i="31"/>
  <c r="D218" i="32"/>
  <c r="W85" i="34"/>
  <c r="AM85" i="34"/>
  <c r="BC85" i="34"/>
  <c r="BS85" i="34"/>
  <c r="C167" i="8"/>
  <c r="D615" i="34"/>
  <c r="D383" i="24"/>
  <c r="E380" i="24" s="1"/>
  <c r="D32" i="6"/>
  <c r="J85" i="34"/>
  <c r="Z85" i="34"/>
  <c r="AP85" i="34"/>
  <c r="BF85" i="34"/>
  <c r="BV85" i="34"/>
  <c r="AE34" i="31"/>
  <c r="G154" i="32"/>
  <c r="C16" i="6"/>
  <c r="O38" i="31"/>
  <c r="D179" i="32"/>
  <c r="O54" i="31"/>
  <c r="F243" i="32"/>
  <c r="O70" i="31"/>
  <c r="H307" i="32"/>
  <c r="AE3" i="31"/>
  <c r="D26" i="32"/>
  <c r="AE19" i="31"/>
  <c r="F90" i="32"/>
  <c r="AE35" i="31"/>
  <c r="H154" i="32"/>
  <c r="C137" i="8"/>
  <c r="C138" i="8" s="1"/>
  <c r="M85" i="34"/>
  <c r="AC85" i="34"/>
  <c r="AS85" i="34"/>
  <c r="BI85" i="34"/>
  <c r="BY85" i="34"/>
  <c r="D416" i="24"/>
  <c r="F8" i="6"/>
  <c r="F309" i="34"/>
  <c r="D352" i="34"/>
  <c r="CE48" i="34"/>
  <c r="L85" i="34"/>
  <c r="AB85" i="34"/>
  <c r="AR85" i="34"/>
  <c r="BH85" i="34"/>
  <c r="BX85" i="34"/>
  <c r="CD85" i="34"/>
  <c r="B94" i="15" s="1"/>
  <c r="G612" i="34"/>
  <c r="CE52" i="34"/>
  <c r="CE89" i="34"/>
  <c r="K612" i="34" s="1"/>
  <c r="D367" i="34"/>
  <c r="D384" i="34" s="1"/>
  <c r="D417" i="34" s="1"/>
  <c r="D421" i="34" s="1"/>
  <c r="D424" i="34" s="1"/>
  <c r="F85" i="34"/>
  <c r="V85" i="34"/>
  <c r="AL85" i="34"/>
  <c r="BB85" i="34"/>
  <c r="BR85" i="34"/>
  <c r="BD85" i="34"/>
  <c r="BT85" i="34"/>
  <c r="F16" i="6" l="1"/>
  <c r="F234" i="24"/>
  <c r="AE2" i="31"/>
  <c r="C26" i="32"/>
  <c r="CD52" i="24"/>
  <c r="CC52" i="24"/>
  <c r="CC67" i="24" s="1"/>
  <c r="BM52" i="24"/>
  <c r="BM67" i="24" s="1"/>
  <c r="AW52" i="24"/>
  <c r="AW67" i="24" s="1"/>
  <c r="AG52" i="24"/>
  <c r="AG67" i="24" s="1"/>
  <c r="Q52" i="24"/>
  <c r="Q67" i="24" s="1"/>
  <c r="BK52" i="24"/>
  <c r="BK67" i="24" s="1"/>
  <c r="AE52" i="24"/>
  <c r="AE67" i="24" s="1"/>
  <c r="AT52" i="24"/>
  <c r="AT67" i="24" s="1"/>
  <c r="AD52" i="24"/>
  <c r="AD67" i="24" s="1"/>
  <c r="J52" i="24"/>
  <c r="J67" i="24" s="1"/>
  <c r="AN52" i="24"/>
  <c r="AN67" i="24" s="1"/>
  <c r="W52" i="24"/>
  <c r="W67" i="24" s="1"/>
  <c r="AL52" i="24"/>
  <c r="AL67" i="24" s="1"/>
  <c r="AZ52" i="24"/>
  <c r="AZ67" i="24" s="1"/>
  <c r="BN52" i="24"/>
  <c r="BN67" i="24" s="1"/>
  <c r="CB52" i="24"/>
  <c r="CB67" i="24" s="1"/>
  <c r="BL52" i="24"/>
  <c r="BL67" i="24" s="1"/>
  <c r="AV52" i="24"/>
  <c r="AV67" i="24" s="1"/>
  <c r="AF52" i="24"/>
  <c r="AF67" i="24" s="1"/>
  <c r="P52" i="24"/>
  <c r="P67" i="24" s="1"/>
  <c r="AU52" i="24"/>
  <c r="AU67" i="24" s="1"/>
  <c r="O52" i="24"/>
  <c r="O67" i="24" s="1"/>
  <c r="BJ52" i="24"/>
  <c r="BJ67" i="24" s="1"/>
  <c r="N52" i="24"/>
  <c r="N67" i="24" s="1"/>
  <c r="Z52" i="24"/>
  <c r="Z67" i="24" s="1"/>
  <c r="BD52" i="24"/>
  <c r="BD67" i="24" s="1"/>
  <c r="G52" i="24"/>
  <c r="G67" i="24" s="1"/>
  <c r="V52" i="24"/>
  <c r="V67" i="24" s="1"/>
  <c r="U52" i="24"/>
  <c r="U67" i="24" s="1"/>
  <c r="T52" i="24"/>
  <c r="T67" i="24" s="1"/>
  <c r="S52" i="24"/>
  <c r="S67" i="24" s="1"/>
  <c r="CA52" i="24"/>
  <c r="CA67" i="24" s="1"/>
  <c r="BA52" i="24"/>
  <c r="BA67" i="24" s="1"/>
  <c r="AY52" i="24"/>
  <c r="AY67" i="24" s="1"/>
  <c r="BZ52" i="24"/>
  <c r="BZ67" i="24" s="1"/>
  <c r="H52" i="24"/>
  <c r="H67" i="24" s="1"/>
  <c r="BB52" i="24"/>
  <c r="BB67" i="24" s="1"/>
  <c r="AJ52" i="24"/>
  <c r="AJ67" i="24" s="1"/>
  <c r="AX52" i="24"/>
  <c r="AX67" i="24" s="1"/>
  <c r="BY52" i="24"/>
  <c r="BY67" i="24" s="1"/>
  <c r="BI52" i="24"/>
  <c r="BI67" i="24" s="1"/>
  <c r="AS52" i="24"/>
  <c r="AS67" i="24" s="1"/>
  <c r="AC52" i="24"/>
  <c r="AC67" i="24" s="1"/>
  <c r="M52" i="24"/>
  <c r="M67" i="24" s="1"/>
  <c r="BH52" i="24"/>
  <c r="BH67" i="24" s="1"/>
  <c r="AR52" i="24"/>
  <c r="AR67" i="24" s="1"/>
  <c r="AB52" i="24"/>
  <c r="AB67" i="24" s="1"/>
  <c r="L52" i="24"/>
  <c r="L67" i="24" s="1"/>
  <c r="BG52" i="24"/>
  <c r="BG67" i="24" s="1"/>
  <c r="AQ52" i="24"/>
  <c r="AQ67" i="24" s="1"/>
  <c r="AA52" i="24"/>
  <c r="AA67" i="24" s="1"/>
  <c r="K52" i="24"/>
  <c r="K67" i="24" s="1"/>
  <c r="BV52" i="24"/>
  <c r="BV67" i="24" s="1"/>
  <c r="BF52" i="24"/>
  <c r="BF67" i="24" s="1"/>
  <c r="Y52" i="24"/>
  <c r="Y67" i="24" s="1"/>
  <c r="X52" i="24"/>
  <c r="X67" i="24" s="1"/>
  <c r="BC52" i="24"/>
  <c r="BC67" i="24" s="1"/>
  <c r="F52" i="24"/>
  <c r="F67" i="24" s="1"/>
  <c r="E52" i="24"/>
  <c r="E67" i="24" s="1"/>
  <c r="D52" i="24"/>
  <c r="D67" i="24" s="1"/>
  <c r="C52" i="24"/>
  <c r="AH52" i="24"/>
  <c r="AH67" i="24" s="1"/>
  <c r="BX52" i="24"/>
  <c r="BX67" i="24" s="1"/>
  <c r="BW52" i="24"/>
  <c r="BW67" i="24" s="1"/>
  <c r="AP52" i="24"/>
  <c r="AP67" i="24" s="1"/>
  <c r="BU52" i="24"/>
  <c r="BU67" i="24" s="1"/>
  <c r="BE52" i="24"/>
  <c r="BE67" i="24" s="1"/>
  <c r="AO52" i="24"/>
  <c r="AO67" i="24" s="1"/>
  <c r="I52" i="24"/>
  <c r="I67" i="24" s="1"/>
  <c r="AM52" i="24"/>
  <c r="AM67" i="24" s="1"/>
  <c r="AK52" i="24"/>
  <c r="AK67" i="24" s="1"/>
  <c r="AI52" i="24"/>
  <c r="AI67" i="24" s="1"/>
  <c r="R52" i="24"/>
  <c r="R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C168" i="8"/>
  <c r="B75" i="15"/>
  <c r="B69" i="15"/>
  <c r="F69" i="15" s="1"/>
  <c r="B37" i="15"/>
  <c r="F37" i="15" s="1"/>
  <c r="B92" i="15"/>
  <c r="B23" i="15"/>
  <c r="H23" i="15" s="1"/>
  <c r="I23" i="15" s="1"/>
  <c r="B28" i="15"/>
  <c r="F28" i="15" s="1"/>
  <c r="C620" i="34"/>
  <c r="B79" i="15"/>
  <c r="C619" i="34"/>
  <c r="B71" i="15"/>
  <c r="C638" i="34"/>
  <c r="B27" i="15"/>
  <c r="F27" i="15" s="1"/>
  <c r="B43" i="15"/>
  <c r="F43" i="15" s="1"/>
  <c r="B39" i="15"/>
  <c r="F39" i="15" s="1"/>
  <c r="B59" i="15"/>
  <c r="F59" i="15" s="1"/>
  <c r="B76" i="15"/>
  <c r="B55" i="15"/>
  <c r="H55" i="15" s="1"/>
  <c r="I55" i="15" s="1"/>
  <c r="B53" i="15"/>
  <c r="H53" i="15" s="1"/>
  <c r="I53" i="15" s="1"/>
  <c r="B47" i="15"/>
  <c r="H47" i="15" s="1"/>
  <c r="I47" i="15" s="1"/>
  <c r="B87" i="15"/>
  <c r="B45" i="15"/>
  <c r="F45" i="15" s="1"/>
  <c r="B46" i="15"/>
  <c r="F46" i="15" s="1"/>
  <c r="B52" i="15"/>
  <c r="H52" i="15" s="1"/>
  <c r="I52" i="15" s="1"/>
  <c r="B36" i="15"/>
  <c r="F36" i="15" s="1"/>
  <c r="B58" i="15"/>
  <c r="F58" i="15" s="1"/>
  <c r="B21" i="15"/>
  <c r="H21" i="15" s="1"/>
  <c r="I21" i="15" s="1"/>
  <c r="B65" i="15"/>
  <c r="F65" i="15" s="1"/>
  <c r="B61" i="15"/>
  <c r="B29" i="15"/>
  <c r="F29" i="15" s="1"/>
  <c r="B90" i="15"/>
  <c r="B26" i="15"/>
  <c r="B62" i="15"/>
  <c r="C617" i="34"/>
  <c r="B42" i="15"/>
  <c r="H42" i="15" s="1"/>
  <c r="I42" i="15" s="1"/>
  <c r="C683" i="34"/>
  <c r="B16" i="15"/>
  <c r="F16" i="15" s="1"/>
  <c r="B48" i="15"/>
  <c r="H48" i="15" s="1"/>
  <c r="I48" i="15" s="1"/>
  <c r="C673" i="34"/>
  <c r="C625" i="34"/>
  <c r="B63" i="15"/>
  <c r="F63" i="15" s="1"/>
  <c r="C684" i="34"/>
  <c r="B31" i="15"/>
  <c r="C672" i="34"/>
  <c r="B19" i="15"/>
  <c r="B32" i="15"/>
  <c r="C623" i="34"/>
  <c r="B81" i="15"/>
  <c r="B64" i="15"/>
  <c r="H64" i="15" s="1"/>
  <c r="I64" i="15" s="1"/>
  <c r="C702" i="34"/>
  <c r="B49" i="15"/>
  <c r="B80" i="15"/>
  <c r="C686" i="34"/>
  <c r="B33" i="15"/>
  <c r="F33" i="15" s="1"/>
  <c r="C670" i="34"/>
  <c r="B17" i="15"/>
  <c r="F17" i="15" s="1"/>
  <c r="F20" i="15"/>
  <c r="C644" i="34"/>
  <c r="B88" i="15"/>
  <c r="C645" i="34"/>
  <c r="B89" i="15"/>
  <c r="C691" i="34"/>
  <c r="B38" i="15"/>
  <c r="D350" i="24"/>
  <c r="C634" i="34"/>
  <c r="B73" i="15"/>
  <c r="C675" i="34"/>
  <c r="B22" i="15"/>
  <c r="H44" i="15"/>
  <c r="I44" i="15" s="1"/>
  <c r="F44" i="15"/>
  <c r="C636" i="34"/>
  <c r="B72" i="15"/>
  <c r="C640" i="34"/>
  <c r="B84" i="15"/>
  <c r="C707" i="34"/>
  <c r="B54" i="15"/>
  <c r="D384" i="24"/>
  <c r="D417" i="24" s="1"/>
  <c r="D421" i="24" s="1"/>
  <c r="D424" i="24" s="1"/>
  <c r="C624" i="34"/>
  <c r="B68" i="15"/>
  <c r="CE85" i="34"/>
  <c r="C716" i="34" s="1"/>
  <c r="C668" i="34"/>
  <c r="B15" i="15"/>
  <c r="D12" i="33"/>
  <c r="C626" i="34"/>
  <c r="B82" i="15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701" i="34"/>
  <c r="D685" i="34"/>
  <c r="D669" i="34"/>
  <c r="D627" i="34"/>
  <c r="D698" i="34"/>
  <c r="D682" i="34"/>
  <c r="D623" i="34"/>
  <c r="D711" i="34"/>
  <c r="D695" i="34"/>
  <c r="D679" i="34"/>
  <c r="D708" i="34"/>
  <c r="D692" i="34"/>
  <c r="D676" i="34"/>
  <c r="D622" i="34"/>
  <c r="D705" i="34"/>
  <c r="D689" i="34"/>
  <c r="D702" i="34"/>
  <c r="D686" i="34"/>
  <c r="D670" i="34"/>
  <c r="D647" i="34"/>
  <c r="D645" i="34"/>
  <c r="D629" i="34"/>
  <c r="D626" i="34"/>
  <c r="D621" i="34"/>
  <c r="D716" i="34"/>
  <c r="D699" i="34"/>
  <c r="D683" i="34"/>
  <c r="D643" i="34"/>
  <c r="D641" i="34"/>
  <c r="D639" i="34"/>
  <c r="D637" i="34"/>
  <c r="D635" i="34"/>
  <c r="D633" i="34"/>
  <c r="D631" i="34"/>
  <c r="D712" i="34"/>
  <c r="D696" i="34"/>
  <c r="D680" i="34"/>
  <c r="D620" i="34"/>
  <c r="D709" i="34"/>
  <c r="D693" i="34"/>
  <c r="D677" i="34"/>
  <c r="D684" i="34"/>
  <c r="D668" i="34"/>
  <c r="D625" i="34"/>
  <c r="D706" i="34"/>
  <c r="D697" i="34"/>
  <c r="D671" i="34"/>
  <c r="D687" i="34"/>
  <c r="D674" i="34"/>
  <c r="D619" i="34"/>
  <c r="D710" i="34"/>
  <c r="D700" i="34"/>
  <c r="D678" i="34"/>
  <c r="D646" i="34"/>
  <c r="D618" i="34"/>
  <c r="D690" i="34"/>
  <c r="D617" i="34"/>
  <c r="D681" i="34"/>
  <c r="D673" i="34"/>
  <c r="D713" i="34"/>
  <c r="D628" i="34"/>
  <c r="D703" i="34"/>
  <c r="D694" i="34"/>
  <c r="C632" i="34"/>
  <c r="B66" i="15"/>
  <c r="C703" i="34"/>
  <c r="B50" i="15"/>
  <c r="C172" i="8"/>
  <c r="C177" i="8" s="1"/>
  <c r="C687" i="34"/>
  <c r="B34" i="15"/>
  <c r="C710" i="34"/>
  <c r="B57" i="15"/>
  <c r="C693" i="34"/>
  <c r="B40" i="15"/>
  <c r="C694" i="34"/>
  <c r="B41" i="15"/>
  <c r="C677" i="34"/>
  <c r="B24" i="15"/>
  <c r="C671" i="34"/>
  <c r="B18" i="15"/>
  <c r="I378" i="32"/>
  <c r="K612" i="24"/>
  <c r="E414" i="24"/>
  <c r="D37" i="33"/>
  <c r="C688" i="34"/>
  <c r="B35" i="15"/>
  <c r="B56" i="15"/>
  <c r="C709" i="34"/>
  <c r="C678" i="34"/>
  <c r="B25" i="15"/>
  <c r="C639" i="34"/>
  <c r="B83" i="15"/>
  <c r="C50" i="8"/>
  <c r="F309" i="24"/>
  <c r="D352" i="24"/>
  <c r="C103" i="8" s="1"/>
  <c r="C642" i="34"/>
  <c r="B86" i="15"/>
  <c r="C633" i="34"/>
  <c r="B67" i="15"/>
  <c r="C629" i="34"/>
  <c r="B70" i="15"/>
  <c r="C704" i="34"/>
  <c r="B51" i="15"/>
  <c r="M66" i="31" l="1"/>
  <c r="D305" i="32"/>
  <c r="BO85" i="24"/>
  <c r="BX85" i="24"/>
  <c r="F337" i="32"/>
  <c r="M75" i="31"/>
  <c r="AB85" i="24"/>
  <c r="G113" i="32"/>
  <c r="M27" i="31"/>
  <c r="M18" i="31"/>
  <c r="E81" i="32"/>
  <c r="S85" i="24"/>
  <c r="BN85" i="24"/>
  <c r="M65" i="31"/>
  <c r="C305" i="32"/>
  <c r="M67" i="31"/>
  <c r="E305" i="32"/>
  <c r="BP85" i="24"/>
  <c r="M33" i="31"/>
  <c r="AH85" i="24"/>
  <c r="F145" i="32"/>
  <c r="AR85" i="24"/>
  <c r="M43" i="31"/>
  <c r="I177" i="32"/>
  <c r="M19" i="31"/>
  <c r="F81" i="32"/>
  <c r="T85" i="24"/>
  <c r="M51" i="31"/>
  <c r="C241" i="32"/>
  <c r="AZ85" i="24"/>
  <c r="M15" i="31"/>
  <c r="I49" i="32"/>
  <c r="P85" i="24"/>
  <c r="BQ85" i="24"/>
  <c r="M68" i="31"/>
  <c r="F305" i="32"/>
  <c r="C67" i="24"/>
  <c r="CE52" i="24"/>
  <c r="D273" i="32"/>
  <c r="BH85" i="24"/>
  <c r="M59" i="31"/>
  <c r="U85" i="24"/>
  <c r="M20" i="31"/>
  <c r="G81" i="32"/>
  <c r="C177" i="32"/>
  <c r="M37" i="31"/>
  <c r="AL85" i="24"/>
  <c r="M69" i="31"/>
  <c r="BR85" i="24"/>
  <c r="G305" i="32"/>
  <c r="M3" i="31"/>
  <c r="D17" i="32"/>
  <c r="D85" i="24"/>
  <c r="F49" i="32"/>
  <c r="M85" i="24"/>
  <c r="M12" i="31"/>
  <c r="V85" i="24"/>
  <c r="M21" i="31"/>
  <c r="H81" i="32"/>
  <c r="M22" i="31"/>
  <c r="I81" i="32"/>
  <c r="W85" i="24"/>
  <c r="BS85" i="24"/>
  <c r="M70" i="31"/>
  <c r="H305" i="32"/>
  <c r="E85" i="24"/>
  <c r="M4" i="31"/>
  <c r="E17" i="32"/>
  <c r="AC85" i="24"/>
  <c r="M28" i="31"/>
  <c r="H113" i="32"/>
  <c r="G17" i="32"/>
  <c r="M6" i="31"/>
  <c r="G85" i="24"/>
  <c r="AN85" i="24"/>
  <c r="M39" i="31"/>
  <c r="E177" i="32"/>
  <c r="I305" i="32"/>
  <c r="M71" i="31"/>
  <c r="BT85" i="24"/>
  <c r="F85" i="24"/>
  <c r="M5" i="31"/>
  <c r="F17" i="32"/>
  <c r="AS85" i="24"/>
  <c r="C209" i="32"/>
  <c r="M44" i="31"/>
  <c r="BD85" i="24"/>
  <c r="G241" i="32"/>
  <c r="M55" i="31"/>
  <c r="M9" i="31"/>
  <c r="C49" i="32"/>
  <c r="J85" i="24"/>
  <c r="R85" i="24"/>
  <c r="M17" i="31"/>
  <c r="D81" i="32"/>
  <c r="BC85" i="24"/>
  <c r="M54" i="31"/>
  <c r="F241" i="32"/>
  <c r="M60" i="31"/>
  <c r="E273" i="32"/>
  <c r="BI85" i="24"/>
  <c r="M25" i="31"/>
  <c r="E113" i="32"/>
  <c r="Z85" i="24"/>
  <c r="AD85" i="24"/>
  <c r="M29" i="31"/>
  <c r="I113" i="32"/>
  <c r="M34" i="31"/>
  <c r="G145" i="32"/>
  <c r="AI85" i="24"/>
  <c r="X85" i="24"/>
  <c r="M23" i="31"/>
  <c r="C113" i="32"/>
  <c r="BY85" i="24"/>
  <c r="M76" i="31"/>
  <c r="G337" i="32"/>
  <c r="N85" i="24"/>
  <c r="G49" i="32"/>
  <c r="M13" i="31"/>
  <c r="M45" i="31"/>
  <c r="D209" i="32"/>
  <c r="AT85" i="24"/>
  <c r="AK85" i="24"/>
  <c r="M36" i="31"/>
  <c r="I145" i="32"/>
  <c r="M24" i="31"/>
  <c r="D113" i="32"/>
  <c r="Y85" i="24"/>
  <c r="AX85" i="24"/>
  <c r="M49" i="31"/>
  <c r="H209" i="32"/>
  <c r="M61" i="31"/>
  <c r="BJ85" i="24"/>
  <c r="F273" i="32"/>
  <c r="AE85" i="24"/>
  <c r="C145" i="32"/>
  <c r="M30" i="31"/>
  <c r="M40" i="31"/>
  <c r="AO85" i="24"/>
  <c r="F177" i="32"/>
  <c r="AM85" i="24"/>
  <c r="D177" i="32"/>
  <c r="M38" i="31"/>
  <c r="M57" i="31"/>
  <c r="I241" i="32"/>
  <c r="BF85" i="24"/>
  <c r="M35" i="31"/>
  <c r="AJ85" i="24"/>
  <c r="H145" i="32"/>
  <c r="M14" i="31"/>
  <c r="H49" i="32"/>
  <c r="O85" i="24"/>
  <c r="BK85" i="24"/>
  <c r="M62" i="31"/>
  <c r="G273" i="32"/>
  <c r="I85" i="24"/>
  <c r="M8" i="31"/>
  <c r="I17" i="32"/>
  <c r="M73" i="31"/>
  <c r="D337" i="32"/>
  <c r="BV85" i="24"/>
  <c r="M53" i="31"/>
  <c r="E241" i="32"/>
  <c r="BB85" i="24"/>
  <c r="M46" i="31"/>
  <c r="E209" i="32"/>
  <c r="AU85" i="24"/>
  <c r="M16" i="31"/>
  <c r="C81" i="32"/>
  <c r="Q85" i="24"/>
  <c r="AG85" i="24"/>
  <c r="E145" i="32"/>
  <c r="M32" i="31"/>
  <c r="K85" i="24"/>
  <c r="M10" i="31"/>
  <c r="D49" i="32"/>
  <c r="BE85" i="24"/>
  <c r="H241" i="32"/>
  <c r="M56" i="31"/>
  <c r="AA85" i="24"/>
  <c r="M26" i="31"/>
  <c r="F113" i="32"/>
  <c r="BZ85" i="24"/>
  <c r="M77" i="31"/>
  <c r="H337" i="32"/>
  <c r="M31" i="31"/>
  <c r="D145" i="32"/>
  <c r="AF85" i="24"/>
  <c r="M48" i="31"/>
  <c r="G209" i="32"/>
  <c r="AW85" i="24"/>
  <c r="C337" i="32"/>
  <c r="BU85" i="24"/>
  <c r="M72" i="31"/>
  <c r="M42" i="31"/>
  <c r="AQ85" i="24"/>
  <c r="H177" i="32"/>
  <c r="M50" i="31"/>
  <c r="I209" i="32"/>
  <c r="AY85" i="24"/>
  <c r="M47" i="31"/>
  <c r="F209" i="32"/>
  <c r="AV85" i="24"/>
  <c r="M64" i="31"/>
  <c r="I273" i="32"/>
  <c r="BM85" i="24"/>
  <c r="M7" i="31"/>
  <c r="H17" i="32"/>
  <c r="H85" i="24"/>
  <c r="BA85" i="24"/>
  <c r="M52" i="31"/>
  <c r="D241" i="32"/>
  <c r="M41" i="31"/>
  <c r="G177" i="32"/>
  <c r="AP85" i="24"/>
  <c r="M58" i="31"/>
  <c r="C273" i="32"/>
  <c r="BG85" i="24"/>
  <c r="M63" i="31"/>
  <c r="H273" i="32"/>
  <c r="BL85" i="24"/>
  <c r="M80" i="31"/>
  <c r="D369" i="32"/>
  <c r="CC85" i="24"/>
  <c r="M74" i="31"/>
  <c r="E337" i="32"/>
  <c r="BW85" i="24"/>
  <c r="L85" i="24"/>
  <c r="M11" i="31"/>
  <c r="E49" i="32"/>
  <c r="I337" i="32"/>
  <c r="CA85" i="24"/>
  <c r="M78" i="31"/>
  <c r="C369" i="32"/>
  <c r="M79" i="31"/>
  <c r="CB85" i="24"/>
  <c r="F47" i="15"/>
  <c r="F23" i="15"/>
  <c r="F55" i="15"/>
  <c r="H59" i="15"/>
  <c r="I59" i="15" s="1"/>
  <c r="F53" i="15"/>
  <c r="H58" i="15"/>
  <c r="I58" i="15" s="1"/>
  <c r="H46" i="15"/>
  <c r="I46" i="15" s="1"/>
  <c r="F52" i="15"/>
  <c r="F21" i="15"/>
  <c r="F42" i="15"/>
  <c r="H26" i="15"/>
  <c r="I26" i="15" s="1"/>
  <c r="F26" i="15"/>
  <c r="F48" i="15"/>
  <c r="H49" i="15"/>
  <c r="I49" i="15" s="1"/>
  <c r="F49" i="15"/>
  <c r="H19" i="15"/>
  <c r="I19" i="15" s="1"/>
  <c r="F19" i="15"/>
  <c r="F64" i="15"/>
  <c r="H16" i="15"/>
  <c r="I16" i="15" s="1"/>
  <c r="H18" i="15"/>
  <c r="I18" i="15" s="1"/>
  <c r="F18" i="15"/>
  <c r="E612" i="34"/>
  <c r="C648" i="34"/>
  <c r="M716" i="34" s="1"/>
  <c r="H25" i="15"/>
  <c r="I25" i="15" s="1"/>
  <c r="F25" i="15"/>
  <c r="F35" i="15"/>
  <c r="H50" i="15"/>
  <c r="I50" i="15" s="1"/>
  <c r="F50" i="15"/>
  <c r="F34" i="15"/>
  <c r="H34" i="15"/>
  <c r="I34" i="15" s="1"/>
  <c r="F56" i="15"/>
  <c r="H56" i="15"/>
  <c r="I56" i="15" s="1"/>
  <c r="H24" i="15"/>
  <c r="I24" i="15" s="1"/>
  <c r="F24" i="15"/>
  <c r="F41" i="15"/>
  <c r="H38" i="15"/>
  <c r="I38" i="15" s="1"/>
  <c r="F38" i="15"/>
  <c r="F22" i="15"/>
  <c r="F54" i="15"/>
  <c r="H57" i="15"/>
  <c r="I57" i="15" s="1"/>
  <c r="F57" i="15"/>
  <c r="D715" i="34"/>
  <c r="E623" i="34"/>
  <c r="H51" i="15"/>
  <c r="I51" i="15" s="1"/>
  <c r="F51" i="15"/>
  <c r="F15" i="15"/>
  <c r="C715" i="34"/>
  <c r="I341" i="32" l="1"/>
  <c r="C647" i="24"/>
  <c r="C91" i="15"/>
  <c r="G91" i="15" s="1"/>
  <c r="I213" i="32"/>
  <c r="C625" i="24"/>
  <c r="C63" i="15"/>
  <c r="C680" i="24"/>
  <c r="H53" i="32"/>
  <c r="C27" i="15"/>
  <c r="C43" i="15"/>
  <c r="C149" i="32"/>
  <c r="C696" i="24"/>
  <c r="C93" i="15"/>
  <c r="G93" i="15" s="1"/>
  <c r="D373" i="32"/>
  <c r="C620" i="24"/>
  <c r="D117" i="32"/>
  <c r="C37" i="15"/>
  <c r="C690" i="24"/>
  <c r="F245" i="32"/>
  <c r="C633" i="24"/>
  <c r="C67" i="15"/>
  <c r="G67" i="15" s="1"/>
  <c r="I309" i="32"/>
  <c r="C84" i="15"/>
  <c r="G84" i="15" s="1"/>
  <c r="C640" i="24"/>
  <c r="C117" i="32"/>
  <c r="C689" i="24"/>
  <c r="C36" i="15"/>
  <c r="H309" i="32"/>
  <c r="C639" i="24"/>
  <c r="C83" i="15"/>
  <c r="G83" i="15" s="1"/>
  <c r="C181" i="32"/>
  <c r="C50" i="15"/>
  <c r="G50" i="15" s="1"/>
  <c r="C703" i="24"/>
  <c r="C77" i="15"/>
  <c r="G77" i="15" s="1"/>
  <c r="I277" i="32"/>
  <c r="C638" i="24"/>
  <c r="D53" i="32"/>
  <c r="C676" i="24"/>
  <c r="C23" i="15"/>
  <c r="G23" i="15" s="1"/>
  <c r="C47" i="15"/>
  <c r="G47" i="15" s="1"/>
  <c r="G149" i="32"/>
  <c r="C700" i="24"/>
  <c r="C688" i="24"/>
  <c r="I85" i="32"/>
  <c r="C35" i="15"/>
  <c r="C245" i="32"/>
  <c r="C64" i="15"/>
  <c r="G64" i="15" s="1"/>
  <c r="C628" i="24"/>
  <c r="C619" i="24"/>
  <c r="C78" i="15"/>
  <c r="G78" i="15" s="1"/>
  <c r="C309" i="32"/>
  <c r="H277" i="32"/>
  <c r="C76" i="15"/>
  <c r="G76" i="15" s="1"/>
  <c r="C637" i="24"/>
  <c r="D181" i="32"/>
  <c r="C704" i="24"/>
  <c r="C51" i="15"/>
  <c r="G51" i="15" s="1"/>
  <c r="C373" i="32"/>
  <c r="C622" i="24"/>
  <c r="C92" i="15"/>
  <c r="G92" i="15" s="1"/>
  <c r="D149" i="32"/>
  <c r="C44" i="15"/>
  <c r="G44" i="15" s="1"/>
  <c r="C697" i="24"/>
  <c r="C21" i="15"/>
  <c r="G21" i="15" s="1"/>
  <c r="I21" i="32"/>
  <c r="C674" i="24"/>
  <c r="C53" i="32"/>
  <c r="C22" i="15"/>
  <c r="C675" i="24"/>
  <c r="E85" i="32"/>
  <c r="C31" i="15"/>
  <c r="G31" i="15" s="1"/>
  <c r="C684" i="24"/>
  <c r="D85" i="32"/>
  <c r="C30" i="15"/>
  <c r="C683" i="24"/>
  <c r="F213" i="32"/>
  <c r="C60" i="15"/>
  <c r="C713" i="24"/>
  <c r="E149" i="32"/>
  <c r="C45" i="15"/>
  <c r="C698" i="24"/>
  <c r="C706" i="24"/>
  <c r="C53" i="15"/>
  <c r="G53" i="15" s="1"/>
  <c r="F181" i="32"/>
  <c r="I149" i="32"/>
  <c r="C702" i="24"/>
  <c r="C49" i="15"/>
  <c r="G49" i="15" s="1"/>
  <c r="C705" i="24"/>
  <c r="E181" i="32"/>
  <c r="C52" i="15"/>
  <c r="G52" i="15" s="1"/>
  <c r="C32" i="15"/>
  <c r="G32" i="15" s="1"/>
  <c r="F85" i="32"/>
  <c r="C685" i="24"/>
  <c r="G213" i="32"/>
  <c r="C61" i="15"/>
  <c r="C631" i="24"/>
  <c r="C635" i="24"/>
  <c r="C75" i="15"/>
  <c r="G75" i="15" s="1"/>
  <c r="G277" i="32"/>
  <c r="I117" i="32"/>
  <c r="C695" i="24"/>
  <c r="C42" i="15"/>
  <c r="G42" i="15" s="1"/>
  <c r="H85" i="32"/>
  <c r="C34" i="15"/>
  <c r="G34" i="15" s="1"/>
  <c r="C687" i="24"/>
  <c r="C71" i="15"/>
  <c r="G71" i="15" s="1"/>
  <c r="C618" i="24"/>
  <c r="C277" i="32"/>
  <c r="C624" i="24"/>
  <c r="C68" i="15"/>
  <c r="G68" i="15" s="1"/>
  <c r="G245" i="32"/>
  <c r="C678" i="24"/>
  <c r="C25" i="15"/>
  <c r="G25" i="15" s="1"/>
  <c r="F53" i="32"/>
  <c r="G117" i="32"/>
  <c r="C40" i="15"/>
  <c r="G40" i="15" s="1"/>
  <c r="C693" i="24"/>
  <c r="C56" i="15"/>
  <c r="G56" i="15" s="1"/>
  <c r="I181" i="32"/>
  <c r="C709" i="24"/>
  <c r="E277" i="32"/>
  <c r="C73" i="15"/>
  <c r="G73" i="15" s="1"/>
  <c r="C634" i="24"/>
  <c r="H117" i="32"/>
  <c r="C41" i="15"/>
  <c r="C694" i="24"/>
  <c r="D21" i="32"/>
  <c r="C16" i="15"/>
  <c r="G16" i="15" s="1"/>
  <c r="C669" i="24"/>
  <c r="C85" i="24"/>
  <c r="CE67" i="24"/>
  <c r="I369" i="32" s="1"/>
  <c r="C17" i="32"/>
  <c r="M2" i="31"/>
  <c r="H181" i="32"/>
  <c r="C708" i="24"/>
  <c r="C55" i="15"/>
  <c r="G55" i="15" s="1"/>
  <c r="C692" i="24"/>
  <c r="F117" i="32"/>
  <c r="C39" i="15"/>
  <c r="E245" i="32"/>
  <c r="C632" i="24"/>
  <c r="C66" i="15"/>
  <c r="G66" i="15" s="1"/>
  <c r="C701" i="24"/>
  <c r="H149" i="32"/>
  <c r="C48" i="15"/>
  <c r="G48" i="15" s="1"/>
  <c r="C213" i="32"/>
  <c r="C57" i="15"/>
  <c r="G57" i="15" s="1"/>
  <c r="C710" i="24"/>
  <c r="C699" i="24"/>
  <c r="C46" i="15"/>
  <c r="G46" i="15" s="1"/>
  <c r="F149" i="32"/>
  <c r="F341" i="32"/>
  <c r="C88" i="15"/>
  <c r="G88" i="15" s="1"/>
  <c r="C644" i="24"/>
  <c r="C672" i="24"/>
  <c r="C19" i="15"/>
  <c r="G19" i="15" s="1"/>
  <c r="G21" i="32"/>
  <c r="C707" i="24"/>
  <c r="G181" i="32"/>
  <c r="C54" i="15"/>
  <c r="H341" i="32"/>
  <c r="C90" i="15"/>
  <c r="G90" i="15" s="1"/>
  <c r="C646" i="24"/>
  <c r="F277" i="32"/>
  <c r="C74" i="15"/>
  <c r="G74" i="15" s="1"/>
  <c r="C617" i="24"/>
  <c r="G53" i="32"/>
  <c r="C679" i="24"/>
  <c r="C26" i="15"/>
  <c r="G26" i="15" s="1"/>
  <c r="E53" i="32"/>
  <c r="C677" i="24"/>
  <c r="C24" i="15"/>
  <c r="G24" i="15" s="1"/>
  <c r="E341" i="32"/>
  <c r="C643" i="24"/>
  <c r="C87" i="15"/>
  <c r="G87" i="15" s="1"/>
  <c r="D309" i="32"/>
  <c r="C79" i="15"/>
  <c r="G79" i="15" s="1"/>
  <c r="C627" i="24"/>
  <c r="C85" i="32"/>
  <c r="C682" i="24"/>
  <c r="C29" i="15"/>
  <c r="C686" i="24"/>
  <c r="C33" i="15"/>
  <c r="G85" i="32"/>
  <c r="C38" i="15"/>
  <c r="G38" i="15" s="1"/>
  <c r="C691" i="24"/>
  <c r="E117" i="32"/>
  <c r="E213" i="32"/>
  <c r="C712" i="24"/>
  <c r="C59" i="15"/>
  <c r="G59" i="15" s="1"/>
  <c r="C630" i="24"/>
  <c r="D245" i="32"/>
  <c r="C65" i="15"/>
  <c r="I245" i="32"/>
  <c r="C70" i="15"/>
  <c r="G70" i="15" s="1"/>
  <c r="C629" i="24"/>
  <c r="G341" i="32"/>
  <c r="C645" i="24"/>
  <c r="C89" i="15"/>
  <c r="G89" i="15" s="1"/>
  <c r="E21" i="32"/>
  <c r="C670" i="24"/>
  <c r="C17" i="15"/>
  <c r="F309" i="32"/>
  <c r="C81" i="15"/>
  <c r="G81" i="15" s="1"/>
  <c r="C623" i="24"/>
  <c r="E309" i="32"/>
  <c r="C621" i="24"/>
  <c r="C80" i="15"/>
  <c r="G80" i="15" s="1"/>
  <c r="D213" i="32"/>
  <c r="C58" i="15"/>
  <c r="G58" i="15" s="1"/>
  <c r="C711" i="24"/>
  <c r="D277" i="32"/>
  <c r="C72" i="15"/>
  <c r="G72" i="15" s="1"/>
  <c r="C636" i="24"/>
  <c r="H21" i="32"/>
  <c r="C673" i="24"/>
  <c r="C20" i="15"/>
  <c r="G20" i="15" s="1"/>
  <c r="C85" i="15"/>
  <c r="G85" i="15" s="1"/>
  <c r="C641" i="24"/>
  <c r="C341" i="32"/>
  <c r="C614" i="24"/>
  <c r="C69" i="15"/>
  <c r="H245" i="32"/>
  <c r="D341" i="32"/>
  <c r="C86" i="15"/>
  <c r="G86" i="15" s="1"/>
  <c r="C642" i="24"/>
  <c r="C616" i="24"/>
  <c r="H213" i="32"/>
  <c r="C62" i="15"/>
  <c r="C671" i="24"/>
  <c r="F21" i="32"/>
  <c r="C18" i="15"/>
  <c r="G18" i="15" s="1"/>
  <c r="C626" i="24"/>
  <c r="G309" i="32"/>
  <c r="C82" i="15"/>
  <c r="G82" i="15" s="1"/>
  <c r="I53" i="32"/>
  <c r="C28" i="15"/>
  <c r="C681" i="24"/>
  <c r="E704" i="34"/>
  <c r="E688" i="34"/>
  <c r="E672" i="34"/>
  <c r="E701" i="34"/>
  <c r="E685" i="34"/>
  <c r="E669" i="34"/>
  <c r="E627" i="34"/>
  <c r="E698" i="34"/>
  <c r="E682" i="34"/>
  <c r="E711" i="34"/>
  <c r="E695" i="34"/>
  <c r="E679" i="34"/>
  <c r="E708" i="34"/>
  <c r="E692" i="34"/>
  <c r="E676" i="34"/>
  <c r="E705" i="34"/>
  <c r="E689" i="34"/>
  <c r="E673" i="34"/>
  <c r="E702" i="34"/>
  <c r="E686" i="34"/>
  <c r="E716" i="34"/>
  <c r="E699" i="34"/>
  <c r="E683" i="34"/>
  <c r="E643" i="34"/>
  <c r="E641" i="34"/>
  <c r="E639" i="34"/>
  <c r="E637" i="34"/>
  <c r="E635" i="34"/>
  <c r="E633" i="34"/>
  <c r="E631" i="34"/>
  <c r="E712" i="34"/>
  <c r="E696" i="34"/>
  <c r="E680" i="34"/>
  <c r="E709" i="34"/>
  <c r="E693" i="34"/>
  <c r="E677" i="34"/>
  <c r="E706" i="34"/>
  <c r="E690" i="34"/>
  <c r="E674" i="34"/>
  <c r="E668" i="34"/>
  <c r="E626" i="34"/>
  <c r="E638" i="34"/>
  <c r="E625" i="34"/>
  <c r="E707" i="34"/>
  <c r="E697" i="34"/>
  <c r="E671" i="34"/>
  <c r="E632" i="34"/>
  <c r="E687" i="34"/>
  <c r="E647" i="34"/>
  <c r="E675" i="34"/>
  <c r="E642" i="34"/>
  <c r="E624" i="34"/>
  <c r="E710" i="34"/>
  <c r="E636" i="34"/>
  <c r="E700" i="34"/>
  <c r="E678" i="34"/>
  <c r="E670" i="34"/>
  <c r="E646" i="34"/>
  <c r="E691" i="34"/>
  <c r="E630" i="34"/>
  <c r="E645" i="34"/>
  <c r="E629" i="34"/>
  <c r="E681" i="34"/>
  <c r="E640" i="34"/>
  <c r="E713" i="34"/>
  <c r="E628" i="34"/>
  <c r="E703" i="34"/>
  <c r="E634" i="34"/>
  <c r="E694" i="34"/>
  <c r="E684" i="34"/>
  <c r="E644" i="34"/>
  <c r="G45" i="15" l="1"/>
  <c r="H45" i="15" s="1"/>
  <c r="I45" i="15" s="1"/>
  <c r="G69" i="15"/>
  <c r="H69" i="15" s="1"/>
  <c r="I69" i="15" s="1"/>
  <c r="G41" i="15"/>
  <c r="H41" i="15" s="1"/>
  <c r="I41" i="15" s="1"/>
  <c r="G35" i="15"/>
  <c r="H35" i="15" s="1"/>
  <c r="I35" i="15" s="1"/>
  <c r="G29" i="15"/>
  <c r="H29" i="15" s="1"/>
  <c r="I29" i="15" s="1"/>
  <c r="G36" i="15"/>
  <c r="H36" i="15" s="1"/>
  <c r="I36" i="15" s="1"/>
  <c r="G17" i="15"/>
  <c r="H17" i="15" s="1"/>
  <c r="I17" i="15" s="1"/>
  <c r="G30" i="15"/>
  <c r="H30" i="15"/>
  <c r="I30" i="15" s="1"/>
  <c r="G43" i="15"/>
  <c r="H43" i="15" s="1"/>
  <c r="I43" i="15" s="1"/>
  <c r="G28" i="15"/>
  <c r="H28" i="15"/>
  <c r="I28" i="15" s="1"/>
  <c r="D615" i="24"/>
  <c r="C648" i="24"/>
  <c r="M716" i="24" s="1"/>
  <c r="G27" i="15"/>
  <c r="H27" i="15" s="1"/>
  <c r="I27" i="15" s="1"/>
  <c r="G33" i="15"/>
  <c r="H33" i="15" s="1"/>
  <c r="I33" i="15" s="1"/>
  <c r="G39" i="15"/>
  <c r="H39" i="15" s="1"/>
  <c r="G63" i="15"/>
  <c r="H63" i="15" s="1"/>
  <c r="I63" i="15" s="1"/>
  <c r="G22" i="15"/>
  <c r="H22" i="15" s="1"/>
  <c r="C21" i="32"/>
  <c r="C15" i="15"/>
  <c r="CE85" i="24"/>
  <c r="C668" i="24"/>
  <c r="C715" i="24" s="1"/>
  <c r="H65" i="15"/>
  <c r="I65" i="15" s="1"/>
  <c r="G65" i="15"/>
  <c r="G54" i="15"/>
  <c r="H54" i="15" s="1"/>
  <c r="I54" i="15" s="1"/>
  <c r="G37" i="15"/>
  <c r="H37" i="15"/>
  <c r="I37" i="15" s="1"/>
  <c r="E715" i="34"/>
  <c r="F624" i="34"/>
  <c r="D702" i="24" l="1"/>
  <c r="D633" i="24"/>
  <c r="D707" i="24"/>
  <c r="D668" i="24"/>
  <c r="D646" i="24"/>
  <c r="D631" i="24"/>
  <c r="D670" i="24"/>
  <c r="D712" i="24"/>
  <c r="D675" i="24"/>
  <c r="D706" i="24"/>
  <c r="D685" i="24"/>
  <c r="D696" i="24"/>
  <c r="D680" i="24"/>
  <c r="D690" i="24"/>
  <c r="D620" i="24"/>
  <c r="D711" i="24"/>
  <c r="D626" i="24"/>
  <c r="D709" i="24"/>
  <c r="D638" i="24"/>
  <c r="D619" i="24"/>
  <c r="D695" i="24"/>
  <c r="D693" i="24"/>
  <c r="D636" i="24"/>
  <c r="D698" i="24"/>
  <c r="D679" i="24"/>
  <c r="D676" i="24"/>
  <c r="D673" i="24"/>
  <c r="D635" i="24"/>
  <c r="D681" i="24"/>
  <c r="D672" i="24"/>
  <c r="D701" i="24"/>
  <c r="D686" i="24"/>
  <c r="D691" i="24"/>
  <c r="D710" i="24"/>
  <c r="D647" i="24"/>
  <c r="D644" i="24"/>
  <c r="D623" i="24"/>
  <c r="D694" i="24"/>
  <c r="D621" i="24"/>
  <c r="D716" i="24"/>
  <c r="D677" i="24"/>
  <c r="D634" i="24"/>
  <c r="D618" i="24"/>
  <c r="D683" i="24"/>
  <c r="D687" i="24"/>
  <c r="D630" i="24"/>
  <c r="D674" i="24"/>
  <c r="D625" i="24"/>
  <c r="D682" i="24"/>
  <c r="D639" i="24"/>
  <c r="D684" i="24"/>
  <c r="D628" i="24"/>
  <c r="D645" i="24"/>
  <c r="D624" i="24"/>
  <c r="D713" i="24"/>
  <c r="D627" i="24"/>
  <c r="D704" i="24"/>
  <c r="D640" i="24"/>
  <c r="D708" i="24"/>
  <c r="D699" i="24"/>
  <c r="D703" i="24"/>
  <c r="D632" i="24"/>
  <c r="D678" i="24"/>
  <c r="D692" i="24"/>
  <c r="D643" i="24"/>
  <c r="D671" i="24"/>
  <c r="D617" i="24"/>
  <c r="D641" i="24"/>
  <c r="D688" i="24"/>
  <c r="D705" i="24"/>
  <c r="D642" i="24"/>
  <c r="D700" i="24"/>
  <c r="D622" i="24"/>
  <c r="D629" i="24"/>
  <c r="D689" i="24"/>
  <c r="D637" i="24"/>
  <c r="D697" i="24"/>
  <c r="D669" i="24"/>
  <c r="D616" i="24"/>
  <c r="I373" i="32"/>
  <c r="C716" i="24"/>
  <c r="G15" i="15"/>
  <c r="H15" i="15" s="1"/>
  <c r="I15" i="15" s="1"/>
  <c r="F701" i="34"/>
  <c r="F685" i="34"/>
  <c r="F669" i="34"/>
  <c r="F627" i="34"/>
  <c r="F698" i="34"/>
  <c r="F682" i="34"/>
  <c r="F711" i="34"/>
  <c r="F695" i="34"/>
  <c r="F679" i="34"/>
  <c r="F708" i="34"/>
  <c r="F692" i="34"/>
  <c r="F676" i="34"/>
  <c r="F705" i="34"/>
  <c r="F689" i="34"/>
  <c r="F673" i="34"/>
  <c r="F702" i="34"/>
  <c r="F686" i="34"/>
  <c r="F670" i="34"/>
  <c r="F647" i="34"/>
  <c r="F645" i="34"/>
  <c r="F629" i="34"/>
  <c r="F626" i="34"/>
  <c r="F716" i="34"/>
  <c r="F699" i="34"/>
  <c r="F683" i="34"/>
  <c r="F712" i="34"/>
  <c r="F696" i="34"/>
  <c r="F680" i="34"/>
  <c r="F709" i="34"/>
  <c r="F693" i="34"/>
  <c r="F677" i="34"/>
  <c r="F706" i="34"/>
  <c r="F690" i="34"/>
  <c r="F674" i="34"/>
  <c r="F703" i="34"/>
  <c r="F687" i="34"/>
  <c r="F671" i="34"/>
  <c r="F625" i="34"/>
  <c r="F643" i="34"/>
  <c r="F638" i="34"/>
  <c r="F707" i="34"/>
  <c r="F672" i="34"/>
  <c r="F697" i="34"/>
  <c r="F637" i="34"/>
  <c r="F632" i="34"/>
  <c r="F688" i="34"/>
  <c r="F675" i="34"/>
  <c r="F642" i="34"/>
  <c r="F631" i="34"/>
  <c r="F710" i="34"/>
  <c r="F641" i="34"/>
  <c r="F636" i="34"/>
  <c r="F700" i="34"/>
  <c r="F678" i="34"/>
  <c r="F646" i="34"/>
  <c r="F691" i="34"/>
  <c r="F635" i="34"/>
  <c r="F630" i="34"/>
  <c r="F681" i="34"/>
  <c r="F640" i="34"/>
  <c r="F713" i="34"/>
  <c r="F628" i="34"/>
  <c r="F704" i="34"/>
  <c r="F639" i="34"/>
  <c r="F634" i="34"/>
  <c r="F694" i="34"/>
  <c r="F684" i="34"/>
  <c r="F644" i="34"/>
  <c r="F633" i="34"/>
  <c r="F668" i="34"/>
  <c r="D715" i="24" l="1"/>
  <c r="E623" i="24"/>
  <c r="E612" i="24"/>
  <c r="F715" i="34"/>
  <c r="G625" i="34"/>
  <c r="E647" i="24" l="1"/>
  <c r="E680" i="24"/>
  <c r="E688" i="24"/>
  <c r="E634" i="24"/>
  <c r="E677" i="24"/>
  <c r="E682" i="24"/>
  <c r="E711" i="24"/>
  <c r="E678" i="24"/>
  <c r="E712" i="24"/>
  <c r="E670" i="24"/>
  <c r="E645" i="24"/>
  <c r="E709" i="24"/>
  <c r="E672" i="24"/>
  <c r="E669" i="24"/>
  <c r="E626" i="24"/>
  <c r="E707" i="24"/>
  <c r="E690" i="24"/>
  <c r="E701" i="24"/>
  <c r="E686" i="24"/>
  <c r="E629" i="24"/>
  <c r="E693" i="24"/>
  <c r="E625" i="24"/>
  <c r="E698" i="24"/>
  <c r="E713" i="24"/>
  <c r="E699" i="24"/>
  <c r="E640" i="24"/>
  <c r="E683" i="24"/>
  <c r="E702" i="24"/>
  <c r="E646" i="24"/>
  <c r="E716" i="24"/>
  <c r="E706" i="24"/>
  <c r="E703" i="24"/>
  <c r="E638" i="24"/>
  <c r="E674" i="24"/>
  <c r="E675" i="24"/>
  <c r="E671" i="24"/>
  <c r="E704" i="24"/>
  <c r="E708" i="24"/>
  <c r="E643" i="24"/>
  <c r="E700" i="24"/>
  <c r="E624" i="24"/>
  <c r="E697" i="24"/>
  <c r="E641" i="24"/>
  <c r="E691" i="24"/>
  <c r="E639" i="24"/>
  <c r="E687" i="24"/>
  <c r="E695" i="24"/>
  <c r="E692" i="24"/>
  <c r="E684" i="24"/>
  <c r="E642" i="24"/>
  <c r="E676" i="24"/>
  <c r="E668" i="24"/>
  <c r="E632" i="24"/>
  <c r="E635" i="24"/>
  <c r="E631" i="24"/>
  <c r="E705" i="24"/>
  <c r="E637" i="24"/>
  <c r="E628" i="24"/>
  <c r="E644" i="24"/>
  <c r="E636" i="24"/>
  <c r="E689" i="24"/>
  <c r="E710" i="24"/>
  <c r="E679" i="24"/>
  <c r="E685" i="24"/>
  <c r="E673" i="24"/>
  <c r="E633" i="24"/>
  <c r="E694" i="24"/>
  <c r="E630" i="24"/>
  <c r="E681" i="24"/>
  <c r="E627" i="24"/>
  <c r="E696" i="24"/>
  <c r="G698" i="34"/>
  <c r="G682" i="34"/>
  <c r="G711" i="34"/>
  <c r="G695" i="34"/>
  <c r="G679" i="34"/>
  <c r="G708" i="34"/>
  <c r="G692" i="34"/>
  <c r="G676" i="34"/>
  <c r="G705" i="34"/>
  <c r="G689" i="34"/>
  <c r="G673" i="34"/>
  <c r="G702" i="34"/>
  <c r="G686" i="34"/>
  <c r="G670" i="34"/>
  <c r="G647" i="34"/>
  <c r="G645" i="34"/>
  <c r="G629" i="34"/>
  <c r="G626" i="34"/>
  <c r="G716" i="34"/>
  <c r="G699" i="34"/>
  <c r="G683" i="34"/>
  <c r="G643" i="34"/>
  <c r="G641" i="34"/>
  <c r="G639" i="34"/>
  <c r="G637" i="34"/>
  <c r="G635" i="34"/>
  <c r="G633" i="34"/>
  <c r="G631" i="34"/>
  <c r="G712" i="34"/>
  <c r="G696" i="34"/>
  <c r="G709" i="34"/>
  <c r="G693" i="34"/>
  <c r="G677" i="34"/>
  <c r="G706" i="34"/>
  <c r="G690" i="34"/>
  <c r="G674" i="34"/>
  <c r="G703" i="34"/>
  <c r="G687" i="34"/>
  <c r="G671" i="34"/>
  <c r="G700" i="34"/>
  <c r="G684" i="34"/>
  <c r="G668" i="34"/>
  <c r="G628" i="34"/>
  <c r="G707" i="34"/>
  <c r="G672" i="34"/>
  <c r="G697" i="34"/>
  <c r="G632" i="34"/>
  <c r="G688" i="34"/>
  <c r="G675" i="34"/>
  <c r="G642" i="34"/>
  <c r="G710" i="34"/>
  <c r="G636" i="34"/>
  <c r="G701" i="34"/>
  <c r="G678" i="34"/>
  <c r="G646" i="34"/>
  <c r="G691" i="34"/>
  <c r="G630" i="34"/>
  <c r="G681" i="34"/>
  <c r="G640" i="34"/>
  <c r="G713" i="34"/>
  <c r="G704" i="34"/>
  <c r="G634" i="34"/>
  <c r="G694" i="34"/>
  <c r="G685" i="34"/>
  <c r="G669" i="34"/>
  <c r="G644" i="34"/>
  <c r="G680" i="34"/>
  <c r="G638" i="34"/>
  <c r="G627" i="34"/>
  <c r="E715" i="24" l="1"/>
  <c r="F624" i="24"/>
  <c r="H628" i="34"/>
  <c r="H695" i="34" s="1"/>
  <c r="G715" i="34"/>
  <c r="F639" i="24" l="1"/>
  <c r="F671" i="24"/>
  <c r="F685" i="24"/>
  <c r="F682" i="24"/>
  <c r="F681" i="24"/>
  <c r="F700" i="24"/>
  <c r="F670" i="24"/>
  <c r="F688" i="24"/>
  <c r="F632" i="24"/>
  <c r="F698" i="24"/>
  <c r="F641" i="24"/>
  <c r="F705" i="24"/>
  <c r="F637" i="24"/>
  <c r="F713" i="24"/>
  <c r="F669" i="24"/>
  <c r="F678" i="24"/>
  <c r="F673" i="24"/>
  <c r="F633" i="24"/>
  <c r="F692" i="24"/>
  <c r="F712" i="24"/>
  <c r="F708" i="24"/>
  <c r="F643" i="24"/>
  <c r="F701" i="24"/>
  <c r="F689" i="24"/>
  <c r="F635" i="24"/>
  <c r="F697" i="24"/>
  <c r="F627" i="24"/>
  <c r="F628" i="24"/>
  <c r="F646" i="24"/>
  <c r="F686" i="24"/>
  <c r="F691" i="24"/>
  <c r="F696" i="24"/>
  <c r="F683" i="24"/>
  <c r="F702" i="24"/>
  <c r="F631" i="24"/>
  <c r="F707" i="24"/>
  <c r="F711" i="24"/>
  <c r="F704" i="24"/>
  <c r="F672" i="24"/>
  <c r="F675" i="24"/>
  <c r="F703" i="24"/>
  <c r="F647" i="24"/>
  <c r="F680" i="24"/>
  <c r="F644" i="24"/>
  <c r="F676" i="24"/>
  <c r="F693" i="24"/>
  <c r="F695" i="24"/>
  <c r="F645" i="24"/>
  <c r="F709" i="24"/>
  <c r="F642" i="24"/>
  <c r="F684" i="24"/>
  <c r="F629" i="24"/>
  <c r="F640" i="24"/>
  <c r="F674" i="24"/>
  <c r="F687" i="24"/>
  <c r="F625" i="24"/>
  <c r="F626" i="24"/>
  <c r="F677" i="24"/>
  <c r="F638" i="24"/>
  <c r="F668" i="24"/>
  <c r="F716" i="24"/>
  <c r="F636" i="24"/>
  <c r="F694" i="24"/>
  <c r="F706" i="24"/>
  <c r="F710" i="24"/>
  <c r="F699" i="24"/>
  <c r="F690" i="24"/>
  <c r="F634" i="24"/>
  <c r="F679" i="24"/>
  <c r="F630" i="24"/>
  <c r="H716" i="34"/>
  <c r="H699" i="34"/>
  <c r="H638" i="34"/>
  <c r="H644" i="34"/>
  <c r="H693" i="34"/>
  <c r="H688" i="34"/>
  <c r="H632" i="34"/>
  <c r="H634" i="34"/>
  <c r="H677" i="34"/>
  <c r="H668" i="34"/>
  <c r="H707" i="34"/>
  <c r="H711" i="34"/>
  <c r="H706" i="34"/>
  <c r="H645" i="34"/>
  <c r="H680" i="34"/>
  <c r="H696" i="34"/>
  <c r="H712" i="34"/>
  <c r="H673" i="34"/>
  <c r="H633" i="34"/>
  <c r="H705" i="34"/>
  <c r="H676" i="34"/>
  <c r="H691" i="34"/>
  <c r="H641" i="34"/>
  <c r="H708" i="34"/>
  <c r="H674" i="34"/>
  <c r="H710" i="34"/>
  <c r="H629" i="34"/>
  <c r="H675" i="34"/>
  <c r="H709" i="34"/>
  <c r="H694" i="34"/>
  <c r="H686" i="34"/>
  <c r="H681" i="34"/>
  <c r="H697" i="34"/>
  <c r="H713" i="34"/>
  <c r="H682" i="34"/>
  <c r="H630" i="34"/>
  <c r="H700" i="34"/>
  <c r="H679" i="34"/>
  <c r="H636" i="34"/>
  <c r="H690" i="34"/>
  <c r="H642" i="34"/>
  <c r="H669" i="34"/>
  <c r="H685" i="34"/>
  <c r="H647" i="34"/>
  <c r="H670" i="34"/>
  <c r="H698" i="34"/>
  <c r="H702" i="34"/>
  <c r="H704" i="34"/>
  <c r="H631" i="34"/>
  <c r="H640" i="34"/>
  <c r="H689" i="34"/>
  <c r="H635" i="34"/>
  <c r="H684" i="34"/>
  <c r="H637" i="34"/>
  <c r="H639" i="34"/>
  <c r="H692" i="34"/>
  <c r="H646" i="34"/>
  <c r="H671" i="34"/>
  <c r="H678" i="34"/>
  <c r="H687" i="34"/>
  <c r="H643" i="34"/>
  <c r="H672" i="34"/>
  <c r="H701" i="34"/>
  <c r="H703" i="34"/>
  <c r="H683" i="34"/>
  <c r="F715" i="24" l="1"/>
  <c r="G625" i="24"/>
  <c r="H715" i="34"/>
  <c r="I629" i="34"/>
  <c r="I643" i="34" s="1"/>
  <c r="G716" i="24" l="1"/>
  <c r="G697" i="24"/>
  <c r="G668" i="24"/>
  <c r="G632" i="24"/>
  <c r="G706" i="24"/>
  <c r="G645" i="24"/>
  <c r="G627" i="24"/>
  <c r="G692" i="24"/>
  <c r="G673" i="24"/>
  <c r="G682" i="24"/>
  <c r="G641" i="24"/>
  <c r="G689" i="24"/>
  <c r="G670" i="24"/>
  <c r="G640" i="24"/>
  <c r="G710" i="24"/>
  <c r="G628" i="24"/>
  <c r="G687" i="24"/>
  <c r="G633" i="24"/>
  <c r="G696" i="24"/>
  <c r="G676" i="24"/>
  <c r="G646" i="24"/>
  <c r="G709" i="24"/>
  <c r="G705" i="24"/>
  <c r="G644" i="24"/>
  <c r="G675" i="24"/>
  <c r="G708" i="24"/>
  <c r="G690" i="24"/>
  <c r="G671" i="24"/>
  <c r="G702" i="24"/>
  <c r="G647" i="24"/>
  <c r="G703" i="24"/>
  <c r="G700" i="24"/>
  <c r="G669" i="24"/>
  <c r="G629" i="24"/>
  <c r="G711" i="24"/>
  <c r="G695" i="24"/>
  <c r="G631" i="24"/>
  <c r="G680" i="24"/>
  <c r="G712" i="24"/>
  <c r="G693" i="24"/>
  <c r="G701" i="24"/>
  <c r="G685" i="24"/>
  <c r="G694" i="24"/>
  <c r="G704" i="24"/>
  <c r="G636" i="24"/>
  <c r="G681" i="24"/>
  <c r="G639" i="24"/>
  <c r="G672" i="24"/>
  <c r="G643" i="24"/>
  <c r="G637" i="24"/>
  <c r="G630" i="24"/>
  <c r="G634" i="24"/>
  <c r="G713" i="24"/>
  <c r="G626" i="24"/>
  <c r="G642" i="24"/>
  <c r="G691" i="24"/>
  <c r="G686" i="24"/>
  <c r="G688" i="24"/>
  <c r="G677" i="24"/>
  <c r="G683" i="24"/>
  <c r="G698" i="24"/>
  <c r="G674" i="24"/>
  <c r="G635" i="24"/>
  <c r="G678" i="24"/>
  <c r="G638" i="24"/>
  <c r="G707" i="24"/>
  <c r="G684" i="24"/>
  <c r="G679" i="24"/>
  <c r="G699" i="24"/>
  <c r="I695" i="34"/>
  <c r="I678" i="34"/>
  <c r="I684" i="34"/>
  <c r="I672" i="34"/>
  <c r="I630" i="34"/>
  <c r="J630" i="34" s="1"/>
  <c r="I688" i="34"/>
  <c r="I687" i="34"/>
  <c r="I703" i="34"/>
  <c r="I677" i="34"/>
  <c r="I696" i="34"/>
  <c r="I683" i="34"/>
  <c r="I699" i="34"/>
  <c r="I716" i="34"/>
  <c r="I638" i="34"/>
  <c r="I645" i="34"/>
  <c r="I647" i="34"/>
  <c r="I704" i="34"/>
  <c r="I669" i="34"/>
  <c r="I685" i="34"/>
  <c r="I670" i="34"/>
  <c r="I640" i="34"/>
  <c r="I674" i="34"/>
  <c r="I682" i="34"/>
  <c r="I686" i="34"/>
  <c r="I691" i="34"/>
  <c r="I701" i="34"/>
  <c r="I679" i="34"/>
  <c r="I642" i="34"/>
  <c r="I702" i="34"/>
  <c r="I646" i="34"/>
  <c r="I673" i="34"/>
  <c r="I644" i="34"/>
  <c r="I694" i="34"/>
  <c r="I681" i="34"/>
  <c r="I697" i="34"/>
  <c r="I713" i="34"/>
  <c r="I668" i="34"/>
  <c r="I689" i="34"/>
  <c r="I700" i="34"/>
  <c r="I705" i="34"/>
  <c r="I690" i="34"/>
  <c r="I676" i="34"/>
  <c r="I632" i="34"/>
  <c r="I711" i="34"/>
  <c r="I706" i="34"/>
  <c r="I692" i="34"/>
  <c r="I707" i="34"/>
  <c r="I675" i="34"/>
  <c r="I693" i="34"/>
  <c r="I709" i="34"/>
  <c r="I680" i="34"/>
  <c r="I708" i="34"/>
  <c r="I634" i="34"/>
  <c r="I710" i="34"/>
  <c r="I712" i="34"/>
  <c r="I631" i="34"/>
  <c r="I633" i="34"/>
  <c r="I635" i="34"/>
  <c r="I637" i="34"/>
  <c r="I639" i="34"/>
  <c r="I698" i="34"/>
  <c r="I636" i="34"/>
  <c r="I671" i="34"/>
  <c r="I641" i="34"/>
  <c r="G715" i="24" l="1"/>
  <c r="H628" i="24"/>
  <c r="I715" i="34"/>
  <c r="J705" i="34"/>
  <c r="J689" i="34"/>
  <c r="J673" i="34"/>
  <c r="J702" i="34"/>
  <c r="J686" i="34"/>
  <c r="J670" i="34"/>
  <c r="J647" i="34"/>
  <c r="J645" i="34"/>
  <c r="J716" i="34"/>
  <c r="J699" i="34"/>
  <c r="J683" i="34"/>
  <c r="J643" i="34"/>
  <c r="J641" i="34"/>
  <c r="J639" i="34"/>
  <c r="J637" i="34"/>
  <c r="J635" i="34"/>
  <c r="J633" i="34"/>
  <c r="J631" i="34"/>
  <c r="J712" i="34"/>
  <c r="J696" i="34"/>
  <c r="J680" i="34"/>
  <c r="J709" i="34"/>
  <c r="J693" i="34"/>
  <c r="J677" i="34"/>
  <c r="J706" i="34"/>
  <c r="J690" i="34"/>
  <c r="J674" i="34"/>
  <c r="J703" i="34"/>
  <c r="J687" i="34"/>
  <c r="J700" i="34"/>
  <c r="J684" i="34"/>
  <c r="J668" i="34"/>
  <c r="J713" i="34"/>
  <c r="J697" i="34"/>
  <c r="J681" i="34"/>
  <c r="J710" i="34"/>
  <c r="J694" i="34"/>
  <c r="J678" i="34"/>
  <c r="J646" i="34"/>
  <c r="J707" i="34"/>
  <c r="J691" i="34"/>
  <c r="J675" i="34"/>
  <c r="J644" i="34"/>
  <c r="J642" i="34"/>
  <c r="J640" i="34"/>
  <c r="J638" i="34"/>
  <c r="J636" i="34"/>
  <c r="J634" i="34"/>
  <c r="J632" i="34"/>
  <c r="J711" i="34"/>
  <c r="J679" i="34"/>
  <c r="J671" i="34"/>
  <c r="J701" i="34"/>
  <c r="J692" i="34"/>
  <c r="J682" i="34"/>
  <c r="J704" i="34"/>
  <c r="J695" i="34"/>
  <c r="J685" i="34"/>
  <c r="J669" i="34"/>
  <c r="J708" i="34"/>
  <c r="J672" i="34"/>
  <c r="J698" i="34"/>
  <c r="J688" i="34"/>
  <c r="J676" i="34"/>
  <c r="H634" i="24" l="1"/>
  <c r="H705" i="24"/>
  <c r="H637" i="24"/>
  <c r="H709" i="24"/>
  <c r="H631" i="24"/>
  <c r="H668" i="24"/>
  <c r="H644" i="24"/>
  <c r="H700" i="24"/>
  <c r="H638" i="24"/>
  <c r="H670" i="24"/>
  <c r="H643" i="24"/>
  <c r="H677" i="24"/>
  <c r="H710" i="24"/>
  <c r="H672" i="24"/>
  <c r="H647" i="24"/>
  <c r="H716" i="24"/>
  <c r="H703" i="24"/>
  <c r="H630" i="24"/>
  <c r="H683" i="24"/>
  <c r="H699" i="24"/>
  <c r="H646" i="24"/>
  <c r="H713" i="24"/>
  <c r="H639" i="24"/>
  <c r="H685" i="24"/>
  <c r="H695" i="24"/>
  <c r="H706" i="24"/>
  <c r="H633" i="24"/>
  <c r="H669" i="24"/>
  <c r="H693" i="24"/>
  <c r="H676" i="24"/>
  <c r="H635" i="24"/>
  <c r="H682" i="24"/>
  <c r="H679" i="24"/>
  <c r="H691" i="24"/>
  <c r="H632" i="24"/>
  <c r="H698" i="24"/>
  <c r="H684" i="24"/>
  <c r="H675" i="24"/>
  <c r="H690" i="24"/>
  <c r="H704" i="24"/>
  <c r="H697" i="24"/>
  <c r="H707" i="24"/>
  <c r="H689" i="24"/>
  <c r="H702" i="24"/>
  <c r="H694" i="24"/>
  <c r="H678" i="24"/>
  <c r="H680" i="24"/>
  <c r="H674" i="24"/>
  <c r="H692" i="24"/>
  <c r="H711" i="24"/>
  <c r="H629" i="24"/>
  <c r="I629" i="24" s="1"/>
  <c r="H641" i="24"/>
  <c r="H645" i="24"/>
  <c r="H712" i="24"/>
  <c r="H642" i="24"/>
  <c r="H696" i="24"/>
  <c r="H701" i="24"/>
  <c r="H687" i="24"/>
  <c r="H681" i="24"/>
  <c r="H673" i="24"/>
  <c r="H708" i="24"/>
  <c r="H671" i="24"/>
  <c r="H636" i="24"/>
  <c r="H686" i="24"/>
  <c r="H688" i="24"/>
  <c r="H640" i="24"/>
  <c r="K644" i="34"/>
  <c r="L647" i="34"/>
  <c r="J715" i="34"/>
  <c r="I681" i="24" l="1"/>
  <c r="I672" i="24"/>
  <c r="I639" i="24"/>
  <c r="I708" i="24"/>
  <c r="I680" i="24"/>
  <c r="I671" i="24"/>
  <c r="I684" i="24"/>
  <c r="I713" i="24"/>
  <c r="I632" i="24"/>
  <c r="I682" i="24"/>
  <c r="I677" i="24"/>
  <c r="I633" i="24"/>
  <c r="I698" i="24"/>
  <c r="I709" i="24"/>
  <c r="I640" i="24"/>
  <c r="I691" i="24"/>
  <c r="I695" i="24"/>
  <c r="I707" i="24"/>
  <c r="I635" i="24"/>
  <c r="I703" i="24"/>
  <c r="I692" i="24"/>
  <c r="I670" i="24"/>
  <c r="I630" i="24"/>
  <c r="J630" i="24" s="1"/>
  <c r="I705" i="24"/>
  <c r="I699" i="24"/>
  <c r="I716" i="24"/>
  <c r="I710" i="24"/>
  <c r="I690" i="24"/>
  <c r="I712" i="24"/>
  <c r="I700" i="24"/>
  <c r="I697" i="24"/>
  <c r="I646" i="24"/>
  <c r="I636" i="24"/>
  <c r="I644" i="24"/>
  <c r="I647" i="24"/>
  <c r="I675" i="24"/>
  <c r="I685" i="24"/>
  <c r="I696" i="24"/>
  <c r="I683" i="24"/>
  <c r="I676" i="24"/>
  <c r="I711" i="24"/>
  <c r="I637" i="24"/>
  <c r="I688" i="24"/>
  <c r="I645" i="24"/>
  <c r="I693" i="24"/>
  <c r="I642" i="24"/>
  <c r="I706" i="24"/>
  <c r="I678" i="24"/>
  <c r="I638" i="24"/>
  <c r="I687" i="24"/>
  <c r="I643" i="24"/>
  <c r="I631" i="24"/>
  <c r="I702" i="24"/>
  <c r="I689" i="24"/>
  <c r="I679" i="24"/>
  <c r="I668" i="24"/>
  <c r="I694" i="24"/>
  <c r="I634" i="24"/>
  <c r="I701" i="24"/>
  <c r="I704" i="24"/>
  <c r="I674" i="24"/>
  <c r="I641" i="24"/>
  <c r="I669" i="24"/>
  <c r="I673" i="24"/>
  <c r="I686" i="24"/>
  <c r="H715" i="24"/>
  <c r="L716" i="34"/>
  <c r="L699" i="34"/>
  <c r="L683" i="34"/>
  <c r="L712" i="34"/>
  <c r="L696" i="34"/>
  <c r="L680" i="34"/>
  <c r="L709" i="34"/>
  <c r="L693" i="34"/>
  <c r="L677" i="34"/>
  <c r="L706" i="34"/>
  <c r="L690" i="34"/>
  <c r="L674" i="34"/>
  <c r="L703" i="34"/>
  <c r="L687" i="34"/>
  <c r="L671" i="34"/>
  <c r="L700" i="34"/>
  <c r="M700" i="34" s="1"/>
  <c r="L684" i="34"/>
  <c r="L668" i="34"/>
  <c r="L713" i="34"/>
  <c r="L697" i="34"/>
  <c r="L710" i="34"/>
  <c r="L694" i="34"/>
  <c r="L678" i="34"/>
  <c r="L707" i="34"/>
  <c r="L691" i="34"/>
  <c r="L675" i="34"/>
  <c r="L704" i="34"/>
  <c r="L688" i="34"/>
  <c r="L672" i="34"/>
  <c r="L701" i="34"/>
  <c r="M701" i="34" s="1"/>
  <c r="L685" i="34"/>
  <c r="M685" i="34" s="1"/>
  <c r="L669" i="34"/>
  <c r="M669" i="34" s="1"/>
  <c r="L711" i="34"/>
  <c r="L679" i="34"/>
  <c r="L702" i="34"/>
  <c r="L692" i="34"/>
  <c r="L682" i="34"/>
  <c r="L705" i="34"/>
  <c r="L695" i="34"/>
  <c r="L670" i="34"/>
  <c r="L686" i="34"/>
  <c r="L681" i="34"/>
  <c r="L673" i="34"/>
  <c r="L708" i="34"/>
  <c r="M708" i="34" s="1"/>
  <c r="L698" i="34"/>
  <c r="L689" i="34"/>
  <c r="L676" i="34"/>
  <c r="K702" i="34"/>
  <c r="K686" i="34"/>
  <c r="K670" i="34"/>
  <c r="K716" i="34"/>
  <c r="K699" i="34"/>
  <c r="K683" i="34"/>
  <c r="K712" i="34"/>
  <c r="K696" i="34"/>
  <c r="K680" i="34"/>
  <c r="K709" i="34"/>
  <c r="K693" i="34"/>
  <c r="K677" i="34"/>
  <c r="K706" i="34"/>
  <c r="K690" i="34"/>
  <c r="K674" i="34"/>
  <c r="K703" i="34"/>
  <c r="K687" i="34"/>
  <c r="K671" i="34"/>
  <c r="K700" i="34"/>
  <c r="K684" i="34"/>
  <c r="K713" i="34"/>
  <c r="K697" i="34"/>
  <c r="K681" i="34"/>
  <c r="K710" i="34"/>
  <c r="K694" i="34"/>
  <c r="K678" i="34"/>
  <c r="K707" i="34"/>
  <c r="K691" i="34"/>
  <c r="K675" i="34"/>
  <c r="K704" i="34"/>
  <c r="K688" i="34"/>
  <c r="K672" i="34"/>
  <c r="K711" i="34"/>
  <c r="K679" i="34"/>
  <c r="K701" i="34"/>
  <c r="K692" i="34"/>
  <c r="K682" i="34"/>
  <c r="K705" i="34"/>
  <c r="K695" i="34"/>
  <c r="K685" i="34"/>
  <c r="K669" i="34"/>
  <c r="K673" i="34"/>
  <c r="K708" i="34"/>
  <c r="K698" i="34"/>
  <c r="K689" i="34"/>
  <c r="K676" i="34"/>
  <c r="K668" i="34"/>
  <c r="J700" i="24" l="1"/>
  <c r="J642" i="24"/>
  <c r="J709" i="24"/>
  <c r="J635" i="24"/>
  <c r="J675" i="24"/>
  <c r="J676" i="24"/>
  <c r="J643" i="24"/>
  <c r="J644" i="24"/>
  <c r="J678" i="24"/>
  <c r="J646" i="24"/>
  <c r="J683" i="24"/>
  <c r="J639" i="24"/>
  <c r="J706" i="24"/>
  <c r="J674" i="24"/>
  <c r="J712" i="24"/>
  <c r="J702" i="24"/>
  <c r="J703" i="24"/>
  <c r="J707" i="24"/>
  <c r="J632" i="24"/>
  <c r="J633" i="24"/>
  <c r="J687" i="24"/>
  <c r="J686" i="24"/>
  <c r="J696" i="24"/>
  <c r="J641" i="24"/>
  <c r="J645" i="24"/>
  <c r="J693" i="24"/>
  <c r="J708" i="24"/>
  <c r="J672" i="24"/>
  <c r="J688" i="24"/>
  <c r="J690" i="24"/>
  <c r="J713" i="24"/>
  <c r="J647" i="24"/>
  <c r="L647" i="24" s="1"/>
  <c r="J698" i="24"/>
  <c r="J711" i="24"/>
  <c r="J638" i="24"/>
  <c r="J679" i="24"/>
  <c r="J684" i="24"/>
  <c r="J697" i="24"/>
  <c r="J691" i="24"/>
  <c r="J680" i="24"/>
  <c r="J705" i="24"/>
  <c r="J631" i="24"/>
  <c r="J681" i="24"/>
  <c r="J669" i="24"/>
  <c r="J699" i="24"/>
  <c r="J673" i="24"/>
  <c r="J682" i="24"/>
  <c r="J668" i="24"/>
  <c r="J689" i="24"/>
  <c r="J640" i="24"/>
  <c r="J701" i="24"/>
  <c r="J704" i="24"/>
  <c r="J695" i="24"/>
  <c r="J636" i="24"/>
  <c r="J637" i="24"/>
  <c r="J710" i="24"/>
  <c r="J685" i="24"/>
  <c r="J670" i="24"/>
  <c r="J716" i="24"/>
  <c r="J634" i="24"/>
  <c r="J694" i="24"/>
  <c r="J671" i="24"/>
  <c r="J677" i="24"/>
  <c r="J692" i="24"/>
  <c r="I715" i="24"/>
  <c r="M673" i="34"/>
  <c r="M681" i="34"/>
  <c r="M698" i="34"/>
  <c r="M670" i="34"/>
  <c r="M689" i="34"/>
  <c r="M682" i="34"/>
  <c r="M711" i="34"/>
  <c r="M684" i="34"/>
  <c r="M676" i="34"/>
  <c r="M706" i="34"/>
  <c r="M707" i="34"/>
  <c r="M693" i="34"/>
  <c r="M671" i="34"/>
  <c r="M695" i="34"/>
  <c r="M678" i="34"/>
  <c r="M709" i="34"/>
  <c r="M677" i="34"/>
  <c r="M705" i="34"/>
  <c r="M694" i="34"/>
  <c r="M680" i="34"/>
  <c r="M703" i="34"/>
  <c r="M674" i="34"/>
  <c r="M710" i="34"/>
  <c r="M696" i="34"/>
  <c r="K715" i="34"/>
  <c r="M704" i="34"/>
  <c r="M692" i="34"/>
  <c r="M697" i="34"/>
  <c r="M712" i="34"/>
  <c r="M672" i="34"/>
  <c r="M690" i="34"/>
  <c r="M686" i="34"/>
  <c r="M702" i="34"/>
  <c r="M713" i="34"/>
  <c r="M683" i="34"/>
  <c r="M687" i="34"/>
  <c r="M688" i="34"/>
  <c r="M675" i="34"/>
  <c r="M691" i="34"/>
  <c r="M679" i="34"/>
  <c r="L715" i="34"/>
  <c r="M668" i="34"/>
  <c r="M699" i="34"/>
  <c r="L707" i="24" l="1"/>
  <c r="L683" i="24"/>
  <c r="L675" i="24"/>
  <c r="L697" i="24"/>
  <c r="L681" i="24"/>
  <c r="L682" i="24"/>
  <c r="L670" i="24"/>
  <c r="L698" i="24"/>
  <c r="L704" i="24"/>
  <c r="L693" i="24"/>
  <c r="L679" i="24"/>
  <c r="L671" i="24"/>
  <c r="L716" i="24"/>
  <c r="L699" i="24"/>
  <c r="L680" i="24"/>
  <c r="L678" i="24"/>
  <c r="L684" i="24"/>
  <c r="L689" i="24"/>
  <c r="L703" i="24"/>
  <c r="L696" i="24"/>
  <c r="L705" i="24"/>
  <c r="L672" i="24"/>
  <c r="L691" i="24"/>
  <c r="L687" i="24"/>
  <c r="L709" i="24"/>
  <c r="L674" i="24"/>
  <c r="L700" i="24"/>
  <c r="L673" i="24"/>
  <c r="L706" i="24"/>
  <c r="L710" i="24"/>
  <c r="L711" i="24"/>
  <c r="L702" i="24"/>
  <c r="L695" i="24"/>
  <c r="L685" i="24"/>
  <c r="L713" i="24"/>
  <c r="L712" i="24"/>
  <c r="L708" i="24"/>
  <c r="L701" i="24"/>
  <c r="L686" i="24"/>
  <c r="L688" i="24"/>
  <c r="L677" i="24"/>
  <c r="L676" i="24"/>
  <c r="L690" i="24"/>
  <c r="L668" i="24"/>
  <c r="L669" i="24"/>
  <c r="L694" i="24"/>
  <c r="L692" i="24"/>
  <c r="J715" i="24"/>
  <c r="K644" i="24"/>
  <c r="M715" i="34"/>
  <c r="L715" i="24" l="1"/>
  <c r="K668" i="24"/>
  <c r="K704" i="24"/>
  <c r="M704" i="24" s="1"/>
  <c r="D183" i="32" s="1"/>
  <c r="K707" i="24"/>
  <c r="M707" i="24" s="1"/>
  <c r="G183" i="32" s="1"/>
  <c r="K698" i="24"/>
  <c r="K684" i="24"/>
  <c r="M684" i="24" s="1"/>
  <c r="E87" i="32" s="1"/>
  <c r="K711" i="24"/>
  <c r="M711" i="24" s="1"/>
  <c r="D215" i="32" s="1"/>
  <c r="K678" i="24"/>
  <c r="M678" i="24" s="1"/>
  <c r="F55" i="32" s="1"/>
  <c r="K712" i="24"/>
  <c r="M712" i="24" s="1"/>
  <c r="E215" i="32" s="1"/>
  <c r="K705" i="24"/>
  <c r="M705" i="24" s="1"/>
  <c r="E183" i="32" s="1"/>
  <c r="K669" i="24"/>
  <c r="M669" i="24" s="1"/>
  <c r="D23" i="32" s="1"/>
  <c r="K697" i="24"/>
  <c r="M697" i="24" s="1"/>
  <c r="D151" i="32" s="1"/>
  <c r="K685" i="24"/>
  <c r="M685" i="24" s="1"/>
  <c r="F87" i="32" s="1"/>
  <c r="K688" i="24"/>
  <c r="M688" i="24" s="1"/>
  <c r="I87" i="32" s="1"/>
  <c r="K671" i="24"/>
  <c r="M671" i="24" s="1"/>
  <c r="F23" i="32" s="1"/>
  <c r="K706" i="24"/>
  <c r="M706" i="24" s="1"/>
  <c r="F183" i="32" s="1"/>
  <c r="K670" i="24"/>
  <c r="M670" i="24" s="1"/>
  <c r="E23" i="32" s="1"/>
  <c r="K695" i="24"/>
  <c r="M695" i="24" s="1"/>
  <c r="I119" i="32" s="1"/>
  <c r="K676" i="24"/>
  <c r="M676" i="24" s="1"/>
  <c r="D55" i="32" s="1"/>
  <c r="K675" i="24"/>
  <c r="M675" i="24" s="1"/>
  <c r="C55" i="32" s="1"/>
  <c r="K702" i="24"/>
  <c r="M702" i="24" s="1"/>
  <c r="I151" i="32" s="1"/>
  <c r="K677" i="24"/>
  <c r="M677" i="24" s="1"/>
  <c r="E55" i="32" s="1"/>
  <c r="K672" i="24"/>
  <c r="M672" i="24" s="1"/>
  <c r="G23" i="32" s="1"/>
  <c r="K674" i="24"/>
  <c r="M674" i="24" s="1"/>
  <c r="I23" i="32" s="1"/>
  <c r="K691" i="24"/>
  <c r="M691" i="24" s="1"/>
  <c r="E119" i="32" s="1"/>
  <c r="K709" i="24"/>
  <c r="M709" i="24" s="1"/>
  <c r="I183" i="32" s="1"/>
  <c r="K692" i="24"/>
  <c r="M692" i="24" s="1"/>
  <c r="F119" i="32" s="1"/>
  <c r="K689" i="24"/>
  <c r="M689" i="24" s="1"/>
  <c r="C119" i="32" s="1"/>
  <c r="K708" i="24"/>
  <c r="M708" i="24" s="1"/>
  <c r="H183" i="32" s="1"/>
  <c r="K682" i="24"/>
  <c r="M682" i="24" s="1"/>
  <c r="C87" i="32" s="1"/>
  <c r="K673" i="24"/>
  <c r="M673" i="24" s="1"/>
  <c r="H23" i="32" s="1"/>
  <c r="K679" i="24"/>
  <c r="M679" i="24" s="1"/>
  <c r="G55" i="32" s="1"/>
  <c r="K700" i="24"/>
  <c r="M700" i="24" s="1"/>
  <c r="G151" i="32" s="1"/>
  <c r="K710" i="24"/>
  <c r="M710" i="24" s="1"/>
  <c r="C215" i="32" s="1"/>
  <c r="K701" i="24"/>
  <c r="M701" i="24" s="1"/>
  <c r="H151" i="32" s="1"/>
  <c r="K693" i="24"/>
  <c r="M693" i="24" s="1"/>
  <c r="G119" i="32" s="1"/>
  <c r="K690" i="24"/>
  <c r="M690" i="24" s="1"/>
  <c r="D119" i="32" s="1"/>
  <c r="K687" i="24"/>
  <c r="M687" i="24" s="1"/>
  <c r="H87" i="32" s="1"/>
  <c r="K716" i="24"/>
  <c r="K680" i="24"/>
  <c r="M680" i="24" s="1"/>
  <c r="H55" i="32" s="1"/>
  <c r="K699" i="24"/>
  <c r="M699" i="24" s="1"/>
  <c r="F151" i="32" s="1"/>
  <c r="K681" i="24"/>
  <c r="M681" i="24" s="1"/>
  <c r="I55" i="32" s="1"/>
  <c r="K713" i="24"/>
  <c r="M713" i="24" s="1"/>
  <c r="F215" i="32" s="1"/>
  <c r="K696" i="24"/>
  <c r="M696" i="24" s="1"/>
  <c r="C151" i="32" s="1"/>
  <c r="K686" i="24"/>
  <c r="M686" i="24" s="1"/>
  <c r="G87" i="32" s="1"/>
  <c r="K683" i="24"/>
  <c r="M683" i="24" s="1"/>
  <c r="D87" i="32" s="1"/>
  <c r="K694" i="24"/>
  <c r="M694" i="24" s="1"/>
  <c r="H119" i="32" s="1"/>
  <c r="K703" i="24"/>
  <c r="M703" i="24" s="1"/>
  <c r="C183" i="32" s="1"/>
  <c r="M698" i="24"/>
  <c r="E151" i="32" s="1"/>
  <c r="K715" i="24" l="1"/>
  <c r="M668" i="24"/>
  <c r="C23" i="32" l="1"/>
  <c r="M715" i="24"/>
</calcChain>
</file>

<file path=xl/sharedStrings.xml><?xml version="1.0" encoding="utf-8"?>
<sst xmlns="http://schemas.openxmlformats.org/spreadsheetml/2006/main" count="4813" uniqueCount="1403">
  <si>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</si>
  <si>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</si>
  <si>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</si>
  <si>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</si>
  <si>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</si>
  <si>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</si>
  <si>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</si>
  <si>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</si>
  <si>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</si>
  <si>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</si>
  <si>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</si>
  <si>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</si>
  <si>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</si>
  <si>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</si>
  <si>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</si>
  <si>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</si>
  <si>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</si>
  <si>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</si>
  <si>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</si>
  <si>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</si>
  <si>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</si>
  <si>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</si>
  <si>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</si>
  <si>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</si>
  <si>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</si>
  <si>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</si>
  <si>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</si>
  <si>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</si>
  <si>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</si>
  <si>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</si>
  <si>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</si>
  <si>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</si>
  <si>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</si>
  <si>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</si>
  <si>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</si>
  <si>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</si>
  <si>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</si>
  <si>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</si>
  <si>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</si>
  <si>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</si>
  <si>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</si>
  <si>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</si>
  <si>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</si>
  <si>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</si>
  <si>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</si>
  <si>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</si>
  <si>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</si>
  <si>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</si>
  <si>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</si>
  <si>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</si>
  <si>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</si>
  <si>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</si>
  <si>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</si>
  <si>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</si>
  <si>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</si>
  <si>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</si>
  <si>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</si>
  <si>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</si>
  <si>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</si>
  <si>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</si>
  <si>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</si>
  <si>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</si>
  <si>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</si>
  <si>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</si>
  <si>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</si>
  <si>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</si>
  <si>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</si>
  <si>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</si>
  <si>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</si>
  <si>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</si>
  <si>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</si>
  <si>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</si>
  <si>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</si>
  <si>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</si>
  <si>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</si>
  <si>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</si>
  <si>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</si>
  <si>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</si>
  <si>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</si>
  <si>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</si>
  <si>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</si>
  <si>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</si>
  <si>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</si>
  <si>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</si>
  <si>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</si>
  <si>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</si>
  <si>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</si>
  <si>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</si>
  <si>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</si>
  <si>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</si>
  <si>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</si>
  <si>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</si>
  <si>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</si>
  <si>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</si>
  <si>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</si>
  <si>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</si>
  <si>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</si>
  <si>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</si>
  <si>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</si>
  <si>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</si>
  <si>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</si>
  <si>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</si>
  <si>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</si>
  <si>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</si>
  <si>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</si>
  <si>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</si>
  <si>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</si>
  <si>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</si>
  <si>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</si>
  <si>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</si>
  <si>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</si>
  <si>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</si>
  <si>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</si>
  <si>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</si>
  <si>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</si>
  <si>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</si>
  <si>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</si>
  <si>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</si>
  <si>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</si>
  <si>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</si>
  <si>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</si>
  <si>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</si>
  <si>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</si>
  <si>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</si>
  <si>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</si>
  <si>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</si>
  <si>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</si>
  <si>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</si>
  <si>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</si>
  <si>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</si>
  <si>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</si>
  <si>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</si>
  <si>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</si>
  <si>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</si>
  <si>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</si>
  <si>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</si>
  <si>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</si>
  <si>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</si>
  <si>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</si>
  <si>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</si>
  <si>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</si>
  <si>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</si>
  <si>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</si>
  <si>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</si>
  <si>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</si>
  <si>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</si>
  <si>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</si>
  <si>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</si>
  <si>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</si>
  <si>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</si>
  <si>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</si>
  <si>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</si>
  <si>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</si>
  <si>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</si>
  <si>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</si>
  <si>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</si>
  <si>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</si>
  <si>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</si>
  <si>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</si>
  <si>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</si>
  <si>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</si>
  <si>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</si>
  <si>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</si>
  <si>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</si>
  <si>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</si>
  <si>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</si>
  <si>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</si>
  <si>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</si>
  <si>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</si>
  <si>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</si>
  <si>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</si>
  <si>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</si>
  <si>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</si>
  <si>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</si>
  <si>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</si>
  <si>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</si>
  <si>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</si>
  <si>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</si>
  <si>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</si>
  <si>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</si>
  <si>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</si>
  <si>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</si>
  <si>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</si>
  <si>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</si>
  <si>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</si>
  <si>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</si>
  <si>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</si>
  <si>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</si>
  <si>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</si>
  <si>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</si>
  <si>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</si>
  <si>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</si>
  <si>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</si>
  <si>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</si>
  <si>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</si>
  <si>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</si>
  <si>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</si>
  <si>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</si>
  <si>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</si>
  <si>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</si>
  <si>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</si>
  <si>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</si>
  <si>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</si>
  <si>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</si>
  <si>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</si>
  <si>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</si>
  <si>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</si>
  <si>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</si>
  <si>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</si>
  <si>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</si>
  <si>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</si>
  <si>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</si>
  <si>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</si>
  <si>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</si>
  <si>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</si>
  <si>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</si>
  <si>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</si>
  <si>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</si>
  <si>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</si>
  <si>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</si>
  <si>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</si>
  <si>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</si>
  <si>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</si>
  <si>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</si>
  <si>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</si>
  <si>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</si>
  <si>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</si>
  <si>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</si>
  <si>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</si>
  <si>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</si>
  <si>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</si>
  <si>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</si>
  <si>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</si>
  <si>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</si>
  <si>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</si>
  <si>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</si>
  <si>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</si>
  <si>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</si>
  <si>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</si>
  <si>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</si>
  <si>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</si>
  <si>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</si>
  <si>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</si>
  <si>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</si>
  <si>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</si>
  <si>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</si>
  <si>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</si>
  <si>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</si>
  <si>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</si>
  <si>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</si>
  <si>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</si>
  <si>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</si>
  <si>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</si>
  <si>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</si>
  <si>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</si>
  <si>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</si>
  <si>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</si>
  <si>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</si>
  <si>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</si>
  <si>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</si>
  <si>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</si>
  <si>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</si>
  <si>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</si>
  <si>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</si>
  <si>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</si>
  <si>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</si>
  <si>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</si>
  <si>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</si>
  <si>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</si>
  <si>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</si>
  <si>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</si>
  <si>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</si>
  <si>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</si>
  <si>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</si>
  <si>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</si>
  <si>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</si>
  <si>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</si>
  <si>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</si>
  <si>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</si>
  <si>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</si>
  <si>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</si>
  <si>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</si>
  <si>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</si>
  <si>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</si>
  <si>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</si>
  <si>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</si>
  <si>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</si>
  <si>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</si>
  <si>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</si>
  <si>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</si>
  <si>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</si>
  <si>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</si>
  <si>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</si>
  <si>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</si>
  <si>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</si>
  <si>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</si>
  <si>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</si>
  <si>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</si>
  <si>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</si>
  <si>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</si>
  <si>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152</t>
  </si>
  <si>
    <t>Hospital Name</t>
  </si>
  <si>
    <t>Public Hospital District No 1 of Mason County, WA, DBA Mason Health</t>
  </si>
  <si>
    <t>Mailing Address</t>
  </si>
  <si>
    <t>901 Mountain View Drive</t>
  </si>
  <si>
    <t>City</t>
  </si>
  <si>
    <t>Shelton</t>
  </si>
  <si>
    <t>State</t>
  </si>
  <si>
    <t>WA</t>
  </si>
  <si>
    <t>Zip</t>
  </si>
  <si>
    <t>County</t>
  </si>
  <si>
    <t>Mason</t>
  </si>
  <si>
    <t>Chief Executive Officer</t>
  </si>
  <si>
    <t>Eric Moll</t>
  </si>
  <si>
    <t>Chief Financial Officer</t>
  </si>
  <si>
    <t>Steve Leslie</t>
  </si>
  <si>
    <t>Chair of Governing Board</t>
  </si>
  <si>
    <t>Darren Moody</t>
  </si>
  <si>
    <t>Telephone Number</t>
  </si>
  <si>
    <t>Facsimile Number</t>
  </si>
  <si>
    <t>Name of Submitter</t>
  </si>
  <si>
    <t>Kristi Bratton</t>
  </si>
  <si>
    <t>Email of Submitter</t>
  </si>
  <si>
    <t>kbratton@masongeneral.com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</si>
  <si>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</si>
  <si>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</si>
  <si>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</si>
  <si>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</si>
  <si>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</si>
  <si>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</si>
  <si>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</si>
  <si>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</si>
  <si>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</si>
  <si>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</si>
  <si>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</si>
  <si>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</si>
  <si>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</si>
  <si>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</si>
  <si>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</si>
  <si>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</si>
  <si>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</si>
  <si>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</si>
  <si>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</si>
  <si>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</si>
  <si>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</si>
  <si>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</si>
  <si>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</si>
  <si>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</si>
  <si>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</si>
  <si>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</si>
  <si>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</si>
  <si>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</si>
  <si>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</si>
  <si>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</si>
  <si>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</si>
  <si>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</si>
  <si>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</si>
  <si>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</si>
  <si>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</si>
  <si>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</si>
  <si>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</si>
  <si>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</si>
  <si>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</si>
  <si>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</si>
  <si>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</si>
  <si>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</si>
  <si>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</si>
  <si>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</si>
  <si>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</si>
  <si>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</si>
  <si>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</si>
  <si>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</si>
  <si>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</si>
  <si>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</si>
  <si>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</si>
  <si>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</si>
  <si>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</si>
  <si>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</si>
  <si>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</si>
  <si>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</si>
  <si>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</si>
  <si>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</si>
  <si>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</si>
  <si>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</si>
  <si>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</si>
  <si>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</si>
  <si>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</si>
  <si>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</si>
  <si>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</si>
  <si>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</si>
  <si>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</si>
  <si>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</si>
  <si>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</si>
  <si>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</si>
  <si>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</si>
  <si>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</si>
  <si>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</si>
  <si>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</si>
  <si>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</si>
  <si>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</si>
  <si>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</si>
  <si>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</si>
  <si>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</si>
  <si>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</si>
  <si>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</si>
  <si>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</si>
  <si>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</si>
  <si>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</si>
  <si>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</si>
  <si>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</si>
  <si>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</si>
  <si>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</si>
  <si>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</si>
  <si>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</si>
  <si>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</si>
  <si>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</si>
  <si>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</si>
  <si>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</si>
  <si>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</si>
  <si>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</si>
  <si>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</si>
  <si>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</si>
  <si>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</si>
  <si>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</si>
  <si>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</si>
  <si>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</si>
  <si>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</si>
  <si>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</si>
  <si>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</si>
  <si>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</si>
  <si>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</si>
  <si>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</si>
  <si>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</si>
  <si>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</si>
  <si>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</si>
  <si>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</si>
  <si>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</si>
  <si>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</si>
  <si>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</si>
  <si>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</si>
  <si>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</si>
  <si>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</si>
  <si>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</si>
  <si>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</si>
  <si>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</si>
  <si>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</si>
  <si>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</si>
  <si>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</si>
  <si>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</si>
  <si>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</si>
  <si>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</si>
  <si>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</si>
  <si>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</si>
  <si>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</si>
  <si>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</si>
  <si>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</si>
  <si>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</si>
  <si>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</si>
  <si>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</si>
  <si>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</si>
  <si>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</si>
  <si>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</si>
  <si>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</si>
  <si>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</si>
  <si>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</si>
  <si>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</si>
  <si>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</si>
  <si>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</si>
  <si>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</si>
  <si>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</si>
  <si>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</si>
  <si>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</si>
  <si>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</si>
  <si>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</si>
  <si>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</si>
  <si>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</si>
  <si>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</si>
  <si>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</si>
  <si>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</si>
  <si>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</si>
  <si>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</si>
  <si>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</si>
  <si>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</si>
  <si>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</si>
  <si>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</si>
  <si>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</si>
  <si>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</si>
  <si>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</si>
  <si>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</si>
  <si>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</si>
  <si>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</si>
  <si>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</si>
  <si>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</si>
  <si>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</si>
  <si>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</si>
  <si>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</si>
  <si>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</si>
  <si>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</si>
  <si>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</si>
  <si>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</si>
  <si>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</si>
  <si>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</si>
  <si>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</si>
  <si>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</si>
  <si>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</si>
  <si>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</si>
  <si>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</si>
  <si>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</si>
  <si>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</si>
  <si>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</si>
  <si>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</si>
  <si>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</si>
  <si>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</si>
  <si>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</si>
  <si>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</si>
  <si>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</si>
  <si>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</si>
  <si>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</si>
  <si>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</si>
  <si>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</si>
  <si>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</si>
  <si>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</si>
  <si>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</si>
  <si>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</si>
  <si>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</si>
  <si>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</si>
  <si>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</si>
  <si>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</si>
  <si>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</si>
  <si>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</si>
  <si>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</si>
  <si>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</si>
  <si>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</si>
  <si>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</si>
  <si>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</si>
  <si>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</si>
  <si>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</si>
  <si>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</si>
  <si>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</si>
  <si>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</si>
  <si>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</si>
  <si>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</si>
  <si>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</si>
  <si>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</si>
  <si>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</si>
  <si>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</si>
  <si>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</si>
  <si>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</si>
  <si>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</si>
  <si>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</si>
  <si>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</si>
  <si>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</si>
  <si>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</si>
  <si>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</si>
  <si>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</si>
  <si>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</si>
  <si>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</si>
  <si>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</si>
  <si>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</si>
  <si>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</si>
  <si>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</si>
  <si>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</si>
  <si>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</si>
  <si>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</si>
  <si>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</si>
  <si>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</si>
  <si>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</si>
  <si>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</si>
  <si>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</si>
  <si>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</si>
  <si>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</si>
  <si>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</si>
  <si>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</si>
  <si>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</si>
  <si>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</si>
  <si>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</si>
  <si>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</si>
  <si>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</si>
  <si>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</si>
  <si>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</si>
  <si>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</si>
  <si>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</si>
  <si>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</si>
  <si>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</si>
  <si>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</si>
  <si>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</si>
  <si>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</si>
  <si>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</si>
  <si>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</si>
  <si>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</si>
  <si>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</si>
  <si>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</si>
  <si>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</si>
  <si>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</si>
  <si>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</si>
  <si>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</si>
  <si>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</si>
  <si>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</si>
  <si>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</si>
  <si>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</si>
  <si>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</si>
  <si>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</si>
  <si>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</si>
  <si>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</si>
  <si>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</si>
  <si>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</si>
  <si>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</si>
  <si>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</si>
  <si>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</si>
  <si>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</si>
  <si>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</si>
  <si>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</si>
  <si>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</si>
  <si>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</si>
  <si>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</si>
  <si>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</si>
  <si>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</si>
  <si>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</si>
  <si>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</si>
  <si>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</si>
  <si>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</si>
  <si>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</si>
  <si>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</si>
  <si>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</si>
  <si>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</si>
  <si>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</si>
  <si>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</si>
  <si>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</si>
  <si>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</si>
  <si>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</si>
  <si>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</si>
  <si>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</si>
  <si>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</si>
  <si>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</si>
  <si>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</si>
  <si>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</si>
  <si>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</si>
  <si>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</si>
  <si>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</si>
  <si>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</si>
  <si>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</si>
  <si>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</si>
  <si>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</si>
  <si>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</si>
  <si>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</si>
  <si>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</si>
  <si>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</si>
  <si>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</si>
  <si>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</si>
  <si>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</si>
  <si>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</si>
  <si>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</si>
  <si>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</si>
  <si>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</si>
  <si>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</si>
  <si>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</si>
  <si>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</si>
  <si>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</si>
  <si>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</si>
  <si>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</si>
  <si>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</si>
  <si>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</si>
  <si>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</si>
  <si>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</si>
  <si>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</si>
  <si>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</si>
  <si>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</si>
  <si>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</si>
  <si>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</si>
  <si>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</si>
  <si>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</si>
  <si>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</si>
  <si>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</si>
  <si>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</si>
  <si>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</si>
  <si>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</si>
  <si>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</si>
  <si>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</si>
  <si>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</si>
  <si>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</si>
  <si>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</si>
  <si>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</si>
  <si>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</si>
  <si>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</si>
  <si>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</si>
  <si>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</si>
  <si>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</si>
  <si>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</si>
  <si>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</si>
  <si>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</si>
  <si>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</si>
  <si>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</si>
  <si>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</si>
  <si>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</si>
  <si>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</si>
  <si>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</si>
  <si>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</si>
  <si>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</si>
  <si>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</si>
  <si>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</si>
  <si>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</si>
  <si>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</si>
  <si>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</si>
  <si>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</si>
  <si>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</si>
  <si>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</si>
  <si>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</si>
  <si>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</si>
  <si>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</si>
  <si>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</si>
  <si>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901 Mountain View Drive, PO Box 1668</t>
  </si>
  <si>
    <t>City and Zip Code:</t>
  </si>
  <si>
    <t>Shelton, WA  98584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</si>
  <si>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</si>
  <si>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</si>
  <si>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</si>
  <si>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</si>
  <si>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</si>
  <si>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</si>
  <si>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Eric Moll - CEO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</si>
  <si>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</si>
  <si>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</si>
  <si>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</si>
  <si>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</si>
  <si>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</si>
  <si>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</si>
  <si>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</si>
  <si>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</si>
  <si>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</si>
  <si>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</si>
  <si>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</si>
  <si>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</si>
  <si>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</si>
  <si>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</si>
  <si>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</si>
  <si>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</si>
  <si>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</si>
  <si>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</si>
  <si>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</si>
  <si>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</si>
  <si>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</si>
  <si>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</si>
  <si>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</si>
  <si>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</si>
  <si>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</si>
  <si>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</si>
  <si>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</si>
  <si>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</si>
  <si>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</si>
  <si>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</si>
  <si>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</si>
  <si>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</si>
  <si>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</si>
  <si>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</si>
  <si>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</si>
  <si>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</si>
  <si>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</si>
  <si>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</si>
  <si>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</si>
  <si>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</si>
  <si>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</si>
  <si>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</si>
  <si>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</si>
  <si>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</si>
  <si>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</si>
  <si>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</si>
  <si>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</si>
  <si>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</si>
  <si>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</si>
  <si>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</si>
  <si>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</si>
  <si>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</si>
  <si>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</si>
  <si>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</si>
  <si>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</si>
  <si>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</si>
  <si>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</si>
  <si>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</si>
  <si>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</si>
  <si>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</si>
  <si>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</si>
  <si>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</si>
  <si>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</si>
  <si>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</si>
  <si>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</si>
  <si>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</si>
  <si>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</si>
  <si>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</si>
  <si>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</si>
  <si>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</si>
  <si>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</si>
  <si>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</si>
  <si>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</si>
  <si>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</si>
  <si>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</si>
  <si>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</si>
  <si>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</si>
  <si>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</si>
  <si>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</si>
  <si>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</si>
  <si>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</si>
  <si>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</si>
  <si>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</si>
  <si>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</si>
  <si>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</si>
  <si>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</si>
  <si>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</si>
  <si>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</si>
  <si>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</si>
  <si>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</si>
  <si>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</si>
  <si>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</si>
  <si>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</si>
  <si>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</si>
  <si>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</si>
  <si>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</si>
  <si>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</si>
  <si>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</si>
  <si>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</si>
  <si>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</si>
  <si>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</si>
  <si>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</si>
  <si>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</si>
  <si>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</si>
  <si>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</si>
  <si>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</si>
  <si>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</si>
  <si>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</si>
  <si>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</si>
  <si>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</si>
  <si>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</si>
  <si>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</si>
  <si>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</si>
  <si>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</si>
  <si>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Darrin Moody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</si>
  <si>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</si>
  <si>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</si>
  <si>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</si>
  <si>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</si>
  <si>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</si>
  <si>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</si>
  <si>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</si>
  <si>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</si>
  <si>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</si>
  <si>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</si>
  <si>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</si>
  <si>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</si>
  <si>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</si>
  <si>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</si>
  <si>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</si>
  <si>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</si>
  <si>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</si>
  <si>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</si>
  <si>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</si>
  <si>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</si>
  <si>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</si>
  <si>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</si>
  <si>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</si>
  <si>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</si>
  <si>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</si>
  <si>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</si>
  <si>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</si>
  <si>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</si>
  <si>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</si>
  <si>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</si>
  <si>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</si>
  <si>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</si>
  <si>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</si>
  <si>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</si>
  <si>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</si>
  <si>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</si>
  <si>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</si>
  <si>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</si>
  <si>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</si>
  <si>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</si>
  <si>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</si>
  <si>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</si>
  <si>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</si>
  <si>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</si>
  <si>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</si>
  <si>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</si>
  <si>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</si>
  <si>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</si>
  <si>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</si>
  <si>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</si>
  <si>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</si>
  <si>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</si>
  <si>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</si>
  <si>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</si>
  <si>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</si>
  <si>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</si>
  <si>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</si>
  <si>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</si>
  <si>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</si>
  <si>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</si>
  <si>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</si>
  <si>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</si>
  <si>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</si>
  <si>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</si>
  <si>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</si>
  <si>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</si>
  <si>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</si>
  <si>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</si>
  <si>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</si>
  <si>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</si>
  <si>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</si>
  <si>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</si>
  <si>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</si>
  <si>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</si>
  <si>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</si>
  <si>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</si>
  <si>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</si>
  <si>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</si>
  <si>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</si>
  <si>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</si>
  <si>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</si>
  <si>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</si>
  <si>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</si>
  <si>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</si>
  <si>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</si>
  <si>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</si>
  <si>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</si>
  <si>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</si>
  <si>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</si>
  <si>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</si>
  <si>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</si>
  <si>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</si>
  <si>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</si>
  <si>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</si>
  <si>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</si>
  <si>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</si>
  <si>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</si>
  <si>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</si>
  <si>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</si>
  <si>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</si>
  <si>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</si>
  <si>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</si>
  <si>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</si>
  <si>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</si>
  <si>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</si>
  <si>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</si>
  <si>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</si>
  <si>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</si>
  <si>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</si>
  <si>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</si>
  <si>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</si>
  <si>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</si>
  <si>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</si>
  <si>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</si>
  <si>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</si>
  <si>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</si>
  <si>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</si>
  <si>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</si>
  <si>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</si>
  <si>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</si>
  <si>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</si>
  <si>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</si>
  <si>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</si>
  <si>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</si>
  <si>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</si>
  <si>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</si>
  <si>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</si>
  <si>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</si>
  <si>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</si>
  <si>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</si>
  <si>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</si>
  <si>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</si>
  <si>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</si>
  <si>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</si>
  <si>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</si>
  <si>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</si>
  <si>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</si>
  <si>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</si>
  <si>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</si>
  <si>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</si>
  <si>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</si>
  <si>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</si>
  <si>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</si>
  <si>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</si>
  <si>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</si>
  <si>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</si>
  <si>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</si>
  <si>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</si>
  <si>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</si>
  <si>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</si>
  <si>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</si>
  <si>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</si>
  <si>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</si>
  <si>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</si>
  <si>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</si>
  <si>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</si>
  <si>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</si>
  <si>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</si>
  <si>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</si>
  <si>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</si>
  <si>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</si>
  <si>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</si>
  <si>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</si>
  <si>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</si>
  <si>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</si>
  <si>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</si>
  <si>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</si>
  <si>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</si>
  <si>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</si>
  <si>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</si>
  <si>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</si>
  <si>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</si>
  <si>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</si>
  <si>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</si>
  <si>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</si>
  <si>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</si>
  <si>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</si>
  <si>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</si>
  <si>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</si>
  <si>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</si>
  <si>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</si>
  <si>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</si>
  <si>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</si>
  <si>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</si>
  <si>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</si>
  <si>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</si>
  <si>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</si>
  <si>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</si>
  <si>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</si>
  <si>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</si>
  <si>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</si>
  <si>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</si>
  <si>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</si>
  <si>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</si>
  <si>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</si>
  <si>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</si>
  <si>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</si>
  <si>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</si>
  <si>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</si>
  <si>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</si>
  <si>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</si>
  <si>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</si>
  <si>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</si>
  <si>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</si>
  <si>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</si>
  <si>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</si>
  <si>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</si>
  <si>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</si>
  <si>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</si>
  <si>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</si>
  <si>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</si>
  <si>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</si>
  <si>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</si>
  <si>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</si>
  <si>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</si>
  <si>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</si>
  <si>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</si>
  <si>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</si>
  <si>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</si>
  <si>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</si>
  <si>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</si>
  <si>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</si>
  <si>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</si>
  <si>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</si>
  <si>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</si>
  <si>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</si>
  <si>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</si>
  <si>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</si>
  <si>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</si>
  <si>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</si>
  <si>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</si>
  <si>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</si>
  <si>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</si>
  <si>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</si>
  <si>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</si>
  <si>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</si>
  <si>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</si>
  <si>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</si>
  <si>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</si>
  <si>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</si>
  <si>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</si>
  <si>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</si>
  <si>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</si>
  <si>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</si>
  <si>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</si>
  <si>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</si>
  <si>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</si>
  <si>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</si>
  <si>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</si>
  <si>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</si>
  <si>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</si>
  <si>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</si>
  <si>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</si>
  <si>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</si>
  <si>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</si>
  <si>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</si>
  <si>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</si>
  <si>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</si>
  <si>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</si>
  <si>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</si>
  <si>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</si>
  <si>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</si>
  <si>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</si>
  <si>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</si>
  <si>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</si>
  <si>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</si>
  <si>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</si>
  <si>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</si>
  <si>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</si>
  <si>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</si>
  <si>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</si>
  <si>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</si>
  <si>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</si>
  <si>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</si>
  <si>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</si>
  <si>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</si>
  <si>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</si>
  <si>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</si>
  <si>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</si>
  <si>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</si>
  <si>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</si>
  <si>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</si>
  <si>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</si>
  <si>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</si>
  <si>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</si>
  <si>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</si>
  <si>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</si>
  <si>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</si>
  <si>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</si>
  <si>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</si>
  <si>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</si>
  <si>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</si>
  <si>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</si>
  <si>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</si>
  <si>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</si>
  <si>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</si>
  <si>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</si>
  <si>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</si>
  <si>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</si>
  <si>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</si>
  <si>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</si>
  <si>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</si>
  <si>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</si>
  <si>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</si>
  <si>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</si>
  <si>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</si>
  <si>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</si>
  <si>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</si>
  <si>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</si>
  <si>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</si>
  <si>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</si>
  <si>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</si>
  <si>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</si>
  <si>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</si>
  <si>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</si>
  <si>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</si>
  <si>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</si>
  <si>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</si>
  <si>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</si>
  <si>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</si>
  <si>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</si>
  <si>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</si>
  <si>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</si>
  <si>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</si>
  <si>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</si>
  <si>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</si>
  <si>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</si>
  <si>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</si>
  <si>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</si>
  <si>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</si>
  <si>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</si>
  <si>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</si>
  <si>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</si>
  <si>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</si>
  <si>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</si>
  <si>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</si>
  <si>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</si>
  <si>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</si>
  <si>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</si>
  <si>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</si>
  <si>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</si>
  <si>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</si>
  <si>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</si>
  <si>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</si>
  <si>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</si>
  <si>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</si>
  <si>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</si>
  <si>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</si>
  <si>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</si>
  <si>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</si>
  <si>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</si>
  <si>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</si>
  <si>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</si>
  <si>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</si>
  <si>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</si>
  <si>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</si>
  <si>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</si>
  <si>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</si>
  <si>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</si>
  <si>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</si>
  <si>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</si>
  <si>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</si>
  <si>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</si>
  <si>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</si>
  <si>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</si>
  <si>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</si>
  <si>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</si>
  <si>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</si>
  <si>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</si>
  <si>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</si>
  <si>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</si>
  <si>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</si>
  <si>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</si>
  <si>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</si>
  <si>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</si>
  <si>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</si>
  <si>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</si>
  <si>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</si>
  <si>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</si>
  <si>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</si>
  <si>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</si>
  <si>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</si>
  <si>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</si>
  <si>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</si>
  <si>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</si>
  <si>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</si>
  <si>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</si>
  <si>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</si>
  <si>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</si>
  <si>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</si>
  <si>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</si>
  <si>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</si>
  <si>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</si>
  <si>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</si>
  <si>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</si>
  <si>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</si>
  <si>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</si>
  <si>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</si>
  <si>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</si>
  <si>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</si>
  <si>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</si>
  <si>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</si>
  <si>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</si>
  <si>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</si>
  <si>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</si>
  <si>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</si>
  <si>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</si>
  <si>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</si>
  <si>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</si>
  <si>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</si>
  <si>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</si>
  <si>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</si>
  <si>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</si>
  <si>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</si>
  <si>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</si>
  <si>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</si>
  <si>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</si>
  <si>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</si>
  <si>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</si>
  <si>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</si>
  <si>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</si>
  <si>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</si>
  <si>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</si>
  <si>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</si>
  <si>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</si>
  <si>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</si>
  <si>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</si>
  <si>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</si>
  <si>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</si>
  <si>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</si>
  <si>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</si>
  <si>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</si>
  <si>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</si>
  <si>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</si>
  <si>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</si>
  <si>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</si>
  <si>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</si>
  <si>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</si>
  <si>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</si>
  <si>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</si>
  <si>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</si>
  <si>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</si>
  <si>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</si>
  <si>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</si>
  <si>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</si>
  <si>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</si>
  <si>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</si>
  <si>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</si>
  <si>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</si>
  <si>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</si>
  <si>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</si>
  <si>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</si>
  <si>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</si>
  <si>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</si>
  <si>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</si>
  <si>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</si>
  <si>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</si>
  <si>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</si>
  <si>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</si>
  <si>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</si>
  <si>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</si>
  <si>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</si>
  <si>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</si>
  <si>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</si>
  <si>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</si>
  <si>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</si>
  <si>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</si>
  <si>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</si>
  <si>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</si>
  <si>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</si>
  <si>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</si>
  <si>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</si>
  <si>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</si>
  <si>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</si>
  <si>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</si>
  <si>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</si>
  <si>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</si>
  <si>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</si>
  <si>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</si>
  <si>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</si>
  <si>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</si>
  <si>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</si>
  <si>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</si>
  <si>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</si>
  <si>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</si>
  <si>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</si>
  <si>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</si>
  <si>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</si>
  <si>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</si>
  <si>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</si>
  <si>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</si>
  <si>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</si>
  <si>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</si>
  <si>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</si>
  <si>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</si>
  <si>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</si>
  <si>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</si>
  <si>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</si>
  <si>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</si>
  <si>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</si>
  <si>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</si>
  <si>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</si>
  <si>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</si>
  <si>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</si>
  <si>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</si>
  <si>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</si>
  <si>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</si>
  <si>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</si>
  <si>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</si>
  <si>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</si>
  <si>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</si>
  <si>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</si>
  <si>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</si>
  <si>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</si>
  <si>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</si>
  <si>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</si>
  <si>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</si>
  <si>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</si>
  <si>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</si>
  <si>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</si>
  <si>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</si>
  <si>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</si>
  <si>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</si>
  <si>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</si>
  <si>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</si>
  <si>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</si>
  <si>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</si>
  <si>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</si>
  <si>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12/31/2023</t>
  </si>
  <si>
    <t>Freight Expense</t>
  </si>
  <si>
    <t>Inventory Adjustments</t>
  </si>
  <si>
    <t>Damaged/Obsolete Inventory</t>
  </si>
  <si>
    <t>Inventory Adjustment for Outside Sales</t>
  </si>
  <si>
    <t>Postage</t>
  </si>
  <si>
    <t>Dues and Subscriptions</t>
  </si>
  <si>
    <t>Books and Programs</t>
  </si>
  <si>
    <t>Travel and Meetings</t>
  </si>
  <si>
    <t>Other Expenses</t>
  </si>
  <si>
    <t>Recruiting - Physicians</t>
  </si>
  <si>
    <t>Recruiting - Other</t>
  </si>
  <si>
    <t>Cash Over &amp; Short</t>
  </si>
  <si>
    <t>Diabetic Education Consultation</t>
  </si>
  <si>
    <t>Cafeteria Sales</t>
  </si>
  <si>
    <t>Cafeteria Sales Discounts</t>
  </si>
  <si>
    <t>Culinary &amp; Nutrition Charges</t>
  </si>
  <si>
    <t>Culinary &amp; Nutrition Catering</t>
  </si>
  <si>
    <t>Outside Sales of Inventory</t>
  </si>
  <si>
    <t>Pharmacy 340B Revenue</t>
  </si>
  <si>
    <t>Purchase Discounts</t>
  </si>
  <si>
    <t>Sales of Surplus - Miscellaneous</t>
  </si>
  <si>
    <t>Med Rec Abstracts</t>
  </si>
  <si>
    <t>Building Rent/Lease</t>
  </si>
  <si>
    <t>Service Revenue</t>
  </si>
  <si>
    <t>Patient Account Interest</t>
  </si>
  <si>
    <t>Miscellaneous Revenue</t>
  </si>
  <si>
    <t>Non Taxable Copy Fees</t>
  </si>
  <si>
    <t>Meaningful Use Medicare Rev</t>
  </si>
  <si>
    <t>Non-Tax Miscellaneous Revenue</t>
  </si>
  <si>
    <t>Pharmacy Health Plan / Misc Revenue</t>
  </si>
  <si>
    <t>Additional volume in 2023 with new supply contracts and focus on reduction of spending.</t>
  </si>
  <si>
    <t>In 2022 we had supplies/equipment maintenance contracts but limited availability of personnel to perform services. 2023 we were more fully staffed in this area.</t>
  </si>
  <si>
    <t xml:space="preserve"> 6/26/2024</t>
  </si>
  <si>
    <t>Gayle Weston - Board Chair</t>
  </si>
  <si>
    <t>Jon Hornburg</t>
  </si>
  <si>
    <t>jhornburg@masongeneral.com</t>
  </si>
  <si>
    <t>To request this document in another format, call 1-800-525-0127. Deaf or hard of hearing customers, please call 711 (Washington Relay) or email doh.information@doh.wa.gov.</t>
  </si>
  <si>
    <r>
      <rPr>
        <b/>
        <sz val="11"/>
        <rFont val="Calibri"/>
        <family val="2"/>
        <scheme val="minor"/>
      </rP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</si>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</sst>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_(* #,##0_);_(* \(#,##0\);_(* &quot;-&quot;??_);_(@_)"/>
  </numFmts>
  <fonts count="6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</font>
    <font>
      <sz val="10"/>
      <name val="Segoe UI"/>
      <family val="2"/>
    </font>
    <font>
      <u/>
      <sz val="9"/>
      <color theme="0"/>
      <name val="Courier"/>
      <family val="3"/>
    </font>
    <font>
      <sz val="9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6">
    <xf numFmtId="37" fontId="0" fillId="0" borderId="0"/>
    <xf numFmtId="0" fontId="5" fillId="20" borderId="0"/>
    <xf numFmtId="0" fontId="4" fillId="20" borderId="0"/>
    <xf numFmtId="0" fontId="5" fillId="24" borderId="0"/>
    <xf numFmtId="0" fontId="4" fillId="24" borderId="0"/>
    <xf numFmtId="0" fontId="5" fillId="28" borderId="0"/>
    <xf numFmtId="0" fontId="4" fillId="28" borderId="0"/>
    <xf numFmtId="0" fontId="5" fillId="32" borderId="0"/>
    <xf numFmtId="0" fontId="4" fillId="32" borderId="0"/>
    <xf numFmtId="0" fontId="5" fillId="36" borderId="0"/>
    <xf numFmtId="0" fontId="4" fillId="36" borderId="0"/>
    <xf numFmtId="0" fontId="5" fillId="40" borderId="0"/>
    <xf numFmtId="0" fontId="4" fillId="40" borderId="0"/>
    <xf numFmtId="0" fontId="5" fillId="21" borderId="0"/>
    <xf numFmtId="0" fontId="4" fillId="21" borderId="0"/>
    <xf numFmtId="0" fontId="5" fillId="25" borderId="0"/>
    <xf numFmtId="0" fontId="4" fillId="25" borderId="0"/>
    <xf numFmtId="0" fontId="5" fillId="29" borderId="0"/>
    <xf numFmtId="0" fontId="4" fillId="29" borderId="0"/>
    <xf numFmtId="0" fontId="5" fillId="33" borderId="0"/>
    <xf numFmtId="0" fontId="4" fillId="33" borderId="0"/>
    <xf numFmtId="0" fontId="5" fillId="37" borderId="0"/>
    <xf numFmtId="0" fontId="4" fillId="37" borderId="0"/>
    <xf numFmtId="0" fontId="5" fillId="41" borderId="0"/>
    <xf numFmtId="0" fontId="4" fillId="41" borderId="0"/>
    <xf numFmtId="0" fontId="5" fillId="22" borderId="0"/>
    <xf numFmtId="0" fontId="4" fillId="22" borderId="0"/>
    <xf numFmtId="0" fontId="5" fillId="26" borderId="0"/>
    <xf numFmtId="0" fontId="4" fillId="26" borderId="0"/>
    <xf numFmtId="0" fontId="5" fillId="30" borderId="0"/>
    <xf numFmtId="0" fontId="4" fillId="30" borderId="0"/>
    <xf numFmtId="0" fontId="5" fillId="34" borderId="0"/>
    <xf numFmtId="0" fontId="4" fillId="34" borderId="0"/>
    <xf numFmtId="0" fontId="5" fillId="38" borderId="0"/>
    <xf numFmtId="0" fontId="4" fillId="38" borderId="0"/>
    <xf numFmtId="0" fontId="5" fillId="42" borderId="0"/>
    <xf numFmtId="0" fontId="4" fillId="42" borderId="0"/>
    <xf numFmtId="0" fontId="48" fillId="19" borderId="0"/>
    <xf numFmtId="0" fontId="48" fillId="23" borderId="0"/>
    <xf numFmtId="0" fontId="48" fillId="27" borderId="0"/>
    <xf numFmtId="0" fontId="48" fillId="31" borderId="0"/>
    <xf numFmtId="0" fontId="48" fillId="35" borderId="0"/>
    <xf numFmtId="0" fontId="48" fillId="39" borderId="0"/>
    <xf numFmtId="0" fontId="39" fillId="13" borderId="0"/>
    <xf numFmtId="0" fontId="43" fillId="16" borderId="36"/>
    <xf numFmtId="0" fontId="45" fillId="17" borderId="39"/>
    <xf numFmtId="43" fontId="9" fillId="0" borderId="0"/>
    <xf numFmtId="43" fontId="9" fillId="0" borderId="0"/>
    <xf numFmtId="43" fontId="9" fillId="0" borderId="0"/>
    <xf numFmtId="43" fontId="5" fillId="0" borderId="0"/>
    <xf numFmtId="43" fontId="4" fillId="0" borderId="0"/>
    <xf numFmtId="44" fontId="9" fillId="0" borderId="0"/>
    <xf numFmtId="44" fontId="9" fillId="0" borderId="0"/>
    <xf numFmtId="0" fontId="47" fillId="0" borderId="0"/>
    <xf numFmtId="0" fontId="38" fillId="12" borderId="0"/>
    <xf numFmtId="0" fontId="35" fillId="0" borderId="33"/>
    <xf numFmtId="0" fontId="36" fillId="0" borderId="34"/>
    <xf numFmtId="0" fontId="37" fillId="0" borderId="35"/>
    <xf numFmtId="0" fontId="37" fillId="0" borderId="0"/>
    <xf numFmtId="0" fontId="10" fillId="0" borderId="0">
      <alignment vertical="top"/>
      <protection locked="0"/>
    </xf>
    <xf numFmtId="0" fontId="41" fillId="15" borderId="36"/>
    <xf numFmtId="0" fontId="44" fillId="0" borderId="38"/>
    <xf numFmtId="0" fontId="40" fillId="14" borderId="0"/>
    <xf numFmtId="0" fontId="12" fillId="0" borderId="0"/>
    <xf numFmtId="0" fontId="50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5" fillId="18" borderId="40"/>
    <xf numFmtId="0" fontId="4" fillId="18" borderId="40"/>
    <xf numFmtId="0" fontId="42" fillId="16" borderId="37"/>
    <xf numFmtId="9" fontId="9" fillId="0" borderId="0"/>
    <xf numFmtId="37" fontId="49" fillId="43" borderId="0">
      <alignment horizontal="left" vertical="center"/>
    </xf>
    <xf numFmtId="0" fontId="34" fillId="0" borderId="0"/>
    <xf numFmtId="0" fontId="33" fillId="0" borderId="41"/>
    <xf numFmtId="0" fontId="46" fillId="0" borderId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3" applyNumberFormat="0" applyFill="0" applyAlignment="0" applyProtection="0"/>
    <xf numFmtId="0" fontId="36" fillId="0" borderId="34" applyNumberFormat="0" applyFill="0" applyAlignment="0" applyProtection="0"/>
    <xf numFmtId="0" fontId="37" fillId="0" borderId="35" applyNumberFormat="0" applyFill="0" applyAlignment="0" applyProtection="0"/>
    <xf numFmtId="0" fontId="37" fillId="0" borderId="0" applyNumberFormat="0" applyFill="0" applyBorder="0" applyAlignment="0" applyProtection="0"/>
    <xf numFmtId="0" fontId="38" fillId="12" borderId="0" applyNumberFormat="0" applyBorder="0" applyAlignment="0" applyProtection="0"/>
    <xf numFmtId="0" fontId="39" fillId="13" borderId="0" applyNumberFormat="0" applyBorder="0" applyAlignment="0" applyProtection="0"/>
    <xf numFmtId="0" fontId="40" fillId="14" borderId="0" applyNumberFormat="0" applyBorder="0" applyAlignment="0" applyProtection="0"/>
    <xf numFmtId="0" fontId="41" fillId="15" borderId="36" applyNumberFormat="0" applyAlignment="0" applyProtection="0"/>
    <xf numFmtId="0" fontId="42" fillId="16" borderId="37" applyNumberFormat="0" applyAlignment="0" applyProtection="0"/>
    <xf numFmtId="0" fontId="43" fillId="16" borderId="36" applyNumberFormat="0" applyAlignment="0" applyProtection="0"/>
    <xf numFmtId="0" fontId="44" fillId="0" borderId="38" applyNumberFormat="0" applyFill="0" applyAlignment="0" applyProtection="0"/>
    <xf numFmtId="0" fontId="45" fillId="17" borderId="39" applyNumberFormat="0" applyAlignment="0" applyProtection="0"/>
    <xf numFmtId="0" fontId="46" fillId="0" borderId="0" applyNumberFormat="0" applyFill="0" applyBorder="0" applyAlignment="0" applyProtection="0"/>
    <xf numFmtId="0" fontId="3" fillId="18" borderId="40" applyNumberFormat="0" applyFont="0" applyAlignment="0" applyProtection="0"/>
    <xf numFmtId="0" fontId="47" fillId="0" borderId="0" applyNumberFormat="0" applyFill="0" applyBorder="0" applyAlignment="0" applyProtection="0"/>
    <xf numFmtId="0" fontId="33" fillId="0" borderId="41" applyNumberFormat="0" applyFill="0" applyAlignment="0" applyProtection="0"/>
    <xf numFmtId="0" fontId="4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8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8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37" fontId="58" fillId="0" borderId="0"/>
    <xf numFmtId="43" fontId="9" fillId="0" borderId="0"/>
    <xf numFmtId="0" fontId="10" fillId="0" borderId="0">
      <alignment vertical="top"/>
      <protection locked="0"/>
    </xf>
    <xf numFmtId="0" fontId="12" fillId="0" borderId="0"/>
    <xf numFmtId="9" fontId="9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18" borderId="4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8" borderId="40" applyNumberFormat="0" applyFont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8" borderId="4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9" fontId="2" fillId="0" borderId="0" applyFont="0" applyFill="0" applyBorder="0" applyAlignment="0" applyProtection="0"/>
  </cellStyleXfs>
  <cellXfs count="361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59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46" quotePrefix="1" applyNumberFormat="1" applyFont="1" applyBorder="1" applyProtection="1">
      <protection locked="0"/>
    </xf>
    <xf numFmtId="37" fontId="17" fillId="0" borderId="1" xfId="46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46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46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72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46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7" fontId="20" fillId="7" borderId="0" xfId="0" applyFont="1" applyFill="1"/>
    <xf numFmtId="2" fontId="11" fillId="0" borderId="0" xfId="0" applyNumberFormat="1" applyFont="1"/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46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46" quotePrefix="1" applyNumberFormat="1" applyFont="1" applyBorder="1" applyProtection="1">
      <protection locked="0"/>
    </xf>
    <xf numFmtId="2" fontId="17" fillId="0" borderId="1" xfId="72" quotePrefix="1" applyNumberFormat="1" applyFont="1" applyBorder="1" applyProtection="1">
      <protection locked="0"/>
    </xf>
    <xf numFmtId="2" fontId="17" fillId="0" borderId="1" xfId="46" applyNumberFormat="1" applyFont="1" applyBorder="1" applyProtection="1">
      <protection locked="0"/>
    </xf>
    <xf numFmtId="37" fontId="17" fillId="0" borderId="1" xfId="72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0" fontId="16" fillId="0" borderId="0" xfId="59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0" fontId="10" fillId="0" borderId="0" xfId="59">
      <alignment vertical="top"/>
      <protection locked="0"/>
    </xf>
    <xf numFmtId="37" fontId="46" fillId="0" borderId="0" xfId="0" applyFont="1"/>
    <xf numFmtId="37" fontId="32" fillId="0" borderId="1" xfId="0" applyFont="1" applyBorder="1" applyProtection="1">
      <protection locked="0"/>
    </xf>
    <xf numFmtId="169" fontId="4" fillId="0" borderId="42" xfId="50" applyNumberFormat="1" applyBorder="1"/>
    <xf numFmtId="38" fontId="17" fillId="4" borderId="14" xfId="0" quotePrefix="1" applyNumberFormat="1" applyFont="1" applyFill="1" applyBorder="1" applyProtection="1">
      <protection locked="0"/>
    </xf>
    <xf numFmtId="37" fontId="52" fillId="0" borderId="0" xfId="0" applyFont="1"/>
    <xf numFmtId="37" fontId="53" fillId="0" borderId="0" xfId="0" applyFont="1"/>
    <xf numFmtId="37" fontId="54" fillId="0" borderId="0" xfId="0" applyFont="1"/>
    <xf numFmtId="37" fontId="55" fillId="0" borderId="0" xfId="0" applyFont="1"/>
    <xf numFmtId="37" fontId="33" fillId="44" borderId="45" xfId="0" quotePrefix="1" applyFont="1" applyFill="1" applyBorder="1" applyAlignment="1">
      <alignment horizontal="left"/>
    </xf>
    <xf numFmtId="37" fontId="7" fillId="44" borderId="43" xfId="0" applyFont="1" applyFill="1" applyBorder="1"/>
    <xf numFmtId="38" fontId="7" fillId="44" borderId="43" xfId="0" applyNumberFormat="1" applyFont="1" applyFill="1" applyBorder="1"/>
    <xf numFmtId="37" fontId="7" fillId="44" borderId="48" xfId="0" applyFont="1" applyFill="1" applyBorder="1"/>
    <xf numFmtId="37" fontId="7" fillId="44" borderId="46" xfId="0" quotePrefix="1" applyFont="1" applyFill="1" applyBorder="1" applyAlignment="1">
      <alignment vertical="center" readingOrder="1"/>
    </xf>
    <xf numFmtId="37" fontId="7" fillId="44" borderId="0" xfId="0" quotePrefix="1" applyFont="1" applyFill="1" applyAlignment="1">
      <alignment horizontal="left"/>
    </xf>
    <xf numFmtId="38" fontId="7" fillId="44" borderId="0" xfId="0" applyNumberFormat="1" applyFont="1" applyFill="1"/>
    <xf numFmtId="37" fontId="7" fillId="44" borderId="0" xfId="0" applyFont="1" applyFill="1"/>
    <xf numFmtId="37" fontId="7" fillId="44" borderId="49" xfId="0" applyFont="1" applyFill="1" applyBorder="1"/>
    <xf numFmtId="37" fontId="6" fillId="44" borderId="46" xfId="0" quotePrefix="1" applyFont="1" applyFill="1" applyBorder="1"/>
    <xf numFmtId="37" fontId="7" fillId="44" borderId="46" xfId="0" applyFont="1" applyFill="1" applyBorder="1" applyAlignment="1">
      <alignment vertical="center" readingOrder="1"/>
    </xf>
    <xf numFmtId="37" fontId="6" fillId="44" borderId="47" xfId="0" quotePrefix="1" applyFont="1" applyFill="1" applyBorder="1"/>
    <xf numFmtId="37" fontId="7" fillId="44" borderId="44" xfId="0" applyFont="1" applyFill="1" applyBorder="1"/>
    <xf numFmtId="38" fontId="7" fillId="44" borderId="44" xfId="0" applyNumberFormat="1" applyFont="1" applyFill="1" applyBorder="1"/>
    <xf numFmtId="37" fontId="7" fillId="44" borderId="50" xfId="0" applyFont="1" applyFill="1" applyBorder="1"/>
    <xf numFmtId="37" fontId="51" fillId="0" borderId="0" xfId="0" applyFont="1"/>
    <xf numFmtId="2" fontId="15" fillId="0" borderId="0" xfId="0" applyNumberFormat="1" applyFont="1" applyAlignment="1">
      <alignment horizontal="right"/>
    </xf>
    <xf numFmtId="37" fontId="17" fillId="45" borderId="1" xfId="0" applyFont="1" applyFill="1" applyBorder="1" applyProtection="1">
      <protection locked="0"/>
    </xf>
    <xf numFmtId="37" fontId="17" fillId="45" borderId="1" xfId="0" quotePrefix="1" applyFont="1" applyFill="1" applyBorder="1" applyProtection="1">
      <protection locked="0"/>
    </xf>
    <xf numFmtId="37" fontId="32" fillId="45" borderId="1" xfId="0" applyFont="1" applyFill="1" applyBorder="1" applyProtection="1">
      <protection locked="0"/>
    </xf>
    <xf numFmtId="169" fontId="4" fillId="45" borderId="42" xfId="50" applyNumberFormat="1" applyFill="1" applyBorder="1"/>
    <xf numFmtId="37" fontId="17" fillId="45" borderId="1" xfId="46" quotePrefix="1" applyNumberFormat="1" applyFont="1" applyFill="1" applyBorder="1" applyProtection="1">
      <protection locked="0"/>
    </xf>
    <xf numFmtId="37" fontId="17" fillId="45" borderId="1" xfId="46" applyNumberFormat="1" applyFont="1" applyFill="1" applyBorder="1" applyProtection="1">
      <protection locked="0"/>
    </xf>
    <xf numFmtId="2" fontId="17" fillId="45" borderId="1" xfId="0" quotePrefix="1" applyNumberFormat="1" applyFont="1" applyFill="1" applyBorder="1" applyProtection="1">
      <protection locked="0"/>
    </xf>
    <xf numFmtId="2" fontId="17" fillId="45" borderId="1" xfId="46" quotePrefix="1" applyNumberFormat="1" applyFont="1" applyFill="1" applyBorder="1" applyProtection="1">
      <protection locked="0"/>
    </xf>
    <xf numFmtId="2" fontId="17" fillId="45" borderId="1" xfId="72" quotePrefix="1" applyNumberFormat="1" applyFont="1" applyFill="1" applyBorder="1" applyProtection="1">
      <protection locked="0"/>
    </xf>
    <xf numFmtId="2" fontId="17" fillId="45" borderId="1" xfId="46" applyNumberFormat="1" applyFont="1" applyFill="1" applyBorder="1" applyProtection="1">
      <protection locked="0"/>
    </xf>
    <xf numFmtId="37" fontId="17" fillId="45" borderId="1" xfId="72" quotePrefix="1" applyNumberFormat="1" applyFont="1" applyFill="1" applyBorder="1" applyProtection="1">
      <protection locked="0"/>
    </xf>
    <xf numFmtId="1" fontId="17" fillId="45" borderId="1" xfId="0" quotePrefix="1" applyNumberFormat="1" applyFont="1" applyFill="1" applyBorder="1" applyProtection="1">
      <protection locked="0"/>
    </xf>
    <xf numFmtId="37" fontId="17" fillId="44" borderId="1" xfId="0" quotePrefix="1" applyFont="1" applyFill="1" applyBorder="1" applyProtection="1">
      <protection locked="0"/>
    </xf>
    <xf numFmtId="167" fontId="17" fillId="44" borderId="1" xfId="0" quotePrefix="1" applyNumberFormat="1" applyFont="1" applyFill="1" applyBorder="1" applyProtection="1">
      <protection locked="0"/>
    </xf>
    <xf numFmtId="38" fontId="17" fillId="44" borderId="8" xfId="0" applyNumberFormat="1" applyFont="1" applyFill="1" applyBorder="1" applyProtection="1">
      <protection locked="0"/>
    </xf>
    <xf numFmtId="38" fontId="17" fillId="44" borderId="2" xfId="0" applyNumberFormat="1" applyFont="1" applyFill="1" applyBorder="1" applyProtection="1">
      <protection locked="0"/>
    </xf>
    <xf numFmtId="38" fontId="17" fillId="44" borderId="1" xfId="0" quotePrefix="1" applyNumberFormat="1" applyFont="1" applyFill="1" applyBorder="1" applyAlignment="1" applyProtection="1">
      <alignment horizontal="left"/>
      <protection locked="0"/>
    </xf>
    <xf numFmtId="38" fontId="17" fillId="44" borderId="14" xfId="0" applyNumberFormat="1" applyFont="1" applyFill="1" applyBorder="1" applyProtection="1">
      <protection locked="0"/>
    </xf>
    <xf numFmtId="38" fontId="17" fillId="44" borderId="14" xfId="0" quotePrefix="1" applyNumberFormat="1" applyFont="1" applyFill="1" applyBorder="1" applyProtection="1">
      <protection locked="0"/>
    </xf>
    <xf numFmtId="166" fontId="17" fillId="44" borderId="14" xfId="0" applyNumberFormat="1" applyFont="1" applyFill="1" applyBorder="1" applyAlignment="1" applyProtection="1">
      <alignment horizontal="left"/>
      <protection locked="0"/>
    </xf>
    <xf numFmtId="49" fontId="17" fillId="44" borderId="1" xfId="0" quotePrefix="1" applyNumberFormat="1" applyFont="1" applyFill="1" applyBorder="1" applyProtection="1">
      <protection locked="0"/>
    </xf>
    <xf numFmtId="168" fontId="17" fillId="44" borderId="1" xfId="0" quotePrefix="1" applyNumberFormat="1" applyFont="1" applyFill="1" applyBorder="1" applyAlignment="1" applyProtection="1">
      <alignment horizontal="left"/>
      <protection locked="0"/>
    </xf>
    <xf numFmtId="38" fontId="17" fillId="44" borderId="1" xfId="0" applyNumberFormat="1" applyFont="1" applyFill="1" applyBorder="1" applyProtection="1">
      <protection locked="0"/>
    </xf>
    <xf numFmtId="38" fontId="17" fillId="44" borderId="1" xfId="0" applyNumberFormat="1" applyFont="1" applyFill="1" applyBorder="1" applyAlignment="1" applyProtection="1">
      <alignment horizontal="right"/>
      <protection locked="0"/>
    </xf>
    <xf numFmtId="37" fontId="17" fillId="44" borderId="1" xfId="0" applyFont="1" applyFill="1" applyBorder="1" applyProtection="1">
      <protection locked="0"/>
    </xf>
    <xf numFmtId="37" fontId="15" fillId="44" borderId="0" xfId="0" applyFont="1" applyFill="1"/>
    <xf numFmtId="169" fontId="25" fillId="4" borderId="1" xfId="78" applyNumberFormat="1" applyFont="1" applyFill="1" applyBorder="1" applyProtection="1">
      <protection locked="0"/>
    </xf>
    <xf numFmtId="169" fontId="25" fillId="4" borderId="1" xfId="130" applyNumberFormat="1" applyFont="1" applyFill="1" applyBorder="1" applyProtection="1">
      <protection locked="0"/>
    </xf>
    <xf numFmtId="169" fontId="25" fillId="4" borderId="1" xfId="130" applyNumberFormat="1" applyFont="1" applyFill="1" applyBorder="1" applyAlignment="1" applyProtection="1">
      <alignment horizontal="center"/>
      <protection locked="0"/>
    </xf>
    <xf numFmtId="0" fontId="59" fillId="0" borderId="0" xfId="63" applyFont="1"/>
    <xf numFmtId="169" fontId="9" fillId="0" borderId="0" xfId="46" applyNumberFormat="1"/>
    <xf numFmtId="169" fontId="9" fillId="0" borderId="51" xfId="46" applyNumberFormat="1" applyBorder="1"/>
    <xf numFmtId="37" fontId="17" fillId="3" borderId="0" xfId="0" applyFont="1" applyFill="1" applyAlignment="1">
      <alignment horizontal="center" vertical="center"/>
    </xf>
    <xf numFmtId="38" fontId="48" fillId="44" borderId="14" xfId="0" applyNumberFormat="1" applyFont="1" applyFill="1" applyBorder="1" applyProtection="1">
      <protection locked="0"/>
    </xf>
    <xf numFmtId="0" fontId="60" fillId="45" borderId="0" xfId="59" applyFont="1" applyFill="1">
      <alignment vertical="top"/>
      <protection locked="0"/>
    </xf>
    <xf numFmtId="37" fontId="15" fillId="0" borderId="0" xfId="0" applyFont="1" applyAlignment="1">
      <alignment horizontal="left" wrapText="1"/>
    </xf>
    <xf numFmtId="37" fontId="33" fillId="0" borderId="0" xfId="0" quotePrefix="1" applyFont="1" applyFill="1" applyBorder="1" applyAlignment="1">
      <alignment horizontal="left"/>
    </xf>
    <xf numFmtId="37" fontId="7" fillId="0" borderId="0" xfId="0" applyFont="1" applyFill="1" applyBorder="1"/>
    <xf numFmtId="38" fontId="7" fillId="0" borderId="0" xfId="0" applyNumberFormat="1" applyFont="1" applyFill="1" applyBorder="1"/>
    <xf numFmtId="37" fontId="7" fillId="0" borderId="0" xfId="0" quotePrefix="1" applyFont="1" applyFill="1" applyBorder="1" applyAlignment="1">
      <alignment vertical="center" readingOrder="1"/>
    </xf>
    <xf numFmtId="37" fontId="7" fillId="0" borderId="0" xfId="0" quotePrefix="1" applyFont="1" applyFill="1" applyBorder="1" applyAlignment="1">
      <alignment horizontal="left"/>
    </xf>
    <xf numFmtId="37" fontId="6" fillId="0" borderId="0" xfId="0" quotePrefix="1" applyFont="1" applyFill="1" applyBorder="1"/>
    <xf numFmtId="37" fontId="7" fillId="0" borderId="0" xfId="0" applyFont="1" applyFill="1" applyBorder="1" applyAlignment="1">
      <alignment vertical="center" readingOrder="1"/>
    </xf>
    <xf numFmtId="37" fontId="15" fillId="0" borderId="0" xfId="0" applyFont="1" applyFill="1" applyBorder="1"/>
    <xf numFmtId="38" fontId="15" fillId="0" borderId="0" xfId="0" applyNumberFormat="1" applyFont="1" applyFill="1" applyBorder="1"/>
    <xf numFmtId="37" fontId="61" fillId="0" borderId="0" xfId="0" applyFont="1" applyAlignment="1">
      <alignment vertical="center"/>
    </xf>
  </cellXfs>
  <cellStyles count="206">
    <cellStyle name="20% - Accent1" xfId="1" builtinId="30" customBuiltin="1"/>
    <cellStyle name="20% - Accent1 2" xfId="2" xr:uid="{29FB9D61-7D60-4FD3-82F3-5801CE7783AC}"/>
    <cellStyle name="20% - Accent1 2 2" xfId="141" xr:uid="{79FC0FE4-6D46-4382-B74E-6F60D928BC35}"/>
    <cellStyle name="20% - Accent1 2 3" xfId="187" xr:uid="{965C212E-BCC3-4A9B-9C51-7524D9F4FF8B}"/>
    <cellStyle name="20% - Accent1 3" xfId="101" xr:uid="{2EBC0C3E-EC38-428A-9A9C-FBEE759941B4}"/>
    <cellStyle name="20% - Accent1 4" xfId="163" xr:uid="{2E22E0F0-F389-4231-8D6F-E36DFFA2E981}"/>
    <cellStyle name="20% - Accent2" xfId="3" builtinId="34" customBuiltin="1"/>
    <cellStyle name="20% - Accent2 2" xfId="4" xr:uid="{2CA3C5B2-C60C-4B16-A9E7-051E95EE5B47}"/>
    <cellStyle name="20% - Accent2 2 2" xfId="144" xr:uid="{934E71BC-24A5-44F3-8720-88426DDC9103}"/>
    <cellStyle name="20% - Accent2 2 3" xfId="190" xr:uid="{52AEDDEB-23AD-42CE-AC13-F5599C0A3B19}"/>
    <cellStyle name="20% - Accent2 3" xfId="105" xr:uid="{DA5747EC-0D56-412C-8189-2F5FF4E4508B}"/>
    <cellStyle name="20% - Accent2 4" xfId="166" xr:uid="{9896A810-395C-4818-9322-F49B009F4AD1}"/>
    <cellStyle name="20% - Accent3" xfId="5" builtinId="38" customBuiltin="1"/>
    <cellStyle name="20% - Accent3 2" xfId="6" xr:uid="{03AD2783-4632-443D-AC49-32989B7635A1}"/>
    <cellStyle name="20% - Accent3 2 2" xfId="147" xr:uid="{BFD79441-020E-48D1-8D8E-BCCA2C58F58D}"/>
    <cellStyle name="20% - Accent3 2 3" xfId="193" xr:uid="{2BC5C122-22D0-4236-A963-F98CB192F51D}"/>
    <cellStyle name="20% - Accent3 3" xfId="109" xr:uid="{AE248E3F-2611-4BED-AFEF-88C1F21E1349}"/>
    <cellStyle name="20% - Accent3 4" xfId="169" xr:uid="{E740C809-4419-401E-9FF3-9655E11A8F69}"/>
    <cellStyle name="20% - Accent4" xfId="7" builtinId="42" customBuiltin="1"/>
    <cellStyle name="20% - Accent4 2" xfId="8" xr:uid="{EC6569B3-1D4F-4E90-BC17-071688F265EF}"/>
    <cellStyle name="20% - Accent4 2 2" xfId="150" xr:uid="{C79127D6-8113-43D2-BBEA-4A7ADB6865CD}"/>
    <cellStyle name="20% - Accent4 2 3" xfId="196" xr:uid="{74F82C1A-5C4F-4EB1-A652-4D6F746071C1}"/>
    <cellStyle name="20% - Accent4 3" xfId="113" xr:uid="{F914ABCD-6356-4286-BCB8-18EF2AFD48C8}"/>
    <cellStyle name="20% - Accent4 4" xfId="172" xr:uid="{33EBBF00-7309-46F5-885B-8500CCB53915}"/>
    <cellStyle name="20% - Accent5" xfId="9" builtinId="46" customBuiltin="1"/>
    <cellStyle name="20% - Accent5 2" xfId="10" xr:uid="{AA7BD992-594D-4F83-A009-D7EB8F359622}"/>
    <cellStyle name="20% - Accent5 2 2" xfId="153" xr:uid="{2AE9985F-047F-4A40-B0FC-1A4F29B032ED}"/>
    <cellStyle name="20% - Accent5 2 3" xfId="199" xr:uid="{22AD2970-45DB-4D5A-A96A-9B71536096DB}"/>
    <cellStyle name="20% - Accent5 3" xfId="117" xr:uid="{7079DA4E-3130-4099-823F-74883D801D29}"/>
    <cellStyle name="20% - Accent5 4" xfId="175" xr:uid="{8A914B65-A935-47DA-86AB-442772B0A4CC}"/>
    <cellStyle name="20% - Accent6" xfId="11" builtinId="50" customBuiltin="1"/>
    <cellStyle name="20% - Accent6 2" xfId="12" xr:uid="{5E832461-71C4-499C-BD6A-63DF1F19408D}"/>
    <cellStyle name="20% - Accent6 2 2" xfId="156" xr:uid="{F753DFB4-E532-4627-8423-59E5790182FE}"/>
    <cellStyle name="20% - Accent6 2 3" xfId="202" xr:uid="{2A53B92E-7B3F-43EF-87B4-28CD17C81ADA}"/>
    <cellStyle name="20% - Accent6 3" xfId="121" xr:uid="{7AE77124-DD69-4E5D-B218-E8A232CD0490}"/>
    <cellStyle name="20% - Accent6 4" xfId="178" xr:uid="{606C2DF4-B283-49AF-A480-0F993972D4CA}"/>
    <cellStyle name="40% - Accent1" xfId="13" builtinId="31" customBuiltin="1"/>
    <cellStyle name="40% - Accent1 2" xfId="14" xr:uid="{97864992-90E6-4301-826F-567B2D939720}"/>
    <cellStyle name="40% - Accent1 2 2" xfId="142" xr:uid="{43A48E70-FFC8-4CA3-B6A8-4AB79CAE86E3}"/>
    <cellStyle name="40% - Accent1 2 3" xfId="188" xr:uid="{77540071-F556-4A56-8BA4-A19548ADCDBA}"/>
    <cellStyle name="40% - Accent1 3" xfId="102" xr:uid="{A2436317-A65B-47C0-82CA-AA32750561E6}"/>
    <cellStyle name="40% - Accent1 4" xfId="164" xr:uid="{8661E8B8-E3CF-4F4E-9E28-6D8FDA82E780}"/>
    <cellStyle name="40% - Accent2" xfId="15" builtinId="35" customBuiltin="1"/>
    <cellStyle name="40% - Accent2 2" xfId="16" xr:uid="{9AE7D1EF-01F6-420E-BB07-998F132DEC86}"/>
    <cellStyle name="40% - Accent2 2 2" xfId="145" xr:uid="{23489962-4795-47BB-BFC9-88B24CA97E58}"/>
    <cellStyle name="40% - Accent2 2 3" xfId="191" xr:uid="{128A4BE9-8C12-4F16-97EE-8FCF19EF9388}"/>
    <cellStyle name="40% - Accent2 3" xfId="106" xr:uid="{1F50B62E-F81C-4687-8CCF-58F98986EF1A}"/>
    <cellStyle name="40% - Accent2 4" xfId="167" xr:uid="{9458537D-E071-42CE-B746-055BA9F8DD01}"/>
    <cellStyle name="40% - Accent3" xfId="17" builtinId="39" customBuiltin="1"/>
    <cellStyle name="40% - Accent3 2" xfId="18" xr:uid="{DEADE0FC-09DB-43AB-874C-D6BB7F40D521}"/>
    <cellStyle name="40% - Accent3 2 2" xfId="148" xr:uid="{D6E9882D-63DE-4679-9638-E6511784E362}"/>
    <cellStyle name="40% - Accent3 2 3" xfId="194" xr:uid="{D8BF2029-3755-417B-B93F-6BC11700C754}"/>
    <cellStyle name="40% - Accent3 3" xfId="110" xr:uid="{57A1581A-0F28-46CA-B379-32E88482FCEE}"/>
    <cellStyle name="40% - Accent3 4" xfId="170" xr:uid="{96F69AFC-8183-41EE-B3A7-69731B70E0A8}"/>
    <cellStyle name="40% - Accent4" xfId="19" builtinId="43" customBuiltin="1"/>
    <cellStyle name="40% - Accent4 2" xfId="20" xr:uid="{249398DD-D5DD-4DB1-B70E-CB98ECD3A575}"/>
    <cellStyle name="40% - Accent4 2 2" xfId="151" xr:uid="{77C05A17-7657-4585-96CA-296202C743A2}"/>
    <cellStyle name="40% - Accent4 2 3" xfId="197" xr:uid="{E374F664-610B-45B4-8CCC-9DA86D3542E5}"/>
    <cellStyle name="40% - Accent4 3" xfId="114" xr:uid="{3DE00E88-EB59-4EF2-A31D-66994141F431}"/>
    <cellStyle name="40% - Accent4 4" xfId="173" xr:uid="{FD44972B-F625-43F5-A6E9-C8B0E7A5DF16}"/>
    <cellStyle name="40% - Accent5" xfId="21" builtinId="47" customBuiltin="1"/>
    <cellStyle name="40% - Accent5 2" xfId="22" xr:uid="{372DBB9A-1965-48C0-9E87-BCA11CFAB984}"/>
    <cellStyle name="40% - Accent5 2 2" xfId="154" xr:uid="{A3D370CA-8889-44E0-9384-93199EF1E370}"/>
    <cellStyle name="40% - Accent5 2 3" xfId="200" xr:uid="{478DB53F-3B2B-4086-B742-D2D716944A1A}"/>
    <cellStyle name="40% - Accent5 3" xfId="118" xr:uid="{8A513D86-12FC-446D-95CF-B3D4B6823CEF}"/>
    <cellStyle name="40% - Accent5 4" xfId="176" xr:uid="{F8695A6F-191C-4BBD-850C-9FB40C98E3BC}"/>
    <cellStyle name="40% - Accent6" xfId="23" builtinId="51" customBuiltin="1"/>
    <cellStyle name="40% - Accent6 2" xfId="24" xr:uid="{6D680E62-23D4-4C31-AE73-8E362403FDCF}"/>
    <cellStyle name="40% - Accent6 2 2" xfId="157" xr:uid="{599B37A6-170C-491E-9295-571AF1EB5FF1}"/>
    <cellStyle name="40% - Accent6 2 3" xfId="203" xr:uid="{D2DBA404-F7C5-41F6-8039-3CEE18921BA7}"/>
    <cellStyle name="40% - Accent6 3" xfId="122" xr:uid="{650A59FC-D61A-4F42-AC9B-BB29DC92B972}"/>
    <cellStyle name="40% - Accent6 4" xfId="179" xr:uid="{84C045B4-4D58-4B83-9D8D-F19907886890}"/>
    <cellStyle name="60% - Accent1" xfId="25" builtinId="32" customBuiltin="1"/>
    <cellStyle name="60% - Accent1 2" xfId="26" xr:uid="{09734FFF-7DC7-47C4-9461-AB4193089C01}"/>
    <cellStyle name="60% - Accent1 2 2" xfId="143" xr:uid="{DFA3A8AE-8EF3-4E25-BF23-B61E4D859A12}"/>
    <cellStyle name="60% - Accent1 2 3" xfId="189" xr:uid="{51361403-8A39-4849-8408-E56F6754606F}"/>
    <cellStyle name="60% - Accent1 3" xfId="103" xr:uid="{4420C9AC-0A7C-41B8-A013-091F09556561}"/>
    <cellStyle name="60% - Accent1 4" xfId="165" xr:uid="{6893D5E5-9A09-490B-A6F1-72E5FC9EE85E}"/>
    <cellStyle name="60% - Accent2" xfId="27" builtinId="36" customBuiltin="1"/>
    <cellStyle name="60% - Accent2 2" xfId="28" xr:uid="{EA3D1B8F-7A8E-41DF-B553-C052E8D874AC}"/>
    <cellStyle name="60% - Accent2 2 2" xfId="146" xr:uid="{17190092-13B1-4520-9E26-20DC019048A1}"/>
    <cellStyle name="60% - Accent2 2 3" xfId="192" xr:uid="{5296AE66-83B7-4436-99A6-4884D11D83C4}"/>
    <cellStyle name="60% - Accent2 3" xfId="107" xr:uid="{3A44B2F5-2978-45C7-ACF2-41DB4DB7DD1C}"/>
    <cellStyle name="60% - Accent2 4" xfId="168" xr:uid="{E9BD5BEE-5B3C-4B57-82F2-647311FFF61F}"/>
    <cellStyle name="60% - Accent3" xfId="29" builtinId="40" customBuiltin="1"/>
    <cellStyle name="60% - Accent3 2" xfId="30" xr:uid="{4FBD509B-85CC-46FA-947E-795C95925FA4}"/>
    <cellStyle name="60% - Accent3 2 2" xfId="149" xr:uid="{19A7BD6B-97A1-44DF-BC83-683910F8AD6A}"/>
    <cellStyle name="60% - Accent3 2 3" xfId="195" xr:uid="{F9E7F684-04FB-45F5-B816-730ADEE03E53}"/>
    <cellStyle name="60% - Accent3 3" xfId="111" xr:uid="{23DD81F8-60A5-4F2B-B89D-6F07E099B14D}"/>
    <cellStyle name="60% - Accent3 4" xfId="171" xr:uid="{2290B286-799B-472E-B52F-761F3F5AEB53}"/>
    <cellStyle name="60% - Accent4" xfId="31" builtinId="44" customBuiltin="1"/>
    <cellStyle name="60% - Accent4 2" xfId="32" xr:uid="{EC811F6F-52A4-41D1-9176-576B84AE7FEE}"/>
    <cellStyle name="60% - Accent4 2 2" xfId="152" xr:uid="{CB19646E-D1F0-4A26-8642-D36723B7A437}"/>
    <cellStyle name="60% - Accent4 2 3" xfId="198" xr:uid="{5422E6AE-4162-4907-BBD2-1AAFC91FEBED}"/>
    <cellStyle name="60% - Accent4 3" xfId="115" xr:uid="{714F19D3-2FA2-414C-BF1F-CC06E40E36BE}"/>
    <cellStyle name="60% - Accent4 4" xfId="174" xr:uid="{36585059-43C9-4D77-996B-B1CDA437B666}"/>
    <cellStyle name="60% - Accent5" xfId="33" builtinId="48" customBuiltin="1"/>
    <cellStyle name="60% - Accent5 2" xfId="34" xr:uid="{13333C25-7129-4889-9BBD-EE89E455DAE0}"/>
    <cellStyle name="60% - Accent5 2 2" xfId="155" xr:uid="{E7B51506-2FBB-4499-BE7F-0309EB8971F4}"/>
    <cellStyle name="60% - Accent5 2 3" xfId="201" xr:uid="{B96809D6-F166-4140-941C-902947A5C202}"/>
    <cellStyle name="60% - Accent5 3" xfId="119" xr:uid="{A791A8B0-B306-47A8-A40E-D0951281EE54}"/>
    <cellStyle name="60% - Accent5 4" xfId="177" xr:uid="{AFA797AD-5120-4CE5-BDD9-092343AF22BE}"/>
    <cellStyle name="60% - Accent6" xfId="35" builtinId="52" customBuiltin="1"/>
    <cellStyle name="60% - Accent6 2" xfId="36" xr:uid="{21131E2F-F42A-43F1-BF01-FD89ACAF2F34}"/>
    <cellStyle name="60% - Accent6 2 2" xfId="158" xr:uid="{0A0CF6D9-41EC-4467-AC3D-01E55296EBD5}"/>
    <cellStyle name="60% - Accent6 2 3" xfId="204" xr:uid="{0FA66F58-A911-4E02-855C-0CD27EB316BE}"/>
    <cellStyle name="60% - Accent6 3" xfId="123" xr:uid="{5FBE32C4-B4A0-4C76-A1CC-840E33F120CE}"/>
    <cellStyle name="60% - Accent6 4" xfId="180" xr:uid="{96878839-B0E9-4F00-9F4E-C1DF804332E4}"/>
    <cellStyle name="Accent1" xfId="37" builtinId="29" customBuiltin="1"/>
    <cellStyle name="Accent1 2" xfId="100" xr:uid="{72B1E253-8350-4DC4-9747-3F19AA46298F}"/>
    <cellStyle name="Accent2" xfId="38" builtinId="33" customBuiltin="1"/>
    <cellStyle name="Accent2 2" xfId="104" xr:uid="{8C8406C2-6584-4E2F-8ECF-2780A70ACB1D}"/>
    <cellStyle name="Accent3" xfId="39" builtinId="37" customBuiltin="1"/>
    <cellStyle name="Accent3 2" xfId="108" xr:uid="{5A6C1C88-6E6F-442D-ABEC-173BE1665ADE}"/>
    <cellStyle name="Accent4" xfId="40" builtinId="41" customBuiltin="1"/>
    <cellStyle name="Accent4 2" xfId="112" xr:uid="{380E559D-0206-4DA0-9744-7B3F892EDE55}"/>
    <cellStyle name="Accent5" xfId="41" builtinId="45" customBuiltin="1"/>
    <cellStyle name="Accent5 2" xfId="116" xr:uid="{D3A615C1-5582-4C7B-8F49-DC021CAE4C59}"/>
    <cellStyle name="Accent6" xfId="42" builtinId="49" customBuiltin="1"/>
    <cellStyle name="Accent6 2" xfId="120" xr:uid="{B4C743CD-3768-46C8-A87C-7B5AA293C0BB}"/>
    <cellStyle name="Bad" xfId="43" builtinId="27" customBuiltin="1"/>
    <cellStyle name="Bad 2" xfId="89" xr:uid="{2530E84A-DF5A-4686-B73A-57929AE00EA0}"/>
    <cellStyle name="Calculation" xfId="44" builtinId="22" customBuiltin="1"/>
    <cellStyle name="Calculation 2" xfId="93" xr:uid="{844A2B39-6C9E-4C81-97FD-BED84576CECF}"/>
    <cellStyle name="Check Cell" xfId="45" builtinId="23" customBuiltin="1"/>
    <cellStyle name="Check Cell 2" xfId="95" xr:uid="{97FFBAE8-3408-4F97-B2FB-7E73582F140F}"/>
    <cellStyle name="Comma" xfId="46" builtinId="3"/>
    <cellStyle name="Comma 2" xfId="47" xr:uid="{DCD4FC7F-EA24-4DE0-867F-6C8CC7325EA9}"/>
    <cellStyle name="Comma 2 2" xfId="132" xr:uid="{A7D3A645-3A0C-4D04-AF57-37D3BDC041C2}"/>
    <cellStyle name="Comma 2 3" xfId="79" xr:uid="{981BBA6C-9BB7-4FDF-8005-F314600E1333}"/>
    <cellStyle name="Comma 3" xfId="48" xr:uid="{82567527-EB35-4FF5-8E27-59116895E324}"/>
    <cellStyle name="Comma 3 2" xfId="135" xr:uid="{72F631AE-7230-47F3-A348-780587243427}"/>
    <cellStyle name="Comma 3 3" xfId="81" xr:uid="{8B370042-76BE-41B5-81EB-B7646FBDBC06}"/>
    <cellStyle name="Comma 4" xfId="49" xr:uid="{D36A5560-3C51-4BF3-BE21-9AA6C6C4C941}"/>
    <cellStyle name="Comma 4 2" xfId="130" xr:uid="{4AFAC389-F0A2-4C08-B8B2-9CB7529ED29C}"/>
    <cellStyle name="Comma 4 3" xfId="182" xr:uid="{20876116-F8B5-49A2-9718-6EA5B23A025B}"/>
    <cellStyle name="Comma 5" xfId="50" xr:uid="{8681F30B-090E-41AD-8730-3277ADEA2EF9}"/>
    <cellStyle name="Comma 5 2" xfId="139" xr:uid="{DB1D2F7A-5751-4FBB-80AA-7B11E0B990F5}"/>
    <cellStyle name="Comma 5 3" xfId="185" xr:uid="{28C03315-74B5-41D9-A6A8-C24031A67F9A}"/>
    <cellStyle name="Comma 6" xfId="125" xr:uid="{0547F088-9BDA-4945-A2C1-2FA3184F2C07}"/>
    <cellStyle name="Comma 7" xfId="78" xr:uid="{8F3CE739-6ACE-4133-8D23-5287E0615DE4}"/>
    <cellStyle name="Comma 8" xfId="161" xr:uid="{42DC8DFB-F229-49CD-9C38-82E7CC39BB8B}"/>
    <cellStyle name="Currency 2" xfId="51" xr:uid="{A9D75D19-7B07-40C0-AF64-D07250217FF1}"/>
    <cellStyle name="Currency 2 2" xfId="133" xr:uid="{9DA83578-28C0-498D-9BF3-CE94DDFF424F}"/>
    <cellStyle name="Currency 2 3" xfId="80" xr:uid="{BF1AF785-623D-4066-87E9-8D6976926798}"/>
    <cellStyle name="Currency 3" xfId="52" xr:uid="{12E5C6C1-8474-49AF-9453-9A4F14C2A1CE}"/>
    <cellStyle name="Currency 3 2" xfId="136" xr:uid="{E091CA84-4475-4806-B523-2C2393BE555D}"/>
    <cellStyle name="Currency 3 3" xfId="82" xr:uid="{72AFA112-FC97-4B38-9A37-3C9D80CB37D5}"/>
    <cellStyle name="Explanatory Text" xfId="53" builtinId="53" customBuiltin="1"/>
    <cellStyle name="Explanatory Text 2" xfId="98" xr:uid="{6AFA1870-2E6E-470F-8044-E4AFA6B8A82A}"/>
    <cellStyle name="Good" xfId="54" builtinId="26" customBuiltin="1"/>
    <cellStyle name="Good 2" xfId="88" xr:uid="{4E01B5A8-3F63-4DD9-A564-31A66F59497F}"/>
    <cellStyle name="Heading 1" xfId="55" builtinId="16" customBuiltin="1"/>
    <cellStyle name="Heading 1 2" xfId="84" xr:uid="{4D8A530A-BF46-453A-AE38-C5C172DE1EE0}"/>
    <cellStyle name="Heading 2" xfId="56" builtinId="17" customBuiltin="1"/>
    <cellStyle name="Heading 2 2" xfId="85" xr:uid="{C07BEC45-0551-4C39-8B8A-03CF9C06026D}"/>
    <cellStyle name="Heading 3" xfId="57" builtinId="18" customBuiltin="1"/>
    <cellStyle name="Heading 3 2" xfId="86" xr:uid="{EAFBCCC3-0768-4356-BA4A-04FB831102C3}"/>
    <cellStyle name="Heading 4" xfId="58" builtinId="19" customBuiltin="1"/>
    <cellStyle name="Heading 4 2" xfId="87" xr:uid="{1B90FE93-EED7-4D72-8DDF-7D3B99488BB3}"/>
    <cellStyle name="Hyperlink" xfId="59" builtinId="8"/>
    <cellStyle name="Hyperlink 2" xfId="126" xr:uid="{0C655732-EF12-4232-9C7D-5B54921D636F}"/>
    <cellStyle name="Input" xfId="60" builtinId="20" customBuiltin="1"/>
    <cellStyle name="Input 2" xfId="91" xr:uid="{CC32EE90-050A-4684-8D4A-1B1194AFB611}"/>
    <cellStyle name="Linked Cell" xfId="61" builtinId="24" customBuiltin="1"/>
    <cellStyle name="Linked Cell 2" xfId="94" xr:uid="{00022983-F8F7-462E-8809-C0BB038E4A04}"/>
    <cellStyle name="Neutral" xfId="62" builtinId="28" customBuiltin="1"/>
    <cellStyle name="Neutral 2" xfId="90" xr:uid="{A2800E00-C349-4079-A396-6347A2C3E652}"/>
    <cellStyle name="Normal" xfId="0" builtinId="0"/>
    <cellStyle name="Normal 2" xfId="63" xr:uid="{B190D761-ADDB-4CFB-8149-54EEFCE0B1C0}"/>
    <cellStyle name="Normal 2 2" xfId="64" xr:uid="{58E319F7-AE85-44FA-A549-6CE01C4D8830}"/>
    <cellStyle name="Normal 2 3" xfId="127" xr:uid="{374CD21B-D9D0-4E10-8D98-969C4539EDFE}"/>
    <cellStyle name="Normal 3" xfId="65" xr:uid="{AF34E870-8623-4650-95F9-6EDBC09E1788}"/>
    <cellStyle name="Normal 3 2" xfId="131" xr:uid="{91168A6D-D749-430A-A101-361E2C2B1B67}"/>
    <cellStyle name="Normal 4" xfId="66" xr:uid="{52C0CEA4-17BB-4EAF-8941-C7812597041F}"/>
    <cellStyle name="Normal 4 2" xfId="134" xr:uid="{066AEC08-5E95-487F-B1EF-BEBA40C9E451}"/>
    <cellStyle name="Normal 5" xfId="67" xr:uid="{E29E70DA-5607-4AC5-9D28-901BDFD98997}"/>
    <cellStyle name="Normal 5 2" xfId="129" xr:uid="{E0F72832-FC4A-491D-844B-3F25675906E8}"/>
    <cellStyle name="Normal 5 3" xfId="181" xr:uid="{C01B964E-F75C-4629-A8EB-21496FE3B1FA}"/>
    <cellStyle name="Normal 6" xfId="68" xr:uid="{8A31B281-94F7-45C4-996A-DB241DD84DA4}"/>
    <cellStyle name="Normal 6 2" xfId="138" xr:uid="{95550785-B9EE-4C57-9E85-BDEC8F671A07}"/>
    <cellStyle name="Normal 6 3" xfId="184" xr:uid="{D5A2C69B-55D4-41A8-974C-CE99B27D5753}"/>
    <cellStyle name="Normal 7" xfId="124" xr:uid="{0705C153-73E8-4783-B369-97F5CD385C79}"/>
    <cellStyle name="Normal 8" xfId="77" xr:uid="{FA839FD3-2CA8-4365-94A0-46AA9C463C01}"/>
    <cellStyle name="Normal 9" xfId="160" xr:uid="{B58F93CD-45E8-4671-8B1A-8997C6510B72}"/>
    <cellStyle name="Note 2" xfId="69" xr:uid="{39819128-7F77-4926-8686-DF6B7BBA0AA0}"/>
    <cellStyle name="Note 2 2" xfId="137" xr:uid="{CEF30696-692C-450F-8046-2536D9867C74}"/>
    <cellStyle name="Note 2 3" xfId="183" xr:uid="{07B38935-AF4D-49B6-BF51-393613036FC9}"/>
    <cellStyle name="Note 3" xfId="70" xr:uid="{4A88220F-88E5-42F7-9054-CF45EDC95130}"/>
    <cellStyle name="Note 3 2" xfId="140" xr:uid="{6593BDB7-3201-4F69-90DD-B0DAB9F5ACF9}"/>
    <cellStyle name="Note 3 3" xfId="186" xr:uid="{56CC769E-8E4F-4230-A1A8-D302C7A27243}"/>
    <cellStyle name="Note 4" xfId="97" xr:uid="{A6EE552C-5AF6-4DCC-A9F6-F401BD3B05B7}"/>
    <cellStyle name="Note 5" xfId="162" xr:uid="{30A3AC0E-128A-4189-A3A0-5C4410BF1AF0}"/>
    <cellStyle name="Output" xfId="71" builtinId="21" customBuiltin="1"/>
    <cellStyle name="Output 2" xfId="92" xr:uid="{769C44D7-FC34-427F-B78A-ED4E38357ECB}"/>
    <cellStyle name="Percent" xfId="72" builtinId="5"/>
    <cellStyle name="Percent 2" xfId="128" xr:uid="{B7CA8632-4513-4404-8863-92AA798A576E}"/>
    <cellStyle name="Percent 3" xfId="159" xr:uid="{A1F01FBE-9EFA-4A0C-99F1-7378E21132E9}"/>
    <cellStyle name="Percent 4" xfId="205" xr:uid="{319EDC75-A43C-4425-9430-5C9A8385C77F}"/>
    <cellStyle name="Sub-Section Header" xfId="73" xr:uid="{A77C3AEB-1D4D-4BC7-8FC4-165A6C386AD2}"/>
    <cellStyle name="Title" xfId="74" builtinId="15" customBuiltin="1"/>
    <cellStyle name="Title 2" xfId="83" xr:uid="{CECB451D-6009-4732-A422-7BBC2C5A4478}"/>
    <cellStyle name="Total" xfId="75" builtinId="25" customBuiltin="1"/>
    <cellStyle name="Total 2" xfId="99" xr:uid="{1FD1A8EA-687B-4C78-9701-432CFE58EBDA}"/>
    <cellStyle name="Warning Text" xfId="76" builtinId="11" customBuiltin="1"/>
    <cellStyle name="Warning Text 2" xfId="96" xr:uid="{81868BE6-CD60-41EA-B9C3-0290111F065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kbratton@masongenera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8095-8F04-40B6-929B-7583F3E2AC6D}">
  <sheetPr syncVertical="1" syncRef="A1" transitionEvaluation="1" transitionEntry="1" codeName="Sheet1">
    <tabColor rgb="FF92D050"/>
    <pageSetUpPr autoPageBreaks="0" fitToPage="1"/>
  </sheetPr>
  <dimension ref="A1:CG716"/>
  <sheetViews>
    <sheetView tabSelected="1" zoomScaleNormal="100" workbookViewId="0">
      <selection activeCell="D6" sqref="D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60" t="s">
        <v>1402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11" t="s">
        <v>1401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8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51" t="s">
        <v>28</v>
      </c>
      <c r="B36" s="352"/>
      <c r="C36" s="353"/>
      <c r="D36" s="352"/>
      <c r="E36" s="352"/>
      <c r="F36" s="352"/>
      <c r="G36" s="352"/>
    </row>
    <row r="37" spans="1:83" x14ac:dyDescent="0.35">
      <c r="A37" s="354" t="s">
        <v>29</v>
      </c>
      <c r="B37" s="355"/>
      <c r="C37" s="353"/>
      <c r="D37" s="352"/>
      <c r="E37" s="352"/>
      <c r="F37" s="352"/>
      <c r="G37" s="352"/>
    </row>
    <row r="38" spans="1:83" x14ac:dyDescent="0.35">
      <c r="A38" s="356" t="s">
        <v>30</v>
      </c>
      <c r="B38" s="355"/>
      <c r="C38" s="353"/>
      <c r="D38" s="352"/>
      <c r="E38" s="352"/>
      <c r="F38" s="352"/>
      <c r="G38" s="352"/>
    </row>
    <row r="39" spans="1:83" x14ac:dyDescent="0.35">
      <c r="A39" s="357" t="s">
        <v>31</v>
      </c>
      <c r="B39" s="352"/>
      <c r="C39" s="353"/>
      <c r="D39" s="352"/>
      <c r="E39" s="352"/>
      <c r="F39" s="352"/>
      <c r="G39" s="352"/>
    </row>
    <row r="40" spans="1:83" x14ac:dyDescent="0.35">
      <c r="A40" s="356" t="s">
        <v>32</v>
      </c>
      <c r="B40" s="352"/>
      <c r="C40" s="353"/>
      <c r="D40" s="352"/>
      <c r="E40" s="352"/>
      <c r="F40" s="352"/>
      <c r="G40" s="352"/>
    </row>
    <row r="41" spans="1:83" x14ac:dyDescent="0.35">
      <c r="A41" s="358"/>
      <c r="B41" s="358"/>
      <c r="C41" s="359"/>
      <c r="D41" s="358"/>
      <c r="E41" s="358"/>
      <c r="F41" s="358"/>
      <c r="G41" s="358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5">
        <v>18816586</v>
      </c>
      <c r="C47" s="316">
        <v>707429</v>
      </c>
      <c r="D47" s="316"/>
      <c r="E47" s="316">
        <v>1446107</v>
      </c>
      <c r="F47" s="316"/>
      <c r="G47" s="316"/>
      <c r="H47" s="316"/>
      <c r="I47" s="316"/>
      <c r="J47" s="316">
        <v>0</v>
      </c>
      <c r="K47" s="316"/>
      <c r="L47" s="316"/>
      <c r="M47" s="316"/>
      <c r="N47" s="316"/>
      <c r="O47" s="316">
        <v>0</v>
      </c>
      <c r="P47" s="316">
        <v>438044</v>
      </c>
      <c r="Q47" s="316">
        <v>462880</v>
      </c>
      <c r="R47" s="316">
        <v>185176</v>
      </c>
      <c r="S47" s="316">
        <v>0</v>
      </c>
      <c r="T47" s="316"/>
      <c r="U47" s="316">
        <v>768774</v>
      </c>
      <c r="V47" s="316"/>
      <c r="W47" s="316">
        <v>86968</v>
      </c>
      <c r="X47" s="316">
        <v>159514</v>
      </c>
      <c r="Y47" s="316">
        <v>734136</v>
      </c>
      <c r="Z47" s="316"/>
      <c r="AA47" s="316">
        <v>45508</v>
      </c>
      <c r="AB47" s="316">
        <v>581724</v>
      </c>
      <c r="AC47" s="316">
        <v>263760</v>
      </c>
      <c r="AD47" s="316"/>
      <c r="AE47" s="316">
        <v>626038</v>
      </c>
      <c r="AF47" s="316"/>
      <c r="AG47" s="316">
        <v>1023950</v>
      </c>
      <c r="AH47" s="316"/>
      <c r="AI47" s="316"/>
      <c r="AJ47" s="316"/>
      <c r="AK47" s="316"/>
      <c r="AL47" s="316"/>
      <c r="AM47" s="316"/>
      <c r="AN47" s="316"/>
      <c r="AO47" s="316"/>
      <c r="AP47" s="316">
        <v>5647972</v>
      </c>
      <c r="AQ47" s="316"/>
      <c r="AR47" s="316"/>
      <c r="AS47" s="316"/>
      <c r="AT47" s="316"/>
      <c r="AU47" s="316"/>
      <c r="AV47" s="316">
        <v>141599</v>
      </c>
      <c r="AW47" s="316"/>
      <c r="AX47" s="316"/>
      <c r="AY47" s="316">
        <v>376415</v>
      </c>
      <c r="AZ47" s="316"/>
      <c r="BA47" s="316">
        <v>41919</v>
      </c>
      <c r="BB47" s="316"/>
      <c r="BC47" s="316"/>
      <c r="BD47" s="316">
        <v>195084</v>
      </c>
      <c r="BE47" s="316">
        <v>322758</v>
      </c>
      <c r="BF47" s="316">
        <v>655254</v>
      </c>
      <c r="BG47" s="316"/>
      <c r="BH47" s="316">
        <v>0</v>
      </c>
      <c r="BI47" s="316"/>
      <c r="BJ47" s="316">
        <v>210598</v>
      </c>
      <c r="BK47" s="316">
        <v>612699</v>
      </c>
      <c r="BL47" s="316">
        <v>554108</v>
      </c>
      <c r="BM47" s="316"/>
      <c r="BN47" s="316">
        <v>542378</v>
      </c>
      <c r="BO47" s="316">
        <v>52055</v>
      </c>
      <c r="BP47" s="316">
        <v>0</v>
      </c>
      <c r="BQ47" s="316"/>
      <c r="BR47" s="316">
        <v>198583</v>
      </c>
      <c r="BS47" s="316"/>
      <c r="BT47" s="316"/>
      <c r="BU47" s="316"/>
      <c r="BV47" s="316">
        <v>608167</v>
      </c>
      <c r="BW47" s="316">
        <v>58613</v>
      </c>
      <c r="BX47" s="316"/>
      <c r="BY47" s="316">
        <v>465919</v>
      </c>
      <c r="BZ47" s="316"/>
      <c r="CA47" s="316">
        <v>28028</v>
      </c>
      <c r="CB47" s="316"/>
      <c r="CC47" s="316">
        <v>574429</v>
      </c>
      <c r="CD47" s="16"/>
      <c r="CE47" s="28">
        <f>SUM(C47:CC47)</f>
        <v>18816586</v>
      </c>
    </row>
    <row r="48" spans="1:83" x14ac:dyDescent="0.35">
      <c r="A48" s="28" t="s">
        <v>232</v>
      </c>
      <c r="B48" s="315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18816586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16" t="s">
        <v>234</v>
      </c>
      <c r="B51" s="316">
        <v>12671902.43</v>
      </c>
      <c r="C51" s="316">
        <v>204619.60680705111</v>
      </c>
      <c r="D51" s="316"/>
      <c r="E51" s="316">
        <v>604421.64347035054</v>
      </c>
      <c r="F51" s="316"/>
      <c r="G51" s="316"/>
      <c r="H51" s="316"/>
      <c r="I51" s="316"/>
      <c r="J51" s="316">
        <v>15132.068410602862</v>
      </c>
      <c r="K51" s="316"/>
      <c r="L51" s="316"/>
      <c r="M51" s="316"/>
      <c r="N51" s="316"/>
      <c r="O51" s="316">
        <v>30604.430208693921</v>
      </c>
      <c r="P51" s="316">
        <v>206106.66379647137</v>
      </c>
      <c r="Q51" s="316">
        <v>227508.73204868101</v>
      </c>
      <c r="R51" s="316">
        <v>9782.1791951288469</v>
      </c>
      <c r="S51" s="316">
        <v>93247.922342706355</v>
      </c>
      <c r="T51" s="316"/>
      <c r="U51" s="316">
        <v>137905.46489853735</v>
      </c>
      <c r="V51" s="316"/>
      <c r="W51" s="316">
        <v>67100.268169224524</v>
      </c>
      <c r="X51" s="316">
        <v>24852.404619260145</v>
      </c>
      <c r="Y51" s="316">
        <v>219500.85011008655</v>
      </c>
      <c r="Z51" s="316"/>
      <c r="AA51" s="316">
        <v>21665.764235134062</v>
      </c>
      <c r="AB51" s="316">
        <v>60347.767463623888</v>
      </c>
      <c r="AC51" s="316">
        <v>25286.561219717874</v>
      </c>
      <c r="AD51" s="316"/>
      <c r="AE51" s="316">
        <v>249914.72857873866</v>
      </c>
      <c r="AF51" s="316"/>
      <c r="AG51" s="316">
        <v>299579.04164845269</v>
      </c>
      <c r="AH51" s="316"/>
      <c r="AI51" s="316"/>
      <c r="AJ51" s="316"/>
      <c r="AK51" s="316"/>
      <c r="AL51" s="316"/>
      <c r="AM51" s="316"/>
      <c r="AN51" s="316"/>
      <c r="AO51" s="316"/>
      <c r="AP51" s="316">
        <v>2824964.33</v>
      </c>
      <c r="AQ51" s="316"/>
      <c r="AR51" s="316"/>
      <c r="AS51" s="316"/>
      <c r="AT51" s="316"/>
      <c r="AU51" s="316"/>
      <c r="AV51" s="316">
        <v>8411.2740077109956</v>
      </c>
      <c r="AW51" s="316"/>
      <c r="AX51" s="316"/>
      <c r="AY51" s="316">
        <v>158215.07836434574</v>
      </c>
      <c r="AZ51" s="316"/>
      <c r="BA51" s="316">
        <v>45858.301049504735</v>
      </c>
      <c r="BB51" s="316"/>
      <c r="BC51" s="316"/>
      <c r="BD51" s="316">
        <v>106806.9186456493</v>
      </c>
      <c r="BE51" s="316">
        <v>523777.66490662447</v>
      </c>
      <c r="BF51" s="316">
        <v>72045.509620425219</v>
      </c>
      <c r="BG51" s="316"/>
      <c r="BH51" s="316">
        <v>4933363.3249487402</v>
      </c>
      <c r="BI51" s="316"/>
      <c r="BJ51" s="316">
        <v>84316.278829138377</v>
      </c>
      <c r="BK51" s="316">
        <v>119004.77015557855</v>
      </c>
      <c r="BL51" s="316">
        <v>60335.210512056066</v>
      </c>
      <c r="BM51" s="316"/>
      <c r="BN51" s="316">
        <v>168969.47953461384</v>
      </c>
      <c r="BO51" s="316">
        <v>8766.9496608697827</v>
      </c>
      <c r="BP51" s="316">
        <v>89410.204019788289</v>
      </c>
      <c r="BQ51" s="316"/>
      <c r="BR51" s="316">
        <v>66837.2000338785</v>
      </c>
      <c r="BS51" s="316"/>
      <c r="BT51" s="316"/>
      <c r="BU51" s="316"/>
      <c r="BV51" s="316">
        <v>172708.8850833457</v>
      </c>
      <c r="BW51" s="316">
        <v>32077.988475178787</v>
      </c>
      <c r="BX51" s="316"/>
      <c r="BY51" s="316">
        <v>54327.33703442775</v>
      </c>
      <c r="BZ51" s="316"/>
      <c r="CA51" s="316">
        <v>50163.768349875725</v>
      </c>
      <c r="CB51" s="316"/>
      <c r="CC51" s="316">
        <v>593965.85954578465</v>
      </c>
      <c r="CD51" s="16"/>
      <c r="CE51" s="28">
        <f>SUM(C51:CD51)</f>
        <v>12671902.430000002</v>
      </c>
    </row>
    <row r="52" spans="1:83" x14ac:dyDescent="0.35">
      <c r="A52" s="35" t="s">
        <v>235</v>
      </c>
      <c r="B52" s="317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12671902.43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ht="15" thickBot="1" x14ac:dyDescent="0.4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6">
        <v>711</v>
      </c>
      <c r="D59" s="316"/>
      <c r="E59" s="316">
        <v>4445</v>
      </c>
      <c r="F59" s="316"/>
      <c r="G59" s="316"/>
      <c r="H59" s="316"/>
      <c r="I59" s="316"/>
      <c r="J59" s="316">
        <v>672</v>
      </c>
      <c r="K59" s="316"/>
      <c r="L59" s="316"/>
      <c r="M59" s="316"/>
      <c r="N59" s="316"/>
      <c r="O59" s="316">
        <v>1257</v>
      </c>
      <c r="P59" s="318">
        <v>0</v>
      </c>
      <c r="Q59" s="319">
        <v>133943</v>
      </c>
      <c r="R59" s="318">
        <v>0</v>
      </c>
      <c r="S59" s="274">
        <v>0</v>
      </c>
      <c r="T59" s="274">
        <v>0</v>
      </c>
      <c r="U59" s="320">
        <v>326130</v>
      </c>
      <c r="V59" s="319"/>
      <c r="W59" s="319">
        <v>2058</v>
      </c>
      <c r="X59" s="319">
        <v>38594</v>
      </c>
      <c r="Y59" s="318">
        <v>0</v>
      </c>
      <c r="Z59" s="319"/>
      <c r="AA59" s="319">
        <v>831</v>
      </c>
      <c r="AB59" s="274">
        <v>0</v>
      </c>
      <c r="AC59" s="319">
        <v>4167</v>
      </c>
      <c r="AD59" s="319"/>
      <c r="AE59" s="319">
        <v>20823</v>
      </c>
      <c r="AF59" s="319"/>
      <c r="AG59" s="319">
        <v>17566</v>
      </c>
      <c r="AH59" s="319"/>
      <c r="AI59" s="319"/>
      <c r="AJ59" s="319"/>
      <c r="AK59" s="319"/>
      <c r="AL59" s="319"/>
      <c r="AM59" s="319"/>
      <c r="AN59" s="319"/>
      <c r="AO59" s="319"/>
      <c r="AP59" s="319">
        <v>90971</v>
      </c>
      <c r="AQ59" s="319"/>
      <c r="AR59" s="319"/>
      <c r="AS59" s="319"/>
      <c r="AT59" s="319"/>
      <c r="AU59" s="319"/>
      <c r="AV59" s="274">
        <v>0</v>
      </c>
      <c r="AW59" s="274">
        <v>0</v>
      </c>
      <c r="AX59" s="274">
        <v>0</v>
      </c>
      <c r="AY59" s="319">
        <v>33431.114391143914</v>
      </c>
      <c r="AZ59" s="319"/>
      <c r="BA59" s="274">
        <v>0</v>
      </c>
      <c r="BB59" s="274">
        <v>0</v>
      </c>
      <c r="BC59" s="274">
        <v>0</v>
      </c>
      <c r="BD59" s="274">
        <v>0</v>
      </c>
      <c r="BE59" s="319">
        <v>227969</v>
      </c>
      <c r="BF59" s="274">
        <v>0</v>
      </c>
      <c r="BG59" s="274">
        <v>0</v>
      </c>
      <c r="BH59" s="274">
        <v>0</v>
      </c>
      <c r="BI59" s="274">
        <v>0</v>
      </c>
      <c r="BJ59" s="274">
        <v>0</v>
      </c>
      <c r="BK59" s="274">
        <v>0</v>
      </c>
      <c r="BL59" s="274">
        <v>0</v>
      </c>
      <c r="BM59" s="274">
        <v>0</v>
      </c>
      <c r="BN59" s="274">
        <v>0</v>
      </c>
      <c r="BO59" s="274">
        <v>0</v>
      </c>
      <c r="BP59" s="274">
        <v>0</v>
      </c>
      <c r="BQ59" s="274">
        <v>0</v>
      </c>
      <c r="BR59" s="274">
        <v>0</v>
      </c>
      <c r="BS59" s="274">
        <v>0</v>
      </c>
      <c r="BT59" s="274">
        <v>0</v>
      </c>
      <c r="BU59" s="274">
        <v>0</v>
      </c>
      <c r="BV59" s="274">
        <v>0</v>
      </c>
      <c r="BW59" s="274">
        <v>0</v>
      </c>
      <c r="BX59" s="274">
        <v>0</v>
      </c>
      <c r="BY59" s="274">
        <v>0</v>
      </c>
      <c r="BZ59" s="274">
        <v>0</v>
      </c>
      <c r="CA59" s="274">
        <v>0</v>
      </c>
      <c r="CB59" s="274">
        <v>0</v>
      </c>
      <c r="CC59" s="274">
        <v>0</v>
      </c>
      <c r="CD59" s="233">
        <v>0</v>
      </c>
      <c r="CE59" s="28">
        <v>0</v>
      </c>
    </row>
    <row r="60" spans="1:83" s="210" customFormat="1" x14ac:dyDescent="0.35">
      <c r="A60" s="216" t="s">
        <v>262</v>
      </c>
      <c r="B60" s="217"/>
      <c r="C60" s="321">
        <v>20.933825525240383</v>
      </c>
      <c r="D60" s="321"/>
      <c r="E60" s="321">
        <v>44.94</v>
      </c>
      <c r="F60" s="321"/>
      <c r="G60" s="321"/>
      <c r="H60" s="321"/>
      <c r="I60" s="321"/>
      <c r="J60" s="321"/>
      <c r="K60" s="321"/>
      <c r="L60" s="321"/>
      <c r="M60" s="321"/>
      <c r="N60" s="321"/>
      <c r="O60" s="321">
        <v>0</v>
      </c>
      <c r="P60" s="322">
        <v>15.722201251826922</v>
      </c>
      <c r="Q60" s="322">
        <v>13.566662338942308</v>
      </c>
      <c r="R60" s="322">
        <v>3.3784388461538457</v>
      </c>
      <c r="S60" s="323">
        <v>0</v>
      </c>
      <c r="T60" s="323"/>
      <c r="U60" s="324">
        <v>31.051268203125002</v>
      </c>
      <c r="V60" s="322"/>
      <c r="W60" s="322">
        <v>2.1101423810096156</v>
      </c>
      <c r="X60" s="322">
        <v>4.4897639242788472</v>
      </c>
      <c r="Y60" s="322">
        <v>23.884224074182693</v>
      </c>
      <c r="Z60" s="322"/>
      <c r="AA60" s="322">
        <v>1.0036760588942306</v>
      </c>
      <c r="AB60" s="323">
        <v>14.716421475961537</v>
      </c>
      <c r="AC60" s="322">
        <v>8.4617263847115396</v>
      </c>
      <c r="AD60" s="322"/>
      <c r="AE60" s="322">
        <v>21.013615494711541</v>
      </c>
      <c r="AF60" s="322"/>
      <c r="AG60" s="322">
        <v>30.768301471634615</v>
      </c>
      <c r="AH60" s="322"/>
      <c r="AI60" s="322"/>
      <c r="AJ60" s="322"/>
      <c r="AK60" s="322"/>
      <c r="AL60" s="322"/>
      <c r="AM60" s="322"/>
      <c r="AN60" s="322"/>
      <c r="AO60" s="322"/>
      <c r="AP60" s="322">
        <v>169.56457440995194</v>
      </c>
      <c r="AQ60" s="322"/>
      <c r="AR60" s="322"/>
      <c r="AS60" s="322"/>
      <c r="AT60" s="322"/>
      <c r="AU60" s="322"/>
      <c r="AV60" s="323">
        <v>4.0644393701923081</v>
      </c>
      <c r="AW60" s="323"/>
      <c r="AX60" s="323"/>
      <c r="AY60" s="322">
        <v>19.414148450721154</v>
      </c>
      <c r="AZ60" s="322"/>
      <c r="BA60" s="323">
        <v>0.99451584735576914</v>
      </c>
      <c r="BB60" s="323"/>
      <c r="BC60" s="323"/>
      <c r="BD60" s="323">
        <v>7.4673485874038459</v>
      </c>
      <c r="BE60" s="322">
        <v>11.454703409855769</v>
      </c>
      <c r="BF60" s="323">
        <v>31.238702013221154</v>
      </c>
      <c r="BG60" s="323"/>
      <c r="BH60" s="323">
        <v>0</v>
      </c>
      <c r="BI60" s="323"/>
      <c r="BJ60" s="323">
        <v>6.6112851923076921</v>
      </c>
      <c r="BK60" s="323">
        <v>23.132513043269231</v>
      </c>
      <c r="BL60" s="323">
        <v>25.186144260817304</v>
      </c>
      <c r="BM60" s="323"/>
      <c r="BN60" s="323">
        <v>10.321640657499998</v>
      </c>
      <c r="BO60" s="323">
        <v>1.9524949399038463</v>
      </c>
      <c r="BP60" s="323"/>
      <c r="BQ60" s="323"/>
      <c r="BR60" s="323">
        <v>6.4288979927884613</v>
      </c>
      <c r="BS60" s="323"/>
      <c r="BT60" s="323"/>
      <c r="BU60" s="323"/>
      <c r="BV60" s="323">
        <v>22.869850711538461</v>
      </c>
      <c r="BW60" s="323">
        <v>2.0065794230769236</v>
      </c>
      <c r="BX60" s="323"/>
      <c r="BY60" s="323">
        <v>13.232125512548075</v>
      </c>
      <c r="BZ60" s="323"/>
      <c r="CA60" s="323">
        <v>1.0547237079326923</v>
      </c>
      <c r="CB60" s="323"/>
      <c r="CC60" s="323">
        <v>16.850000000000001</v>
      </c>
      <c r="CD60" s="218" t="s">
        <v>248</v>
      </c>
      <c r="CE60" s="28">
        <f t="shared" ref="CE60:CE68" si="6">SUM(C60:CD60)</f>
        <v>609.88495496105782</v>
      </c>
    </row>
    <row r="61" spans="1:83" x14ac:dyDescent="0.35">
      <c r="A61" s="35" t="s">
        <v>263</v>
      </c>
      <c r="B61" s="16"/>
      <c r="C61" s="316">
        <v>2333543.34</v>
      </c>
      <c r="D61" s="316"/>
      <c r="E61" s="316">
        <v>5015175</v>
      </c>
      <c r="F61" s="316"/>
      <c r="G61" s="316"/>
      <c r="H61" s="316"/>
      <c r="I61" s="316"/>
      <c r="J61" s="316"/>
      <c r="K61" s="316"/>
      <c r="L61" s="316"/>
      <c r="M61" s="316"/>
      <c r="N61" s="316"/>
      <c r="O61" s="316">
        <v>0</v>
      </c>
      <c r="P61" s="319">
        <v>1601524.1299999997</v>
      </c>
      <c r="Q61" s="319">
        <v>1574377.7999999998</v>
      </c>
      <c r="R61" s="319">
        <v>912520.38000000012</v>
      </c>
      <c r="S61" s="325">
        <v>0</v>
      </c>
      <c r="T61" s="325"/>
      <c r="U61" s="320">
        <v>2299755.14</v>
      </c>
      <c r="V61" s="319"/>
      <c r="W61" s="319">
        <v>231750.91000000003</v>
      </c>
      <c r="X61" s="319">
        <v>506873.10000000009</v>
      </c>
      <c r="Y61" s="319">
        <v>2110038.1399999997</v>
      </c>
      <c r="Z61" s="319"/>
      <c r="AA61" s="319">
        <v>114302.27</v>
      </c>
      <c r="AB61" s="326">
        <v>1825729.11</v>
      </c>
      <c r="AC61" s="319">
        <v>874950.73999999987</v>
      </c>
      <c r="AD61" s="319"/>
      <c r="AE61" s="319">
        <v>1813447.6799999999</v>
      </c>
      <c r="AF61" s="319"/>
      <c r="AG61" s="319">
        <v>4255892.5600000005</v>
      </c>
      <c r="AH61" s="319"/>
      <c r="AI61" s="319"/>
      <c r="AJ61" s="319"/>
      <c r="AK61" s="319"/>
      <c r="AL61" s="319"/>
      <c r="AM61" s="319"/>
      <c r="AN61" s="319"/>
      <c r="AO61" s="319"/>
      <c r="AP61" s="319">
        <v>19241404.890000001</v>
      </c>
      <c r="AQ61" s="319"/>
      <c r="AR61" s="319"/>
      <c r="AS61" s="319"/>
      <c r="AT61" s="319"/>
      <c r="AU61" s="319"/>
      <c r="AV61" s="325">
        <v>376995.85000000003</v>
      </c>
      <c r="AW61" s="325"/>
      <c r="AX61" s="325"/>
      <c r="AY61" s="319">
        <v>977535.20000000019</v>
      </c>
      <c r="AZ61" s="319"/>
      <c r="BA61" s="325">
        <v>55774.239999999991</v>
      </c>
      <c r="BB61" s="325"/>
      <c r="BC61" s="325"/>
      <c r="BD61" s="325">
        <v>501170.61</v>
      </c>
      <c r="BE61" s="319">
        <v>898094.74000000011</v>
      </c>
      <c r="BF61" s="325">
        <v>1686759.2</v>
      </c>
      <c r="BG61" s="325"/>
      <c r="BH61" s="325">
        <v>0</v>
      </c>
      <c r="BI61" s="325"/>
      <c r="BJ61" s="325">
        <v>627371.11</v>
      </c>
      <c r="BK61" s="325">
        <v>1452355.95</v>
      </c>
      <c r="BL61" s="325">
        <v>1317778.1100000001</v>
      </c>
      <c r="BM61" s="325"/>
      <c r="BN61" s="325">
        <v>2067701.9500000004</v>
      </c>
      <c r="BO61" s="325">
        <v>199223.81</v>
      </c>
      <c r="BP61" s="325"/>
      <c r="BQ61" s="325"/>
      <c r="BR61" s="325">
        <v>710205.14999999991</v>
      </c>
      <c r="BS61" s="325"/>
      <c r="BT61" s="325"/>
      <c r="BU61" s="325"/>
      <c r="BV61" s="325">
        <v>1413227.0999999999</v>
      </c>
      <c r="BW61" s="325">
        <v>167530.35999999999</v>
      </c>
      <c r="BX61" s="325"/>
      <c r="BY61" s="325">
        <v>1810067.6400000001</v>
      </c>
      <c r="BZ61" s="325"/>
      <c r="CA61" s="325">
        <v>85098.34</v>
      </c>
      <c r="CB61" s="325"/>
      <c r="CC61" s="325">
        <v>1796158</v>
      </c>
      <c r="CD61" s="25" t="s">
        <v>248</v>
      </c>
      <c r="CE61" s="28">
        <f t="shared" si="6"/>
        <v>60854332.550000019</v>
      </c>
    </row>
    <row r="62" spans="1:83" x14ac:dyDescent="0.35">
      <c r="A62" s="35" t="s">
        <v>11</v>
      </c>
      <c r="B62" s="16"/>
      <c r="C62" s="28">
        <f t="shared" ref="C62:AH62" si="7">ROUND(C47+C48,0)</f>
        <v>707429</v>
      </c>
      <c r="D62" s="28">
        <f t="shared" si="7"/>
        <v>0</v>
      </c>
      <c r="E62" s="28">
        <f t="shared" si="7"/>
        <v>1446107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438044</v>
      </c>
      <c r="Q62" s="28">
        <f t="shared" si="7"/>
        <v>462880</v>
      </c>
      <c r="R62" s="28">
        <f t="shared" si="7"/>
        <v>185176</v>
      </c>
      <c r="S62" s="28">
        <f t="shared" si="7"/>
        <v>0</v>
      </c>
      <c r="T62" s="28">
        <f t="shared" si="7"/>
        <v>0</v>
      </c>
      <c r="U62" s="28">
        <f t="shared" si="7"/>
        <v>768774</v>
      </c>
      <c r="V62" s="28">
        <f t="shared" si="7"/>
        <v>0</v>
      </c>
      <c r="W62" s="28">
        <f t="shared" si="7"/>
        <v>86968</v>
      </c>
      <c r="X62" s="28">
        <f t="shared" si="7"/>
        <v>159514</v>
      </c>
      <c r="Y62" s="28">
        <f t="shared" si="7"/>
        <v>734136</v>
      </c>
      <c r="Z62" s="28">
        <f t="shared" si="7"/>
        <v>0</v>
      </c>
      <c r="AA62" s="28">
        <f t="shared" si="7"/>
        <v>45508</v>
      </c>
      <c r="AB62" s="28">
        <f t="shared" si="7"/>
        <v>581724</v>
      </c>
      <c r="AC62" s="28">
        <f t="shared" si="7"/>
        <v>263760</v>
      </c>
      <c r="AD62" s="28">
        <f t="shared" si="7"/>
        <v>0</v>
      </c>
      <c r="AE62" s="28">
        <f t="shared" si="7"/>
        <v>626038</v>
      </c>
      <c r="AF62" s="28">
        <f t="shared" si="7"/>
        <v>0</v>
      </c>
      <c r="AG62" s="28">
        <f t="shared" si="7"/>
        <v>1023950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5647972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141599</v>
      </c>
      <c r="AW62" s="28">
        <f t="shared" si="8"/>
        <v>0</v>
      </c>
      <c r="AX62" s="28">
        <f t="shared" si="8"/>
        <v>0</v>
      </c>
      <c r="AY62" s="28">
        <f t="shared" si="8"/>
        <v>376415</v>
      </c>
      <c r="AZ62" s="28">
        <f t="shared" si="8"/>
        <v>0</v>
      </c>
      <c r="BA62" s="28">
        <f t="shared" si="8"/>
        <v>41919</v>
      </c>
      <c r="BB62" s="28">
        <f t="shared" si="8"/>
        <v>0</v>
      </c>
      <c r="BC62" s="28">
        <f t="shared" si="8"/>
        <v>0</v>
      </c>
      <c r="BD62" s="28">
        <f t="shared" si="8"/>
        <v>195084</v>
      </c>
      <c r="BE62" s="28">
        <f t="shared" si="8"/>
        <v>322758</v>
      </c>
      <c r="BF62" s="28">
        <f t="shared" si="8"/>
        <v>655254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210598</v>
      </c>
      <c r="BK62" s="28">
        <f t="shared" si="8"/>
        <v>612699</v>
      </c>
      <c r="BL62" s="28">
        <f t="shared" si="8"/>
        <v>554108</v>
      </c>
      <c r="BM62" s="28">
        <f t="shared" si="8"/>
        <v>0</v>
      </c>
      <c r="BN62" s="28">
        <f t="shared" si="8"/>
        <v>542378</v>
      </c>
      <c r="BO62" s="28">
        <f t="shared" ref="BO62:CC62" si="9">ROUND(BO47+BO48,0)</f>
        <v>52055</v>
      </c>
      <c r="BP62" s="28">
        <f t="shared" si="9"/>
        <v>0</v>
      </c>
      <c r="BQ62" s="28">
        <f t="shared" si="9"/>
        <v>0</v>
      </c>
      <c r="BR62" s="28">
        <f t="shared" si="9"/>
        <v>198583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608167</v>
      </c>
      <c r="BW62" s="28">
        <f t="shared" si="9"/>
        <v>58613</v>
      </c>
      <c r="BX62" s="28">
        <f t="shared" si="9"/>
        <v>0</v>
      </c>
      <c r="BY62" s="28">
        <f t="shared" si="9"/>
        <v>465919</v>
      </c>
      <c r="BZ62" s="28">
        <f t="shared" si="9"/>
        <v>0</v>
      </c>
      <c r="CA62" s="28">
        <f t="shared" si="9"/>
        <v>28028</v>
      </c>
      <c r="CB62" s="28">
        <f t="shared" si="9"/>
        <v>0</v>
      </c>
      <c r="CC62" s="28">
        <f t="shared" si="9"/>
        <v>574429</v>
      </c>
      <c r="CD62" s="25" t="s">
        <v>248</v>
      </c>
      <c r="CE62" s="28">
        <f t="shared" si="6"/>
        <v>18816586</v>
      </c>
    </row>
    <row r="63" spans="1:83" x14ac:dyDescent="0.35">
      <c r="A63" s="35" t="s">
        <v>264</v>
      </c>
      <c r="B63" s="16"/>
      <c r="C63" s="316">
        <v>327918.51999999996</v>
      </c>
      <c r="D63" s="316"/>
      <c r="E63" s="316">
        <v>1744557.55</v>
      </c>
      <c r="F63" s="316"/>
      <c r="G63" s="316"/>
      <c r="H63" s="316"/>
      <c r="I63" s="316"/>
      <c r="J63" s="316">
        <v>0</v>
      </c>
      <c r="K63" s="316"/>
      <c r="L63" s="316"/>
      <c r="M63" s="316"/>
      <c r="N63" s="316"/>
      <c r="O63" s="316">
        <v>54840</v>
      </c>
      <c r="P63" s="319">
        <v>600305.18000000005</v>
      </c>
      <c r="Q63" s="319">
        <v>0</v>
      </c>
      <c r="R63" s="319">
        <v>226535</v>
      </c>
      <c r="S63" s="325">
        <v>216.27</v>
      </c>
      <c r="T63" s="325"/>
      <c r="U63" s="320">
        <v>621162.79999999993</v>
      </c>
      <c r="V63" s="319"/>
      <c r="W63" s="319">
        <v>0</v>
      </c>
      <c r="X63" s="319">
        <v>0</v>
      </c>
      <c r="Y63" s="319">
        <v>245243.9</v>
      </c>
      <c r="Z63" s="319"/>
      <c r="AA63" s="319">
        <v>0</v>
      </c>
      <c r="AB63" s="326">
        <v>0</v>
      </c>
      <c r="AC63" s="319">
        <v>168126.49999999997</v>
      </c>
      <c r="AD63" s="319"/>
      <c r="AE63" s="319">
        <v>427100.15</v>
      </c>
      <c r="AF63" s="319"/>
      <c r="AG63" s="319">
        <v>3869278.5200000005</v>
      </c>
      <c r="AH63" s="319"/>
      <c r="AI63" s="319"/>
      <c r="AJ63" s="319"/>
      <c r="AK63" s="319"/>
      <c r="AL63" s="319"/>
      <c r="AM63" s="319"/>
      <c r="AN63" s="319"/>
      <c r="AO63" s="319"/>
      <c r="AP63" s="319">
        <v>2466472.66</v>
      </c>
      <c r="AQ63" s="319"/>
      <c r="AR63" s="319"/>
      <c r="AS63" s="319"/>
      <c r="AT63" s="319"/>
      <c r="AU63" s="319"/>
      <c r="AV63" s="325">
        <v>34545</v>
      </c>
      <c r="AW63" s="325"/>
      <c r="AX63" s="325"/>
      <c r="AY63" s="319">
        <v>155.6</v>
      </c>
      <c r="AZ63" s="319"/>
      <c r="BA63" s="325">
        <v>0</v>
      </c>
      <c r="BB63" s="325"/>
      <c r="BC63" s="325"/>
      <c r="BD63" s="325">
        <v>0</v>
      </c>
      <c r="BE63" s="319">
        <v>0</v>
      </c>
      <c r="BF63" s="325">
        <v>0</v>
      </c>
      <c r="BG63" s="325"/>
      <c r="BH63" s="325">
        <v>0</v>
      </c>
      <c r="BI63" s="325"/>
      <c r="BJ63" s="325">
        <v>0</v>
      </c>
      <c r="BK63" s="325">
        <v>103997.91</v>
      </c>
      <c r="BL63" s="325">
        <v>0</v>
      </c>
      <c r="BM63" s="325"/>
      <c r="BN63" s="325">
        <v>261417.92</v>
      </c>
      <c r="BO63" s="325">
        <v>0</v>
      </c>
      <c r="BP63" s="325">
        <v>0</v>
      </c>
      <c r="BQ63" s="325"/>
      <c r="BR63" s="325">
        <v>0</v>
      </c>
      <c r="BS63" s="325"/>
      <c r="BT63" s="325"/>
      <c r="BU63" s="325"/>
      <c r="BV63" s="325">
        <v>153457.50000000003</v>
      </c>
      <c r="BW63" s="325">
        <v>8000</v>
      </c>
      <c r="BX63" s="325"/>
      <c r="BY63" s="325">
        <v>0</v>
      </c>
      <c r="BZ63" s="325"/>
      <c r="CA63" s="325">
        <v>0</v>
      </c>
      <c r="CB63" s="325"/>
      <c r="CC63" s="325">
        <v>312.5</v>
      </c>
      <c r="CD63" s="25" t="s">
        <v>248</v>
      </c>
      <c r="CE63" s="28">
        <f t="shared" si="6"/>
        <v>11313643.48</v>
      </c>
    </row>
    <row r="64" spans="1:83" x14ac:dyDescent="0.35">
      <c r="A64" s="35" t="s">
        <v>265</v>
      </c>
      <c r="B64" s="16"/>
      <c r="C64" s="316">
        <v>228042.65000000002</v>
      </c>
      <c r="D64" s="316"/>
      <c r="E64" s="316">
        <v>241435.65</v>
      </c>
      <c r="F64" s="316"/>
      <c r="G64" s="316"/>
      <c r="H64" s="316"/>
      <c r="I64" s="316"/>
      <c r="J64" s="316">
        <v>27725.269999999997</v>
      </c>
      <c r="K64" s="316"/>
      <c r="L64" s="316"/>
      <c r="M64" s="316"/>
      <c r="N64" s="316"/>
      <c r="O64" s="316">
        <v>94935.689999999988</v>
      </c>
      <c r="P64" s="319">
        <v>923406.10000000009</v>
      </c>
      <c r="Q64" s="319">
        <v>137127.03</v>
      </c>
      <c r="R64" s="319">
        <v>57923.13</v>
      </c>
      <c r="S64" s="325">
        <v>4184486.6300000004</v>
      </c>
      <c r="T64" s="325"/>
      <c r="U64" s="320">
        <v>2109656.91</v>
      </c>
      <c r="V64" s="319"/>
      <c r="W64" s="319">
        <v>13226.84</v>
      </c>
      <c r="X64" s="319">
        <v>129054.95000000001</v>
      </c>
      <c r="Y64" s="319">
        <v>121070.73000000001</v>
      </c>
      <c r="Z64" s="319"/>
      <c r="AA64" s="319">
        <v>53575.08</v>
      </c>
      <c r="AB64" s="326">
        <v>2963224.5199999996</v>
      </c>
      <c r="AC64" s="319">
        <v>132974.59999999998</v>
      </c>
      <c r="AD64" s="319"/>
      <c r="AE64" s="319">
        <v>46571.32</v>
      </c>
      <c r="AF64" s="319"/>
      <c r="AG64" s="319">
        <v>398413.8</v>
      </c>
      <c r="AH64" s="319"/>
      <c r="AI64" s="319"/>
      <c r="AJ64" s="319"/>
      <c r="AK64" s="319"/>
      <c r="AL64" s="319"/>
      <c r="AM64" s="319"/>
      <c r="AN64" s="319"/>
      <c r="AO64" s="319"/>
      <c r="AP64" s="319">
        <v>1326920.57</v>
      </c>
      <c r="AQ64" s="319"/>
      <c r="AR64" s="319"/>
      <c r="AS64" s="319"/>
      <c r="AT64" s="319"/>
      <c r="AU64" s="319"/>
      <c r="AV64" s="325">
        <v>10790.26</v>
      </c>
      <c r="AW64" s="325"/>
      <c r="AX64" s="325"/>
      <c r="AY64" s="319">
        <v>851097.77000000014</v>
      </c>
      <c r="AZ64" s="319"/>
      <c r="BA64" s="325">
        <v>71737.76999999999</v>
      </c>
      <c r="BB64" s="325"/>
      <c r="BC64" s="325"/>
      <c r="BD64" s="325">
        <v>77365.849999999991</v>
      </c>
      <c r="BE64" s="319">
        <v>112079.2</v>
      </c>
      <c r="BF64" s="325">
        <v>179290.02</v>
      </c>
      <c r="BG64" s="325"/>
      <c r="BH64" s="325">
        <v>501187.68</v>
      </c>
      <c r="BI64" s="325"/>
      <c r="BJ64" s="325">
        <v>6221.1</v>
      </c>
      <c r="BK64" s="325">
        <v>18188.919999999998</v>
      </c>
      <c r="BL64" s="325">
        <v>14540.17</v>
      </c>
      <c r="BM64" s="325"/>
      <c r="BN64" s="325">
        <v>52023.07</v>
      </c>
      <c r="BO64" s="325">
        <v>45534.829999999994</v>
      </c>
      <c r="BP64" s="325">
        <v>9027.1200000000008</v>
      </c>
      <c r="BQ64" s="325"/>
      <c r="BR64" s="325">
        <v>16680.84</v>
      </c>
      <c r="BS64" s="325"/>
      <c r="BT64" s="325"/>
      <c r="BU64" s="325"/>
      <c r="BV64" s="325">
        <v>6055.26</v>
      </c>
      <c r="BW64" s="325">
        <v>2156.91</v>
      </c>
      <c r="BX64" s="325"/>
      <c r="BY64" s="325">
        <v>4526.88</v>
      </c>
      <c r="BZ64" s="325"/>
      <c r="CA64" s="325">
        <v>4344.6099999999997</v>
      </c>
      <c r="CB64" s="325"/>
      <c r="CC64" s="325">
        <v>29036</v>
      </c>
      <c r="CD64" s="25" t="s">
        <v>248</v>
      </c>
      <c r="CE64" s="28">
        <f t="shared" si="6"/>
        <v>15201655.729999997</v>
      </c>
    </row>
    <row r="65" spans="1:84" x14ac:dyDescent="0.35">
      <c r="A65" s="35" t="s">
        <v>266</v>
      </c>
      <c r="B65" s="16"/>
      <c r="C65" s="316">
        <v>616.11999999999989</v>
      </c>
      <c r="D65" s="316"/>
      <c r="E65" s="316">
        <v>1040.21</v>
      </c>
      <c r="F65" s="316"/>
      <c r="G65" s="316"/>
      <c r="H65" s="316"/>
      <c r="I65" s="316"/>
      <c r="J65" s="316">
        <v>0</v>
      </c>
      <c r="K65" s="316"/>
      <c r="L65" s="316"/>
      <c r="M65" s="316"/>
      <c r="N65" s="316"/>
      <c r="O65" s="316">
        <v>360.82</v>
      </c>
      <c r="P65" s="319">
        <v>616.11999999999989</v>
      </c>
      <c r="Q65" s="319">
        <v>0</v>
      </c>
      <c r="R65" s="319">
        <v>-49.12</v>
      </c>
      <c r="S65" s="325">
        <v>0</v>
      </c>
      <c r="T65" s="325"/>
      <c r="U65" s="320">
        <v>0</v>
      </c>
      <c r="V65" s="319"/>
      <c r="W65" s="319">
        <v>0</v>
      </c>
      <c r="X65" s="319">
        <v>0</v>
      </c>
      <c r="Y65" s="319">
        <v>616.11999999999989</v>
      </c>
      <c r="Z65" s="319"/>
      <c r="AA65" s="319">
        <v>0</v>
      </c>
      <c r="AB65" s="326">
        <v>0</v>
      </c>
      <c r="AC65" s="319">
        <v>0</v>
      </c>
      <c r="AD65" s="319"/>
      <c r="AE65" s="319">
        <v>0</v>
      </c>
      <c r="AF65" s="319"/>
      <c r="AG65" s="319">
        <v>233.59</v>
      </c>
      <c r="AH65" s="319"/>
      <c r="AI65" s="319"/>
      <c r="AJ65" s="319"/>
      <c r="AK65" s="319"/>
      <c r="AL65" s="319"/>
      <c r="AM65" s="319"/>
      <c r="AN65" s="319"/>
      <c r="AO65" s="319"/>
      <c r="AP65" s="319">
        <v>82106.31</v>
      </c>
      <c r="AQ65" s="319"/>
      <c r="AR65" s="319"/>
      <c r="AS65" s="319"/>
      <c r="AT65" s="319"/>
      <c r="AU65" s="319"/>
      <c r="AV65" s="325">
        <v>0</v>
      </c>
      <c r="AW65" s="325"/>
      <c r="AX65" s="325"/>
      <c r="AY65" s="319">
        <v>0</v>
      </c>
      <c r="AZ65" s="319"/>
      <c r="BA65" s="325">
        <v>0</v>
      </c>
      <c r="BB65" s="325"/>
      <c r="BC65" s="325"/>
      <c r="BD65" s="325">
        <v>2474.33</v>
      </c>
      <c r="BE65" s="319">
        <v>761265.10999999987</v>
      </c>
      <c r="BF65" s="325">
        <v>211115.88999999998</v>
      </c>
      <c r="BG65" s="325"/>
      <c r="BH65" s="325">
        <v>245412.47000000003</v>
      </c>
      <c r="BI65" s="325"/>
      <c r="BJ65" s="325">
        <v>360.31000000000006</v>
      </c>
      <c r="BK65" s="325">
        <v>359.81</v>
      </c>
      <c r="BL65" s="325">
        <v>0</v>
      </c>
      <c r="BM65" s="325"/>
      <c r="BN65" s="325">
        <v>786.03</v>
      </c>
      <c r="BO65" s="325">
        <v>1050.93</v>
      </c>
      <c r="BP65" s="325">
        <v>0</v>
      </c>
      <c r="BQ65" s="325"/>
      <c r="BR65" s="325">
        <v>1215.1899999999998</v>
      </c>
      <c r="BS65" s="325"/>
      <c r="BT65" s="325"/>
      <c r="BU65" s="325"/>
      <c r="BV65" s="325">
        <v>511.14</v>
      </c>
      <c r="BW65" s="325">
        <v>0</v>
      </c>
      <c r="BX65" s="325"/>
      <c r="BY65" s="325">
        <v>291.84000000000009</v>
      </c>
      <c r="BZ65" s="325"/>
      <c r="CA65" s="325">
        <v>0</v>
      </c>
      <c r="CB65" s="325"/>
      <c r="CC65" s="325">
        <v>4429.4799999999996</v>
      </c>
      <c r="CD65" s="25" t="s">
        <v>248</v>
      </c>
      <c r="CE65" s="28">
        <f t="shared" si="6"/>
        <v>1314812.6999999997</v>
      </c>
    </row>
    <row r="66" spans="1:84" x14ac:dyDescent="0.35">
      <c r="A66" s="35" t="s">
        <v>267</v>
      </c>
      <c r="B66" s="16"/>
      <c r="C66" s="316">
        <v>15724.69</v>
      </c>
      <c r="D66" s="316"/>
      <c r="E66" s="316">
        <v>59728.22</v>
      </c>
      <c r="F66" s="316"/>
      <c r="G66" s="316"/>
      <c r="H66" s="316"/>
      <c r="I66" s="316"/>
      <c r="J66" s="316">
        <v>2547.14</v>
      </c>
      <c r="K66" s="316"/>
      <c r="L66" s="316"/>
      <c r="M66" s="316"/>
      <c r="N66" s="316"/>
      <c r="O66" s="316">
        <v>7024.7</v>
      </c>
      <c r="P66" s="319">
        <v>370880.14</v>
      </c>
      <c r="Q66" s="319">
        <v>2892.45</v>
      </c>
      <c r="R66" s="319">
        <v>63623.359999999993</v>
      </c>
      <c r="S66" s="325">
        <v>74723.27</v>
      </c>
      <c r="T66" s="325"/>
      <c r="U66" s="320">
        <v>1492886.44</v>
      </c>
      <c r="V66" s="319"/>
      <c r="W66" s="319">
        <v>2507.85</v>
      </c>
      <c r="X66" s="319">
        <v>132149.49999999997</v>
      </c>
      <c r="Y66" s="319">
        <v>661757.93999999994</v>
      </c>
      <c r="Z66" s="319"/>
      <c r="AA66" s="319">
        <v>3804</v>
      </c>
      <c r="AB66" s="326">
        <v>436476.4</v>
      </c>
      <c r="AC66" s="319">
        <v>89900.780000000013</v>
      </c>
      <c r="AD66" s="319"/>
      <c r="AE66" s="319">
        <v>10493.6</v>
      </c>
      <c r="AF66" s="319"/>
      <c r="AG66" s="319">
        <v>398731.57</v>
      </c>
      <c r="AH66" s="319"/>
      <c r="AI66" s="319"/>
      <c r="AJ66" s="319"/>
      <c r="AK66" s="319"/>
      <c r="AL66" s="319"/>
      <c r="AM66" s="319"/>
      <c r="AN66" s="319"/>
      <c r="AO66" s="319"/>
      <c r="AP66" s="319">
        <v>334034.33</v>
      </c>
      <c r="AQ66" s="319"/>
      <c r="AR66" s="319"/>
      <c r="AS66" s="319"/>
      <c r="AT66" s="319"/>
      <c r="AU66" s="319"/>
      <c r="AV66" s="325">
        <v>3894.63</v>
      </c>
      <c r="AW66" s="325"/>
      <c r="AX66" s="325"/>
      <c r="AY66" s="319">
        <v>21793.66</v>
      </c>
      <c r="AZ66" s="319"/>
      <c r="BA66" s="325">
        <v>187510.09999999998</v>
      </c>
      <c r="BB66" s="325"/>
      <c r="BC66" s="325"/>
      <c r="BD66" s="325">
        <v>80210.16</v>
      </c>
      <c r="BE66" s="319">
        <v>704363.37</v>
      </c>
      <c r="BF66" s="325">
        <v>93325.16</v>
      </c>
      <c r="BG66" s="325"/>
      <c r="BH66" s="325">
        <v>5112416.3599999994</v>
      </c>
      <c r="BI66" s="325"/>
      <c r="BJ66" s="325">
        <v>4192.5600000000004</v>
      </c>
      <c r="BK66" s="325">
        <v>305583.56000000006</v>
      </c>
      <c r="BL66" s="325">
        <v>16332.34</v>
      </c>
      <c r="BM66" s="325"/>
      <c r="BN66" s="325">
        <v>437556.82000000007</v>
      </c>
      <c r="BO66" s="325">
        <v>22389.64</v>
      </c>
      <c r="BP66" s="325">
        <v>278768.57</v>
      </c>
      <c r="BQ66" s="325"/>
      <c r="BR66" s="325">
        <v>239164.84000000003</v>
      </c>
      <c r="BS66" s="325"/>
      <c r="BT66" s="325"/>
      <c r="BU66" s="325"/>
      <c r="BV66" s="325">
        <v>8769.7299999999977</v>
      </c>
      <c r="BW66" s="325">
        <v>45601.290000000008</v>
      </c>
      <c r="BX66" s="325"/>
      <c r="BY66" s="325">
        <v>286891.86</v>
      </c>
      <c r="BZ66" s="325"/>
      <c r="CA66" s="325">
        <v>50925.02</v>
      </c>
      <c r="CB66" s="325"/>
      <c r="CC66" s="325">
        <v>989443.92</v>
      </c>
      <c r="CD66" s="25" t="s">
        <v>248</v>
      </c>
      <c r="CE66" s="28">
        <f t="shared" si="6"/>
        <v>13049019.970000001</v>
      </c>
    </row>
    <row r="67" spans="1:84" x14ac:dyDescent="0.35">
      <c r="A67" s="35" t="s">
        <v>16</v>
      </c>
      <c r="B67" s="16"/>
      <c r="C67" s="28">
        <f t="shared" ref="C67:AH67" si="10">ROUND(C51+C52,0)</f>
        <v>204620</v>
      </c>
      <c r="D67" s="28">
        <f t="shared" si="10"/>
        <v>0</v>
      </c>
      <c r="E67" s="28">
        <f t="shared" si="10"/>
        <v>604422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15132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30604</v>
      </c>
      <c r="P67" s="28">
        <f t="shared" si="10"/>
        <v>206107</v>
      </c>
      <c r="Q67" s="28">
        <f t="shared" si="10"/>
        <v>227509</v>
      </c>
      <c r="R67" s="28">
        <f t="shared" si="10"/>
        <v>9782</v>
      </c>
      <c r="S67" s="28">
        <f t="shared" si="10"/>
        <v>93248</v>
      </c>
      <c r="T67" s="28">
        <f t="shared" si="10"/>
        <v>0</v>
      </c>
      <c r="U67" s="28">
        <f t="shared" si="10"/>
        <v>137905</v>
      </c>
      <c r="V67" s="28">
        <f t="shared" si="10"/>
        <v>0</v>
      </c>
      <c r="W67" s="28">
        <f t="shared" si="10"/>
        <v>67100</v>
      </c>
      <c r="X67" s="28">
        <f t="shared" si="10"/>
        <v>24852</v>
      </c>
      <c r="Y67" s="28">
        <f t="shared" si="10"/>
        <v>219501</v>
      </c>
      <c r="Z67" s="28">
        <f t="shared" si="10"/>
        <v>0</v>
      </c>
      <c r="AA67" s="28">
        <f t="shared" si="10"/>
        <v>21666</v>
      </c>
      <c r="AB67" s="28">
        <f t="shared" si="10"/>
        <v>60348</v>
      </c>
      <c r="AC67" s="28">
        <f t="shared" si="10"/>
        <v>25287</v>
      </c>
      <c r="AD67" s="28">
        <f t="shared" si="10"/>
        <v>0</v>
      </c>
      <c r="AE67" s="28">
        <f t="shared" si="10"/>
        <v>249915</v>
      </c>
      <c r="AF67" s="28">
        <f t="shared" si="10"/>
        <v>0</v>
      </c>
      <c r="AG67" s="28">
        <f t="shared" si="10"/>
        <v>299579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2824964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8411</v>
      </c>
      <c r="AW67" s="28">
        <f t="shared" si="11"/>
        <v>0</v>
      </c>
      <c r="AX67" s="28">
        <f t="shared" si="11"/>
        <v>0</v>
      </c>
      <c r="AY67" s="28">
        <f t="shared" si="11"/>
        <v>158215</v>
      </c>
      <c r="AZ67" s="28">
        <f t="shared" si="11"/>
        <v>0</v>
      </c>
      <c r="BA67" s="28">
        <f t="shared" si="11"/>
        <v>45858</v>
      </c>
      <c r="BB67" s="28">
        <f t="shared" si="11"/>
        <v>0</v>
      </c>
      <c r="BC67" s="28">
        <f t="shared" si="11"/>
        <v>0</v>
      </c>
      <c r="BD67" s="28">
        <f t="shared" si="11"/>
        <v>106807</v>
      </c>
      <c r="BE67" s="28">
        <f t="shared" si="11"/>
        <v>523778</v>
      </c>
      <c r="BF67" s="28">
        <f t="shared" si="11"/>
        <v>72046</v>
      </c>
      <c r="BG67" s="28">
        <f t="shared" si="11"/>
        <v>0</v>
      </c>
      <c r="BH67" s="28">
        <f t="shared" si="11"/>
        <v>4933363</v>
      </c>
      <c r="BI67" s="28">
        <f t="shared" si="11"/>
        <v>0</v>
      </c>
      <c r="BJ67" s="28">
        <f t="shared" si="11"/>
        <v>84316</v>
      </c>
      <c r="BK67" s="28">
        <f t="shared" si="11"/>
        <v>119005</v>
      </c>
      <c r="BL67" s="28">
        <f t="shared" si="11"/>
        <v>60335</v>
      </c>
      <c r="BM67" s="28">
        <f t="shared" si="11"/>
        <v>0</v>
      </c>
      <c r="BN67" s="28">
        <f t="shared" si="11"/>
        <v>168969</v>
      </c>
      <c r="BO67" s="28">
        <f t="shared" ref="BO67:CC67" si="12">ROUND(BO51+BO52,0)</f>
        <v>8767</v>
      </c>
      <c r="BP67" s="28">
        <f t="shared" si="12"/>
        <v>89410</v>
      </c>
      <c r="BQ67" s="28">
        <f t="shared" si="12"/>
        <v>0</v>
      </c>
      <c r="BR67" s="28">
        <f t="shared" si="12"/>
        <v>66837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172709</v>
      </c>
      <c r="BW67" s="28">
        <f t="shared" si="12"/>
        <v>32078</v>
      </c>
      <c r="BX67" s="28">
        <f t="shared" si="12"/>
        <v>0</v>
      </c>
      <c r="BY67" s="28">
        <f t="shared" si="12"/>
        <v>54327</v>
      </c>
      <c r="BZ67" s="28">
        <f t="shared" si="12"/>
        <v>0</v>
      </c>
      <c r="CA67" s="28">
        <f t="shared" si="12"/>
        <v>50164</v>
      </c>
      <c r="CB67" s="28">
        <f t="shared" si="12"/>
        <v>0</v>
      </c>
      <c r="CC67" s="28">
        <f t="shared" si="12"/>
        <v>593966</v>
      </c>
      <c r="CD67" s="25" t="s">
        <v>248</v>
      </c>
      <c r="CE67" s="28">
        <f t="shared" si="6"/>
        <v>12671902</v>
      </c>
    </row>
    <row r="68" spans="1:84" x14ac:dyDescent="0.35">
      <c r="A68" s="35" t="s">
        <v>268</v>
      </c>
      <c r="B68" s="28"/>
      <c r="C68" s="316">
        <v>10835.26</v>
      </c>
      <c r="D68" s="316"/>
      <c r="E68" s="316">
        <v>9651</v>
      </c>
      <c r="F68" s="316"/>
      <c r="G68" s="316"/>
      <c r="H68" s="316"/>
      <c r="I68" s="316"/>
      <c r="J68" s="316">
        <v>0</v>
      </c>
      <c r="K68" s="316"/>
      <c r="L68" s="316"/>
      <c r="M68" s="316"/>
      <c r="N68" s="316"/>
      <c r="O68" s="316">
        <v>0</v>
      </c>
      <c r="P68" s="319">
        <v>61061.22</v>
      </c>
      <c r="Q68" s="319">
        <v>0</v>
      </c>
      <c r="R68" s="319">
        <v>2682.58</v>
      </c>
      <c r="S68" s="325">
        <v>0</v>
      </c>
      <c r="T68" s="325"/>
      <c r="U68" s="320">
        <v>0</v>
      </c>
      <c r="V68" s="319"/>
      <c r="W68" s="319">
        <v>0</v>
      </c>
      <c r="X68" s="319">
        <v>0</v>
      </c>
      <c r="Y68" s="319">
        <v>810.4899999999999</v>
      </c>
      <c r="Z68" s="319"/>
      <c r="AA68" s="319">
        <v>0</v>
      </c>
      <c r="AB68" s="326">
        <v>0</v>
      </c>
      <c r="AC68" s="319">
        <v>11013.88</v>
      </c>
      <c r="AD68" s="319"/>
      <c r="AE68" s="319">
        <v>0</v>
      </c>
      <c r="AF68" s="319"/>
      <c r="AG68" s="319">
        <v>181.45999999999998</v>
      </c>
      <c r="AH68" s="319"/>
      <c r="AI68" s="319"/>
      <c r="AJ68" s="319"/>
      <c r="AK68" s="319"/>
      <c r="AL68" s="319"/>
      <c r="AM68" s="319"/>
      <c r="AN68" s="319"/>
      <c r="AO68" s="319"/>
      <c r="AP68" s="319">
        <v>36467.69</v>
      </c>
      <c r="AQ68" s="319"/>
      <c r="AR68" s="319"/>
      <c r="AS68" s="319"/>
      <c r="AT68" s="319"/>
      <c r="AU68" s="319"/>
      <c r="AV68" s="325">
        <v>0</v>
      </c>
      <c r="AW68" s="325"/>
      <c r="AX68" s="325"/>
      <c r="AY68" s="319">
        <v>0</v>
      </c>
      <c r="AZ68" s="319"/>
      <c r="BA68" s="325">
        <v>0</v>
      </c>
      <c r="BB68" s="325"/>
      <c r="BC68" s="325"/>
      <c r="BD68" s="325">
        <v>-10983.09</v>
      </c>
      <c r="BE68" s="319">
        <v>2651</v>
      </c>
      <c r="BF68" s="325">
        <v>0</v>
      </c>
      <c r="BG68" s="325"/>
      <c r="BH68" s="325">
        <v>177076.07</v>
      </c>
      <c r="BI68" s="325"/>
      <c r="BJ68" s="325">
        <v>54.359999999999992</v>
      </c>
      <c r="BK68" s="325">
        <v>4350.1600000000008</v>
      </c>
      <c r="BL68" s="325">
        <v>0</v>
      </c>
      <c r="BM68" s="325"/>
      <c r="BN68" s="325">
        <v>0</v>
      </c>
      <c r="BO68" s="325">
        <v>0</v>
      </c>
      <c r="BP68" s="325"/>
      <c r="BQ68" s="325"/>
      <c r="BR68" s="325">
        <v>21305.1</v>
      </c>
      <c r="BS68" s="325"/>
      <c r="BT68" s="325"/>
      <c r="BU68" s="325"/>
      <c r="BV68" s="325">
        <v>81.449999999999974</v>
      </c>
      <c r="BW68" s="325">
        <v>1264.95</v>
      </c>
      <c r="BX68" s="325"/>
      <c r="BY68" s="325">
        <v>0</v>
      </c>
      <c r="BZ68" s="325"/>
      <c r="CA68" s="325">
        <v>-4195.2400000000007</v>
      </c>
      <c r="CB68" s="325"/>
      <c r="CC68" s="325">
        <v>61</v>
      </c>
      <c r="CD68" s="25" t="s">
        <v>248</v>
      </c>
      <c r="CE68" s="28">
        <f t="shared" si="6"/>
        <v>324369.34000000003</v>
      </c>
    </row>
    <row r="69" spans="1:84" x14ac:dyDescent="0.35">
      <c r="A69" s="35" t="s">
        <v>269</v>
      </c>
      <c r="B69" s="16"/>
      <c r="C69" s="28">
        <f t="shared" ref="C69:AH69" si="13">SUM(C70:C83)</f>
        <v>648</v>
      </c>
      <c r="D69" s="28">
        <f t="shared" si="13"/>
        <v>0</v>
      </c>
      <c r="E69" s="28">
        <f t="shared" si="13"/>
        <v>4867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727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6870.7600000000011</v>
      </c>
      <c r="P69" s="28">
        <f t="shared" si="13"/>
        <v>6008.43</v>
      </c>
      <c r="Q69" s="28">
        <f t="shared" si="13"/>
        <v>3091.1</v>
      </c>
      <c r="R69" s="28">
        <f t="shared" si="13"/>
        <v>14705.819999999998</v>
      </c>
      <c r="S69" s="28">
        <f t="shared" si="13"/>
        <v>66.08</v>
      </c>
      <c r="T69" s="28">
        <f t="shared" si="13"/>
        <v>0</v>
      </c>
      <c r="U69" s="28">
        <f t="shared" si="13"/>
        <v>7052.38</v>
      </c>
      <c r="V69" s="28">
        <f t="shared" si="13"/>
        <v>0</v>
      </c>
      <c r="W69" s="28">
        <f t="shared" si="13"/>
        <v>3430.99</v>
      </c>
      <c r="X69" s="28">
        <f t="shared" si="13"/>
        <v>0</v>
      </c>
      <c r="Y69" s="28">
        <f t="shared" si="13"/>
        <v>2305</v>
      </c>
      <c r="Z69" s="28">
        <f t="shared" si="13"/>
        <v>0</v>
      </c>
      <c r="AA69" s="28">
        <f t="shared" si="13"/>
        <v>6608</v>
      </c>
      <c r="AB69" s="28">
        <f t="shared" si="13"/>
        <v>29071.09</v>
      </c>
      <c r="AC69" s="28">
        <f t="shared" si="13"/>
        <v>1995</v>
      </c>
      <c r="AD69" s="28">
        <f t="shared" si="13"/>
        <v>0</v>
      </c>
      <c r="AE69" s="28">
        <f t="shared" si="13"/>
        <v>15046.15</v>
      </c>
      <c r="AF69" s="28">
        <f t="shared" si="13"/>
        <v>0</v>
      </c>
      <c r="AG69" s="28">
        <f t="shared" si="13"/>
        <v>52675.34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474738.35000000003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6660.8</v>
      </c>
      <c r="AW69" s="28">
        <f t="shared" si="14"/>
        <v>0</v>
      </c>
      <c r="AX69" s="28">
        <f t="shared" si="14"/>
        <v>0</v>
      </c>
      <c r="AY69" s="28">
        <f t="shared" si="14"/>
        <v>18243.140000000003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21417.720000000005</v>
      </c>
      <c r="BE69" s="28">
        <f t="shared" si="14"/>
        <v>15059.06</v>
      </c>
      <c r="BF69" s="28">
        <f t="shared" si="14"/>
        <v>7599.04</v>
      </c>
      <c r="BG69" s="28">
        <f t="shared" si="14"/>
        <v>0</v>
      </c>
      <c r="BH69" s="28">
        <f t="shared" si="14"/>
        <v>1137455.0899999999</v>
      </c>
      <c r="BI69" s="28">
        <f t="shared" si="14"/>
        <v>0</v>
      </c>
      <c r="BJ69" s="28">
        <f t="shared" si="14"/>
        <v>172929.77</v>
      </c>
      <c r="BK69" s="28">
        <f t="shared" si="14"/>
        <v>7654.8500000000013</v>
      </c>
      <c r="BL69" s="28">
        <f t="shared" si="14"/>
        <v>2944.97</v>
      </c>
      <c r="BM69" s="28">
        <f t="shared" si="14"/>
        <v>0</v>
      </c>
      <c r="BN69" s="28">
        <f t="shared" si="14"/>
        <v>337540.62</v>
      </c>
      <c r="BO69" s="28">
        <f t="shared" ref="BO69:CD69" si="15">SUM(BO70:BO83)</f>
        <v>914.29</v>
      </c>
      <c r="BP69" s="28">
        <f t="shared" si="15"/>
        <v>80351.56</v>
      </c>
      <c r="BQ69" s="28">
        <f t="shared" si="15"/>
        <v>0</v>
      </c>
      <c r="BR69" s="28">
        <f t="shared" si="15"/>
        <v>353570.59000000008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8500.27</v>
      </c>
      <c r="BW69" s="28">
        <f t="shared" si="15"/>
        <v>46976.88</v>
      </c>
      <c r="BX69" s="28">
        <f t="shared" si="15"/>
        <v>0</v>
      </c>
      <c r="BY69" s="28">
        <f t="shared" si="15"/>
        <v>20254.939999999999</v>
      </c>
      <c r="BZ69" s="28">
        <f t="shared" si="15"/>
        <v>0</v>
      </c>
      <c r="CA69" s="28">
        <f t="shared" si="15"/>
        <v>25598.62</v>
      </c>
      <c r="CB69" s="28">
        <f t="shared" si="15"/>
        <v>0</v>
      </c>
      <c r="CC69" s="28">
        <f t="shared" si="15"/>
        <v>41506.83</v>
      </c>
      <c r="CD69" s="28">
        <f t="shared" si="15"/>
        <v>3824158.15</v>
      </c>
      <c r="CE69" s="28">
        <f>SUM(CE70:CE84)</f>
        <v>18810409.609999999</v>
      </c>
      <c r="CF69" s="290"/>
    </row>
    <row r="70" spans="1:84" x14ac:dyDescent="0.35">
      <c r="A70" s="29" t="s">
        <v>270</v>
      </c>
      <c r="B70" s="30"/>
      <c r="C70" s="327">
        <v>0</v>
      </c>
      <c r="D70" s="327"/>
      <c r="E70" s="327">
        <v>0</v>
      </c>
      <c r="F70" s="327"/>
      <c r="G70" s="327"/>
      <c r="H70" s="327"/>
      <c r="I70" s="327"/>
      <c r="J70" s="327">
        <v>0</v>
      </c>
      <c r="K70" s="327"/>
      <c r="L70" s="327"/>
      <c r="M70" s="327"/>
      <c r="N70" s="327"/>
      <c r="O70" s="327">
        <v>0</v>
      </c>
      <c r="P70" s="327">
        <v>0</v>
      </c>
      <c r="Q70" s="327">
        <v>0</v>
      </c>
      <c r="R70" s="327">
        <v>0</v>
      </c>
      <c r="S70" s="327"/>
      <c r="T70" s="327"/>
      <c r="U70" s="327">
        <v>0</v>
      </c>
      <c r="V70" s="327"/>
      <c r="W70" s="327">
        <v>0</v>
      </c>
      <c r="X70" s="327">
        <v>0</v>
      </c>
      <c r="Y70" s="327">
        <v>0</v>
      </c>
      <c r="Z70" s="327"/>
      <c r="AA70" s="327">
        <v>0</v>
      </c>
      <c r="AB70" s="327">
        <v>0</v>
      </c>
      <c r="AC70" s="327">
        <v>0</v>
      </c>
      <c r="AD70" s="327"/>
      <c r="AE70" s="327">
        <v>0</v>
      </c>
      <c r="AF70" s="327"/>
      <c r="AG70" s="327">
        <v>0</v>
      </c>
      <c r="AH70" s="327"/>
      <c r="AI70" s="327"/>
      <c r="AJ70" s="327"/>
      <c r="AK70" s="327"/>
      <c r="AL70" s="327"/>
      <c r="AM70" s="327"/>
      <c r="AN70" s="327"/>
      <c r="AO70" s="327"/>
      <c r="AP70" s="327">
        <v>0</v>
      </c>
      <c r="AQ70" s="327"/>
      <c r="AR70" s="327"/>
      <c r="AS70" s="327"/>
      <c r="AT70" s="327"/>
      <c r="AU70" s="327"/>
      <c r="AV70" s="327">
        <v>0</v>
      </c>
      <c r="AW70" s="327"/>
      <c r="AX70" s="327"/>
      <c r="AY70" s="327">
        <v>0</v>
      </c>
      <c r="AZ70" s="327"/>
      <c r="BA70" s="327">
        <v>0</v>
      </c>
      <c r="BB70" s="327"/>
      <c r="BC70" s="327"/>
      <c r="BD70" s="327">
        <v>0</v>
      </c>
      <c r="BE70" s="327">
        <v>0</v>
      </c>
      <c r="BF70" s="327">
        <v>0</v>
      </c>
      <c r="BG70" s="327"/>
      <c r="BH70" s="327"/>
      <c r="BI70" s="327"/>
      <c r="BJ70" s="327">
        <v>0</v>
      </c>
      <c r="BK70" s="327">
        <v>0</v>
      </c>
      <c r="BL70" s="327">
        <v>0</v>
      </c>
      <c r="BM70" s="327"/>
      <c r="BN70" s="327">
        <v>0</v>
      </c>
      <c r="BO70" s="327">
        <v>0</v>
      </c>
      <c r="BP70" s="327"/>
      <c r="BQ70" s="327"/>
      <c r="BR70" s="327">
        <v>0</v>
      </c>
      <c r="BS70" s="327"/>
      <c r="BT70" s="327"/>
      <c r="BU70" s="327"/>
      <c r="BV70" s="327">
        <v>0</v>
      </c>
      <c r="BW70" s="327">
        <v>0</v>
      </c>
      <c r="BX70" s="327"/>
      <c r="BY70" s="327">
        <v>0</v>
      </c>
      <c r="BZ70" s="327"/>
      <c r="CA70" s="327">
        <v>0</v>
      </c>
      <c r="CB70" s="327"/>
      <c r="CC70" s="327">
        <v>0</v>
      </c>
      <c r="CD70" s="327">
        <v>0</v>
      </c>
      <c r="CE70" s="28">
        <f t="shared" ref="CE70:CE85" si="16">SUM(C70:CD70)</f>
        <v>0</v>
      </c>
    </row>
    <row r="71" spans="1:84" x14ac:dyDescent="0.35">
      <c r="A71" s="29" t="s">
        <v>271</v>
      </c>
      <c r="B71" s="30"/>
      <c r="C71" s="327">
        <v>0</v>
      </c>
      <c r="D71" s="327"/>
      <c r="E71" s="327">
        <v>0</v>
      </c>
      <c r="F71" s="327"/>
      <c r="G71" s="327"/>
      <c r="H71" s="327"/>
      <c r="I71" s="327"/>
      <c r="J71" s="327">
        <v>0</v>
      </c>
      <c r="K71" s="327"/>
      <c r="L71" s="327"/>
      <c r="M71" s="327"/>
      <c r="N71" s="327"/>
      <c r="O71" s="327">
        <v>0</v>
      </c>
      <c r="P71" s="327">
        <v>0</v>
      </c>
      <c r="Q71" s="327">
        <v>0</v>
      </c>
      <c r="R71" s="327">
        <v>0</v>
      </c>
      <c r="S71" s="327"/>
      <c r="T71" s="327"/>
      <c r="U71" s="327">
        <v>0</v>
      </c>
      <c r="V71" s="327"/>
      <c r="W71" s="327">
        <v>0</v>
      </c>
      <c r="X71" s="327">
        <v>0</v>
      </c>
      <c r="Y71" s="327">
        <v>0</v>
      </c>
      <c r="Z71" s="327"/>
      <c r="AA71" s="327">
        <v>0</v>
      </c>
      <c r="AB71" s="327">
        <v>0</v>
      </c>
      <c r="AC71" s="327">
        <v>0</v>
      </c>
      <c r="AD71" s="327"/>
      <c r="AE71" s="327">
        <v>0</v>
      </c>
      <c r="AF71" s="327"/>
      <c r="AG71" s="327">
        <v>0</v>
      </c>
      <c r="AH71" s="327"/>
      <c r="AI71" s="327"/>
      <c r="AJ71" s="327"/>
      <c r="AK71" s="327"/>
      <c r="AL71" s="327"/>
      <c r="AM71" s="327"/>
      <c r="AN71" s="327"/>
      <c r="AO71" s="327"/>
      <c r="AP71" s="327">
        <v>0</v>
      </c>
      <c r="AQ71" s="327"/>
      <c r="AR71" s="327"/>
      <c r="AS71" s="327"/>
      <c r="AT71" s="327"/>
      <c r="AU71" s="327"/>
      <c r="AV71" s="327">
        <v>0</v>
      </c>
      <c r="AW71" s="327"/>
      <c r="AX71" s="327"/>
      <c r="AY71" s="327">
        <v>0</v>
      </c>
      <c r="AZ71" s="327"/>
      <c r="BA71" s="327">
        <v>0</v>
      </c>
      <c r="BB71" s="327"/>
      <c r="BC71" s="327"/>
      <c r="BD71" s="327">
        <v>0</v>
      </c>
      <c r="BE71" s="327">
        <v>0</v>
      </c>
      <c r="BF71" s="327">
        <v>0</v>
      </c>
      <c r="BG71" s="327"/>
      <c r="BH71" s="327"/>
      <c r="BI71" s="327"/>
      <c r="BJ71" s="327">
        <v>0</v>
      </c>
      <c r="BK71" s="327">
        <v>0</v>
      </c>
      <c r="BL71" s="327">
        <v>0</v>
      </c>
      <c r="BM71" s="327"/>
      <c r="BN71" s="327">
        <v>0</v>
      </c>
      <c r="BO71" s="327">
        <v>0</v>
      </c>
      <c r="BP71" s="327"/>
      <c r="BQ71" s="327"/>
      <c r="BR71" s="327">
        <v>0</v>
      </c>
      <c r="BS71" s="327"/>
      <c r="BT71" s="327"/>
      <c r="BU71" s="327"/>
      <c r="BV71" s="327">
        <v>0</v>
      </c>
      <c r="BW71" s="327">
        <v>0</v>
      </c>
      <c r="BX71" s="327"/>
      <c r="BY71" s="327">
        <v>0</v>
      </c>
      <c r="BZ71" s="327"/>
      <c r="CA71" s="327">
        <v>0</v>
      </c>
      <c r="CB71" s="327"/>
      <c r="CC71" s="327">
        <v>0</v>
      </c>
      <c r="CD71" s="327">
        <v>0</v>
      </c>
      <c r="CE71" s="28">
        <f t="shared" si="16"/>
        <v>0</v>
      </c>
    </row>
    <row r="72" spans="1:84" x14ac:dyDescent="0.35">
      <c r="A72" s="29" t="s">
        <v>272</v>
      </c>
      <c r="B72" s="30"/>
      <c r="C72" s="327">
        <v>0</v>
      </c>
      <c r="D72" s="327"/>
      <c r="E72" s="327">
        <v>0</v>
      </c>
      <c r="F72" s="327"/>
      <c r="G72" s="327"/>
      <c r="H72" s="327"/>
      <c r="I72" s="327"/>
      <c r="J72" s="327">
        <v>0</v>
      </c>
      <c r="K72" s="327"/>
      <c r="L72" s="327"/>
      <c r="M72" s="327"/>
      <c r="N72" s="327"/>
      <c r="O72" s="327">
        <v>0</v>
      </c>
      <c r="P72" s="327">
        <v>0</v>
      </c>
      <c r="Q72" s="327">
        <v>0</v>
      </c>
      <c r="R72" s="327">
        <v>0</v>
      </c>
      <c r="S72" s="327"/>
      <c r="T72" s="327"/>
      <c r="U72" s="327">
        <v>0</v>
      </c>
      <c r="V72" s="327"/>
      <c r="W72" s="327">
        <v>0</v>
      </c>
      <c r="X72" s="327">
        <v>0</v>
      </c>
      <c r="Y72" s="327">
        <v>0</v>
      </c>
      <c r="Z72" s="327"/>
      <c r="AA72" s="327">
        <v>0</v>
      </c>
      <c r="AB72" s="327">
        <v>0</v>
      </c>
      <c r="AC72" s="327">
        <v>0</v>
      </c>
      <c r="AD72" s="327"/>
      <c r="AE72" s="327">
        <v>0</v>
      </c>
      <c r="AF72" s="327"/>
      <c r="AG72" s="327">
        <v>0</v>
      </c>
      <c r="AH72" s="327"/>
      <c r="AI72" s="327"/>
      <c r="AJ72" s="327"/>
      <c r="AK72" s="327"/>
      <c r="AL72" s="327"/>
      <c r="AM72" s="327"/>
      <c r="AN72" s="327"/>
      <c r="AO72" s="327"/>
      <c r="AP72" s="327">
        <v>0</v>
      </c>
      <c r="AQ72" s="327"/>
      <c r="AR72" s="327"/>
      <c r="AS72" s="327"/>
      <c r="AT72" s="327"/>
      <c r="AU72" s="327"/>
      <c r="AV72" s="327">
        <v>0</v>
      </c>
      <c r="AW72" s="327"/>
      <c r="AX72" s="327"/>
      <c r="AY72" s="327">
        <v>0</v>
      </c>
      <c r="AZ72" s="327"/>
      <c r="BA72" s="327">
        <v>0</v>
      </c>
      <c r="BB72" s="327"/>
      <c r="BC72" s="327"/>
      <c r="BD72" s="327">
        <v>0</v>
      </c>
      <c r="BE72" s="327">
        <v>0</v>
      </c>
      <c r="BF72" s="327">
        <v>0</v>
      </c>
      <c r="BG72" s="327"/>
      <c r="BH72" s="327"/>
      <c r="BI72" s="327"/>
      <c r="BJ72" s="327">
        <v>0</v>
      </c>
      <c r="BK72" s="327">
        <v>0</v>
      </c>
      <c r="BL72" s="327">
        <v>0</v>
      </c>
      <c r="BM72" s="327"/>
      <c r="BN72" s="327">
        <v>0</v>
      </c>
      <c r="BO72" s="327">
        <v>0</v>
      </c>
      <c r="BP72" s="327"/>
      <c r="BQ72" s="327"/>
      <c r="BR72" s="327">
        <v>0</v>
      </c>
      <c r="BS72" s="327"/>
      <c r="BT72" s="327"/>
      <c r="BU72" s="327"/>
      <c r="BV72" s="327">
        <v>0</v>
      </c>
      <c r="BW72" s="327">
        <v>0</v>
      </c>
      <c r="BX72" s="327"/>
      <c r="BY72" s="327">
        <v>0</v>
      </c>
      <c r="BZ72" s="327"/>
      <c r="CA72" s="327">
        <v>0</v>
      </c>
      <c r="CB72" s="327"/>
      <c r="CC72" s="327">
        <v>0</v>
      </c>
      <c r="CD72" s="327">
        <v>0</v>
      </c>
      <c r="CE72" s="28">
        <f t="shared" si="16"/>
        <v>0</v>
      </c>
    </row>
    <row r="73" spans="1:84" x14ac:dyDescent="0.35">
      <c r="A73" s="29" t="s">
        <v>273</v>
      </c>
      <c r="B73" s="30"/>
      <c r="C73" s="327">
        <v>0</v>
      </c>
      <c r="D73" s="327"/>
      <c r="E73" s="327">
        <v>0</v>
      </c>
      <c r="F73" s="327"/>
      <c r="G73" s="327"/>
      <c r="H73" s="327"/>
      <c r="I73" s="327"/>
      <c r="J73" s="327">
        <v>0</v>
      </c>
      <c r="K73" s="327"/>
      <c r="L73" s="327"/>
      <c r="M73" s="327"/>
      <c r="N73" s="327"/>
      <c r="O73" s="327">
        <v>0</v>
      </c>
      <c r="P73" s="327">
        <v>0</v>
      </c>
      <c r="Q73" s="327">
        <v>0</v>
      </c>
      <c r="R73" s="327">
        <v>0</v>
      </c>
      <c r="S73" s="327"/>
      <c r="T73" s="327"/>
      <c r="U73" s="327">
        <v>0</v>
      </c>
      <c r="V73" s="327"/>
      <c r="W73" s="327">
        <v>0</v>
      </c>
      <c r="X73" s="327">
        <v>0</v>
      </c>
      <c r="Y73" s="327">
        <v>0</v>
      </c>
      <c r="Z73" s="327"/>
      <c r="AA73" s="327">
        <v>0</v>
      </c>
      <c r="AB73" s="327">
        <v>0</v>
      </c>
      <c r="AC73" s="327">
        <v>0</v>
      </c>
      <c r="AD73" s="327"/>
      <c r="AE73" s="327">
        <v>0</v>
      </c>
      <c r="AF73" s="327"/>
      <c r="AG73" s="327">
        <v>0</v>
      </c>
      <c r="AH73" s="327"/>
      <c r="AI73" s="327"/>
      <c r="AJ73" s="327"/>
      <c r="AK73" s="327"/>
      <c r="AL73" s="327"/>
      <c r="AM73" s="327"/>
      <c r="AN73" s="327"/>
      <c r="AO73" s="327"/>
      <c r="AP73" s="327">
        <v>0</v>
      </c>
      <c r="AQ73" s="327"/>
      <c r="AR73" s="327"/>
      <c r="AS73" s="327"/>
      <c r="AT73" s="327"/>
      <c r="AU73" s="327"/>
      <c r="AV73" s="327">
        <v>0</v>
      </c>
      <c r="AW73" s="327"/>
      <c r="AX73" s="327"/>
      <c r="AY73" s="327">
        <v>0</v>
      </c>
      <c r="AZ73" s="327"/>
      <c r="BA73" s="327">
        <v>0</v>
      </c>
      <c r="BB73" s="327"/>
      <c r="BC73" s="327"/>
      <c r="BD73" s="327">
        <v>0</v>
      </c>
      <c r="BE73" s="327">
        <v>0</v>
      </c>
      <c r="BF73" s="327">
        <v>0</v>
      </c>
      <c r="BG73" s="327"/>
      <c r="BH73" s="327"/>
      <c r="BI73" s="327"/>
      <c r="BJ73" s="327">
        <v>0</v>
      </c>
      <c r="BK73" s="327">
        <v>0</v>
      </c>
      <c r="BL73" s="327">
        <v>0</v>
      </c>
      <c r="BM73" s="327"/>
      <c r="BN73" s="327">
        <v>0</v>
      </c>
      <c r="BO73" s="327">
        <v>0</v>
      </c>
      <c r="BP73" s="327"/>
      <c r="BQ73" s="327"/>
      <c r="BR73" s="327">
        <v>0</v>
      </c>
      <c r="BS73" s="327"/>
      <c r="BT73" s="327"/>
      <c r="BU73" s="327"/>
      <c r="BV73" s="327">
        <v>0</v>
      </c>
      <c r="BW73" s="327">
        <v>0</v>
      </c>
      <c r="BX73" s="327"/>
      <c r="BY73" s="327">
        <v>0</v>
      </c>
      <c r="BZ73" s="327"/>
      <c r="CA73" s="327">
        <v>0</v>
      </c>
      <c r="CB73" s="327"/>
      <c r="CC73" s="327">
        <v>0</v>
      </c>
      <c r="CD73" s="327">
        <v>0</v>
      </c>
      <c r="CE73" s="28">
        <f t="shared" si="16"/>
        <v>0</v>
      </c>
    </row>
    <row r="74" spans="1:84" x14ac:dyDescent="0.35">
      <c r="A74" s="29" t="s">
        <v>274</v>
      </c>
      <c r="B74" s="30"/>
      <c r="C74" s="327">
        <v>0</v>
      </c>
      <c r="D74" s="327"/>
      <c r="E74" s="327">
        <v>0</v>
      </c>
      <c r="F74" s="327"/>
      <c r="G74" s="327"/>
      <c r="H74" s="327"/>
      <c r="I74" s="327"/>
      <c r="J74" s="327">
        <v>0</v>
      </c>
      <c r="K74" s="327"/>
      <c r="L74" s="327"/>
      <c r="M74" s="327"/>
      <c r="N74" s="327"/>
      <c r="O74" s="327">
        <v>0</v>
      </c>
      <c r="P74" s="327">
        <v>0</v>
      </c>
      <c r="Q74" s="327">
        <v>0</v>
      </c>
      <c r="R74" s="327">
        <v>0</v>
      </c>
      <c r="S74" s="327"/>
      <c r="T74" s="327"/>
      <c r="U74" s="327">
        <v>0</v>
      </c>
      <c r="V74" s="327"/>
      <c r="W74" s="327">
        <v>0</v>
      </c>
      <c r="X74" s="327">
        <v>0</v>
      </c>
      <c r="Y74" s="327">
        <v>0</v>
      </c>
      <c r="Z74" s="327"/>
      <c r="AA74" s="327">
        <v>0</v>
      </c>
      <c r="AB74" s="327">
        <v>0</v>
      </c>
      <c r="AC74" s="327">
        <v>0</v>
      </c>
      <c r="AD74" s="327"/>
      <c r="AE74" s="327">
        <v>0</v>
      </c>
      <c r="AF74" s="327"/>
      <c r="AG74" s="327">
        <v>0</v>
      </c>
      <c r="AH74" s="327"/>
      <c r="AI74" s="327"/>
      <c r="AJ74" s="327"/>
      <c r="AK74" s="327"/>
      <c r="AL74" s="327"/>
      <c r="AM74" s="327"/>
      <c r="AN74" s="327"/>
      <c r="AO74" s="327"/>
      <c r="AP74" s="327">
        <v>0</v>
      </c>
      <c r="AQ74" s="327"/>
      <c r="AR74" s="327"/>
      <c r="AS74" s="327"/>
      <c r="AT74" s="327"/>
      <c r="AU74" s="327"/>
      <c r="AV74" s="327">
        <v>0</v>
      </c>
      <c r="AW74" s="327"/>
      <c r="AX74" s="327"/>
      <c r="AY74" s="327">
        <v>0</v>
      </c>
      <c r="AZ74" s="327"/>
      <c r="BA74" s="327">
        <v>0</v>
      </c>
      <c r="BB74" s="327"/>
      <c r="BC74" s="327"/>
      <c r="BD74" s="327">
        <v>0</v>
      </c>
      <c r="BE74" s="327">
        <v>0</v>
      </c>
      <c r="BF74" s="327">
        <v>0</v>
      </c>
      <c r="BG74" s="327"/>
      <c r="BH74" s="327"/>
      <c r="BI74" s="327"/>
      <c r="BJ74" s="327">
        <v>0</v>
      </c>
      <c r="BK74" s="327">
        <v>0</v>
      </c>
      <c r="BL74" s="327">
        <v>0</v>
      </c>
      <c r="BM74" s="327"/>
      <c r="BN74" s="327">
        <v>0</v>
      </c>
      <c r="BO74" s="327">
        <v>0</v>
      </c>
      <c r="BP74" s="327"/>
      <c r="BQ74" s="327"/>
      <c r="BR74" s="327">
        <v>0</v>
      </c>
      <c r="BS74" s="327"/>
      <c r="BT74" s="327"/>
      <c r="BU74" s="327"/>
      <c r="BV74" s="327">
        <v>0</v>
      </c>
      <c r="BW74" s="327">
        <v>0</v>
      </c>
      <c r="BX74" s="327"/>
      <c r="BY74" s="327">
        <v>0</v>
      </c>
      <c r="BZ74" s="327"/>
      <c r="CA74" s="327">
        <v>0</v>
      </c>
      <c r="CB74" s="327"/>
      <c r="CC74" s="327">
        <v>0</v>
      </c>
      <c r="CD74" s="327">
        <v>0</v>
      </c>
      <c r="CE74" s="28">
        <f t="shared" si="16"/>
        <v>0</v>
      </c>
    </row>
    <row r="75" spans="1:84" x14ac:dyDescent="0.35">
      <c r="A75" s="29" t="s">
        <v>275</v>
      </c>
      <c r="B75" s="30"/>
      <c r="C75" s="327">
        <v>0</v>
      </c>
      <c r="D75" s="327"/>
      <c r="E75" s="327">
        <v>0</v>
      </c>
      <c r="F75" s="327"/>
      <c r="G75" s="327"/>
      <c r="H75" s="327"/>
      <c r="I75" s="327"/>
      <c r="J75" s="327">
        <v>0</v>
      </c>
      <c r="K75" s="327"/>
      <c r="L75" s="327"/>
      <c r="M75" s="327"/>
      <c r="N75" s="327"/>
      <c r="O75" s="327">
        <v>0</v>
      </c>
      <c r="P75" s="327">
        <v>0</v>
      </c>
      <c r="Q75" s="327">
        <v>0</v>
      </c>
      <c r="R75" s="327">
        <v>0</v>
      </c>
      <c r="S75" s="327"/>
      <c r="T75" s="327"/>
      <c r="U75" s="327">
        <v>0</v>
      </c>
      <c r="V75" s="327"/>
      <c r="W75" s="327">
        <v>0</v>
      </c>
      <c r="X75" s="327">
        <v>0</v>
      </c>
      <c r="Y75" s="327">
        <v>0</v>
      </c>
      <c r="Z75" s="327"/>
      <c r="AA75" s="327">
        <v>0</v>
      </c>
      <c r="AB75" s="327">
        <v>0</v>
      </c>
      <c r="AC75" s="327">
        <v>0</v>
      </c>
      <c r="AD75" s="327"/>
      <c r="AE75" s="327">
        <v>0</v>
      </c>
      <c r="AF75" s="327"/>
      <c r="AG75" s="327">
        <v>0</v>
      </c>
      <c r="AH75" s="327"/>
      <c r="AI75" s="327"/>
      <c r="AJ75" s="327"/>
      <c r="AK75" s="327"/>
      <c r="AL75" s="327"/>
      <c r="AM75" s="327"/>
      <c r="AN75" s="327"/>
      <c r="AO75" s="327"/>
      <c r="AP75" s="327">
        <v>0</v>
      </c>
      <c r="AQ75" s="327"/>
      <c r="AR75" s="327"/>
      <c r="AS75" s="327"/>
      <c r="AT75" s="327"/>
      <c r="AU75" s="327"/>
      <c r="AV75" s="327">
        <v>0</v>
      </c>
      <c r="AW75" s="327"/>
      <c r="AX75" s="327"/>
      <c r="AY75" s="327">
        <v>0</v>
      </c>
      <c r="AZ75" s="327"/>
      <c r="BA75" s="327">
        <v>0</v>
      </c>
      <c r="BB75" s="327"/>
      <c r="BC75" s="327"/>
      <c r="BD75" s="327">
        <v>0</v>
      </c>
      <c r="BE75" s="327">
        <v>0</v>
      </c>
      <c r="BF75" s="327">
        <v>0</v>
      </c>
      <c r="BG75" s="327"/>
      <c r="BH75" s="327"/>
      <c r="BI75" s="327"/>
      <c r="BJ75" s="327">
        <v>0</v>
      </c>
      <c r="BK75" s="327">
        <v>0</v>
      </c>
      <c r="BL75" s="327">
        <v>0</v>
      </c>
      <c r="BM75" s="327"/>
      <c r="BN75" s="327">
        <v>0</v>
      </c>
      <c r="BO75" s="327">
        <v>0</v>
      </c>
      <c r="BP75" s="327"/>
      <c r="BQ75" s="327"/>
      <c r="BR75" s="327">
        <v>0</v>
      </c>
      <c r="BS75" s="327"/>
      <c r="BT75" s="327"/>
      <c r="BU75" s="327"/>
      <c r="BV75" s="327">
        <v>0</v>
      </c>
      <c r="BW75" s="327">
        <v>0</v>
      </c>
      <c r="BX75" s="327"/>
      <c r="BY75" s="327">
        <v>0</v>
      </c>
      <c r="BZ75" s="327"/>
      <c r="CA75" s="327">
        <v>0</v>
      </c>
      <c r="CB75" s="327"/>
      <c r="CC75" s="327">
        <v>0</v>
      </c>
      <c r="CD75" s="327">
        <v>0</v>
      </c>
      <c r="CE75" s="28">
        <f t="shared" si="16"/>
        <v>0</v>
      </c>
    </row>
    <row r="76" spans="1:84" x14ac:dyDescent="0.35">
      <c r="A76" s="29" t="s">
        <v>276</v>
      </c>
      <c r="B76" s="212"/>
      <c r="C76" s="327">
        <v>0</v>
      </c>
      <c r="D76" s="327"/>
      <c r="E76" s="327">
        <v>0</v>
      </c>
      <c r="F76" s="327"/>
      <c r="G76" s="327"/>
      <c r="H76" s="327"/>
      <c r="I76" s="327"/>
      <c r="J76" s="327">
        <v>0</v>
      </c>
      <c r="K76" s="327"/>
      <c r="L76" s="327"/>
      <c r="M76" s="327"/>
      <c r="N76" s="327"/>
      <c r="O76" s="327">
        <v>0</v>
      </c>
      <c r="P76" s="327">
        <v>0</v>
      </c>
      <c r="Q76" s="327">
        <v>0</v>
      </c>
      <c r="R76" s="327">
        <v>0</v>
      </c>
      <c r="S76" s="327"/>
      <c r="T76" s="327"/>
      <c r="U76" s="327">
        <v>0</v>
      </c>
      <c r="V76" s="327"/>
      <c r="W76" s="327">
        <v>0</v>
      </c>
      <c r="X76" s="327">
        <v>0</v>
      </c>
      <c r="Y76" s="327">
        <v>0</v>
      </c>
      <c r="Z76" s="327"/>
      <c r="AA76" s="327">
        <v>0</v>
      </c>
      <c r="AB76" s="327">
        <v>0</v>
      </c>
      <c r="AC76" s="327">
        <v>0</v>
      </c>
      <c r="AD76" s="327"/>
      <c r="AE76" s="327">
        <v>0</v>
      </c>
      <c r="AF76" s="327"/>
      <c r="AG76" s="327">
        <v>0</v>
      </c>
      <c r="AH76" s="327"/>
      <c r="AI76" s="327"/>
      <c r="AJ76" s="327"/>
      <c r="AK76" s="327"/>
      <c r="AL76" s="327"/>
      <c r="AM76" s="327"/>
      <c r="AN76" s="327"/>
      <c r="AO76" s="327"/>
      <c r="AP76" s="327">
        <v>0</v>
      </c>
      <c r="AQ76" s="327"/>
      <c r="AR76" s="327"/>
      <c r="AS76" s="327"/>
      <c r="AT76" s="327"/>
      <c r="AU76" s="327"/>
      <c r="AV76" s="327">
        <v>0</v>
      </c>
      <c r="AW76" s="327"/>
      <c r="AX76" s="327"/>
      <c r="AY76" s="327">
        <v>0</v>
      </c>
      <c r="AZ76" s="327"/>
      <c r="BA76" s="327">
        <v>0</v>
      </c>
      <c r="BB76" s="327"/>
      <c r="BC76" s="327"/>
      <c r="BD76" s="327">
        <v>0</v>
      </c>
      <c r="BE76" s="327">
        <v>0</v>
      </c>
      <c r="BF76" s="327">
        <v>0</v>
      </c>
      <c r="BG76" s="327"/>
      <c r="BH76" s="327"/>
      <c r="BI76" s="327"/>
      <c r="BJ76" s="327">
        <v>0</v>
      </c>
      <c r="BK76" s="327">
        <v>0</v>
      </c>
      <c r="BL76" s="327">
        <v>0</v>
      </c>
      <c r="BM76" s="327"/>
      <c r="BN76" s="327">
        <v>0</v>
      </c>
      <c r="BO76" s="327">
        <v>0</v>
      </c>
      <c r="BP76" s="327"/>
      <c r="BQ76" s="327"/>
      <c r="BR76" s="327">
        <v>0</v>
      </c>
      <c r="BS76" s="327"/>
      <c r="BT76" s="327"/>
      <c r="BU76" s="327"/>
      <c r="BV76" s="327">
        <v>0</v>
      </c>
      <c r="BW76" s="327">
        <v>0</v>
      </c>
      <c r="BX76" s="327"/>
      <c r="BY76" s="327">
        <v>0</v>
      </c>
      <c r="BZ76" s="327"/>
      <c r="CA76" s="327">
        <v>0</v>
      </c>
      <c r="CB76" s="327"/>
      <c r="CC76" s="327">
        <v>0</v>
      </c>
      <c r="CD76" s="327">
        <v>0</v>
      </c>
      <c r="CE76" s="28">
        <f t="shared" si="16"/>
        <v>0</v>
      </c>
    </row>
    <row r="77" spans="1:84" x14ac:dyDescent="0.35">
      <c r="A77" s="29" t="s">
        <v>277</v>
      </c>
      <c r="B77" s="30"/>
      <c r="C77" s="327">
        <v>0</v>
      </c>
      <c r="D77" s="327"/>
      <c r="E77" s="327">
        <v>0</v>
      </c>
      <c r="F77" s="327"/>
      <c r="G77" s="327"/>
      <c r="H77" s="327"/>
      <c r="I77" s="327"/>
      <c r="J77" s="327">
        <v>0</v>
      </c>
      <c r="K77" s="327"/>
      <c r="L77" s="327"/>
      <c r="M77" s="327"/>
      <c r="N77" s="327"/>
      <c r="O77" s="327">
        <v>0</v>
      </c>
      <c r="P77" s="327">
        <v>0</v>
      </c>
      <c r="Q77" s="327">
        <v>0</v>
      </c>
      <c r="R77" s="327">
        <v>0</v>
      </c>
      <c r="S77" s="327"/>
      <c r="T77" s="327"/>
      <c r="U77" s="327">
        <v>0</v>
      </c>
      <c r="V77" s="327"/>
      <c r="W77" s="327">
        <v>0</v>
      </c>
      <c r="X77" s="327">
        <v>0</v>
      </c>
      <c r="Y77" s="327">
        <v>0</v>
      </c>
      <c r="Z77" s="327"/>
      <c r="AA77" s="327">
        <v>0</v>
      </c>
      <c r="AB77" s="327">
        <v>0</v>
      </c>
      <c r="AC77" s="327">
        <v>0</v>
      </c>
      <c r="AD77" s="327"/>
      <c r="AE77" s="327">
        <v>0</v>
      </c>
      <c r="AF77" s="327"/>
      <c r="AG77" s="327">
        <v>0</v>
      </c>
      <c r="AH77" s="327"/>
      <c r="AI77" s="327"/>
      <c r="AJ77" s="327"/>
      <c r="AK77" s="327"/>
      <c r="AL77" s="327"/>
      <c r="AM77" s="327"/>
      <c r="AN77" s="327"/>
      <c r="AO77" s="327"/>
      <c r="AP77" s="327">
        <v>0</v>
      </c>
      <c r="AQ77" s="327"/>
      <c r="AR77" s="327"/>
      <c r="AS77" s="327"/>
      <c r="AT77" s="327"/>
      <c r="AU77" s="327"/>
      <c r="AV77" s="327">
        <v>0</v>
      </c>
      <c r="AW77" s="327"/>
      <c r="AX77" s="327"/>
      <c r="AY77" s="327">
        <v>0</v>
      </c>
      <c r="AZ77" s="327"/>
      <c r="BA77" s="327">
        <v>0</v>
      </c>
      <c r="BB77" s="327"/>
      <c r="BC77" s="327"/>
      <c r="BD77" s="327">
        <v>0</v>
      </c>
      <c r="BE77" s="327">
        <v>0</v>
      </c>
      <c r="BF77" s="327">
        <v>0</v>
      </c>
      <c r="BG77" s="327"/>
      <c r="BH77" s="327"/>
      <c r="BI77" s="327"/>
      <c r="BJ77" s="327">
        <v>0</v>
      </c>
      <c r="BK77" s="327">
        <v>0</v>
      </c>
      <c r="BL77" s="327">
        <v>0</v>
      </c>
      <c r="BM77" s="327"/>
      <c r="BN77" s="327">
        <v>0</v>
      </c>
      <c r="BO77" s="327">
        <v>0</v>
      </c>
      <c r="BP77" s="327"/>
      <c r="BQ77" s="327"/>
      <c r="BR77" s="327">
        <v>0</v>
      </c>
      <c r="BS77" s="327"/>
      <c r="BT77" s="327"/>
      <c r="BU77" s="327"/>
      <c r="BV77" s="327">
        <v>0</v>
      </c>
      <c r="BW77" s="327">
        <v>0</v>
      </c>
      <c r="BX77" s="327"/>
      <c r="BY77" s="327">
        <v>0</v>
      </c>
      <c r="BZ77" s="327"/>
      <c r="CA77" s="327">
        <v>0</v>
      </c>
      <c r="CB77" s="327"/>
      <c r="CC77" s="327">
        <v>0</v>
      </c>
      <c r="CD77" s="327">
        <v>0</v>
      </c>
      <c r="CE77" s="28">
        <f t="shared" si="16"/>
        <v>0</v>
      </c>
    </row>
    <row r="78" spans="1:84" x14ac:dyDescent="0.35">
      <c r="A78" s="29" t="s">
        <v>278</v>
      </c>
      <c r="B78" s="16"/>
      <c r="C78" s="327">
        <v>0</v>
      </c>
      <c r="D78" s="327"/>
      <c r="E78" s="327">
        <v>0</v>
      </c>
      <c r="F78" s="327"/>
      <c r="G78" s="327"/>
      <c r="H78" s="327"/>
      <c r="I78" s="327"/>
      <c r="J78" s="327">
        <v>0</v>
      </c>
      <c r="K78" s="327"/>
      <c r="L78" s="327"/>
      <c r="M78" s="327"/>
      <c r="N78" s="327"/>
      <c r="O78" s="327">
        <v>0</v>
      </c>
      <c r="P78" s="327">
        <v>0</v>
      </c>
      <c r="Q78" s="327">
        <v>0</v>
      </c>
      <c r="R78" s="327">
        <v>0</v>
      </c>
      <c r="S78" s="327"/>
      <c r="T78" s="327"/>
      <c r="U78" s="327">
        <v>0</v>
      </c>
      <c r="V78" s="327"/>
      <c r="W78" s="327">
        <v>0</v>
      </c>
      <c r="X78" s="327">
        <v>0</v>
      </c>
      <c r="Y78" s="327">
        <v>0</v>
      </c>
      <c r="Z78" s="327"/>
      <c r="AA78" s="327">
        <v>0</v>
      </c>
      <c r="AB78" s="327">
        <v>0</v>
      </c>
      <c r="AC78" s="327">
        <v>0</v>
      </c>
      <c r="AD78" s="327"/>
      <c r="AE78" s="327">
        <v>0</v>
      </c>
      <c r="AF78" s="327"/>
      <c r="AG78" s="327">
        <v>0</v>
      </c>
      <c r="AH78" s="327"/>
      <c r="AI78" s="327"/>
      <c r="AJ78" s="327"/>
      <c r="AK78" s="327"/>
      <c r="AL78" s="327"/>
      <c r="AM78" s="327"/>
      <c r="AN78" s="327"/>
      <c r="AO78" s="327"/>
      <c r="AP78" s="327">
        <v>0</v>
      </c>
      <c r="AQ78" s="327"/>
      <c r="AR78" s="327"/>
      <c r="AS78" s="327"/>
      <c r="AT78" s="327"/>
      <c r="AU78" s="327"/>
      <c r="AV78" s="327">
        <v>0</v>
      </c>
      <c r="AW78" s="327"/>
      <c r="AX78" s="327"/>
      <c r="AY78" s="327">
        <v>0</v>
      </c>
      <c r="AZ78" s="327"/>
      <c r="BA78" s="327">
        <v>0</v>
      </c>
      <c r="BB78" s="327"/>
      <c r="BC78" s="327"/>
      <c r="BD78" s="327">
        <v>0</v>
      </c>
      <c r="BE78" s="327">
        <v>0</v>
      </c>
      <c r="BF78" s="327">
        <v>0</v>
      </c>
      <c r="BG78" s="327"/>
      <c r="BH78" s="327"/>
      <c r="BI78" s="327"/>
      <c r="BJ78" s="327">
        <v>0</v>
      </c>
      <c r="BK78" s="327">
        <v>0</v>
      </c>
      <c r="BL78" s="327">
        <v>0</v>
      </c>
      <c r="BM78" s="327"/>
      <c r="BN78" s="327">
        <v>0</v>
      </c>
      <c r="BO78" s="327">
        <v>0</v>
      </c>
      <c r="BP78" s="327"/>
      <c r="BQ78" s="327"/>
      <c r="BR78" s="327">
        <v>0</v>
      </c>
      <c r="BS78" s="327"/>
      <c r="BT78" s="327"/>
      <c r="BU78" s="327"/>
      <c r="BV78" s="327">
        <v>0</v>
      </c>
      <c r="BW78" s="327">
        <v>0</v>
      </c>
      <c r="BX78" s="327"/>
      <c r="BY78" s="327">
        <v>0</v>
      </c>
      <c r="BZ78" s="327"/>
      <c r="CA78" s="327">
        <v>0</v>
      </c>
      <c r="CB78" s="327"/>
      <c r="CC78" s="327">
        <v>0</v>
      </c>
      <c r="CD78" s="327">
        <v>0</v>
      </c>
      <c r="CE78" s="28">
        <f t="shared" si="16"/>
        <v>0</v>
      </c>
    </row>
    <row r="79" spans="1:84" x14ac:dyDescent="0.35">
      <c r="A79" s="29" t="s">
        <v>279</v>
      </c>
      <c r="B79" s="16"/>
      <c r="C79" s="327">
        <v>0</v>
      </c>
      <c r="D79" s="327"/>
      <c r="E79" s="327">
        <v>0</v>
      </c>
      <c r="F79" s="327"/>
      <c r="G79" s="327"/>
      <c r="H79" s="327"/>
      <c r="I79" s="327"/>
      <c r="J79" s="327">
        <v>0</v>
      </c>
      <c r="K79" s="327"/>
      <c r="L79" s="327"/>
      <c r="M79" s="327"/>
      <c r="N79" s="327"/>
      <c r="O79" s="327">
        <v>0</v>
      </c>
      <c r="P79" s="327">
        <v>0</v>
      </c>
      <c r="Q79" s="327">
        <v>0</v>
      </c>
      <c r="R79" s="327">
        <v>0</v>
      </c>
      <c r="S79" s="327"/>
      <c r="T79" s="327"/>
      <c r="U79" s="327">
        <v>0</v>
      </c>
      <c r="V79" s="327"/>
      <c r="W79" s="327">
        <v>0</v>
      </c>
      <c r="X79" s="327">
        <v>0</v>
      </c>
      <c r="Y79" s="327">
        <v>0</v>
      </c>
      <c r="Z79" s="327"/>
      <c r="AA79" s="327">
        <v>0</v>
      </c>
      <c r="AB79" s="327">
        <v>0</v>
      </c>
      <c r="AC79" s="327">
        <v>0</v>
      </c>
      <c r="AD79" s="327"/>
      <c r="AE79" s="327">
        <v>0</v>
      </c>
      <c r="AF79" s="327"/>
      <c r="AG79" s="327">
        <v>0</v>
      </c>
      <c r="AH79" s="327"/>
      <c r="AI79" s="327"/>
      <c r="AJ79" s="327"/>
      <c r="AK79" s="327"/>
      <c r="AL79" s="327"/>
      <c r="AM79" s="327"/>
      <c r="AN79" s="327"/>
      <c r="AO79" s="327"/>
      <c r="AP79" s="327">
        <v>0</v>
      </c>
      <c r="AQ79" s="327"/>
      <c r="AR79" s="327"/>
      <c r="AS79" s="327"/>
      <c r="AT79" s="327"/>
      <c r="AU79" s="327"/>
      <c r="AV79" s="327">
        <v>0</v>
      </c>
      <c r="AW79" s="327"/>
      <c r="AX79" s="327"/>
      <c r="AY79" s="327">
        <v>0</v>
      </c>
      <c r="AZ79" s="327"/>
      <c r="BA79" s="327">
        <v>0</v>
      </c>
      <c r="BB79" s="327"/>
      <c r="BC79" s="327"/>
      <c r="BD79" s="327">
        <v>0</v>
      </c>
      <c r="BE79" s="327">
        <v>0</v>
      </c>
      <c r="BF79" s="327">
        <v>0</v>
      </c>
      <c r="BG79" s="327"/>
      <c r="BH79" s="327"/>
      <c r="BI79" s="327"/>
      <c r="BJ79" s="327">
        <v>0</v>
      </c>
      <c r="BK79" s="327">
        <v>0</v>
      </c>
      <c r="BL79" s="327">
        <v>0</v>
      </c>
      <c r="BM79" s="327"/>
      <c r="BN79" s="327">
        <v>0</v>
      </c>
      <c r="BO79" s="327">
        <v>0</v>
      </c>
      <c r="BP79" s="327"/>
      <c r="BQ79" s="327"/>
      <c r="BR79" s="327">
        <v>0</v>
      </c>
      <c r="BS79" s="327"/>
      <c r="BT79" s="327"/>
      <c r="BU79" s="327"/>
      <c r="BV79" s="327">
        <v>0</v>
      </c>
      <c r="BW79" s="327">
        <v>0</v>
      </c>
      <c r="BX79" s="327"/>
      <c r="BY79" s="327">
        <v>0</v>
      </c>
      <c r="BZ79" s="327"/>
      <c r="CA79" s="327">
        <v>0</v>
      </c>
      <c r="CB79" s="327"/>
      <c r="CC79" s="327">
        <v>0</v>
      </c>
      <c r="CD79" s="327">
        <v>0</v>
      </c>
      <c r="CE79" s="28">
        <f t="shared" si="16"/>
        <v>0</v>
      </c>
    </row>
    <row r="80" spans="1:84" x14ac:dyDescent="0.35">
      <c r="A80" s="29" t="s">
        <v>280</v>
      </c>
      <c r="B80" s="16"/>
      <c r="C80" s="327">
        <v>0</v>
      </c>
      <c r="D80" s="327"/>
      <c r="E80" s="327">
        <v>0</v>
      </c>
      <c r="F80" s="327"/>
      <c r="G80" s="327"/>
      <c r="H80" s="327"/>
      <c r="I80" s="327"/>
      <c r="J80" s="327">
        <v>0</v>
      </c>
      <c r="K80" s="327"/>
      <c r="L80" s="327"/>
      <c r="M80" s="327"/>
      <c r="N80" s="327"/>
      <c r="O80" s="327">
        <v>0</v>
      </c>
      <c r="P80" s="327">
        <v>0</v>
      </c>
      <c r="Q80" s="327">
        <v>0</v>
      </c>
      <c r="R80" s="327">
        <v>0</v>
      </c>
      <c r="S80" s="327"/>
      <c r="T80" s="327"/>
      <c r="U80" s="327">
        <v>0</v>
      </c>
      <c r="V80" s="327"/>
      <c r="W80" s="327">
        <v>0</v>
      </c>
      <c r="X80" s="327">
        <v>0</v>
      </c>
      <c r="Y80" s="327">
        <v>0</v>
      </c>
      <c r="Z80" s="327"/>
      <c r="AA80" s="327">
        <v>0</v>
      </c>
      <c r="AB80" s="327">
        <v>0</v>
      </c>
      <c r="AC80" s="327">
        <v>0</v>
      </c>
      <c r="AD80" s="327"/>
      <c r="AE80" s="327">
        <v>0</v>
      </c>
      <c r="AF80" s="327"/>
      <c r="AG80" s="327">
        <v>0</v>
      </c>
      <c r="AH80" s="327"/>
      <c r="AI80" s="327"/>
      <c r="AJ80" s="327"/>
      <c r="AK80" s="327"/>
      <c r="AL80" s="327"/>
      <c r="AM80" s="327"/>
      <c r="AN80" s="327"/>
      <c r="AO80" s="327"/>
      <c r="AP80" s="327">
        <v>0</v>
      </c>
      <c r="AQ80" s="327"/>
      <c r="AR80" s="327"/>
      <c r="AS80" s="327"/>
      <c r="AT80" s="327"/>
      <c r="AU80" s="327"/>
      <c r="AV80" s="327">
        <v>0</v>
      </c>
      <c r="AW80" s="327"/>
      <c r="AX80" s="327"/>
      <c r="AY80" s="327">
        <v>0</v>
      </c>
      <c r="AZ80" s="327"/>
      <c r="BA80" s="327">
        <v>0</v>
      </c>
      <c r="BB80" s="327"/>
      <c r="BC80" s="327"/>
      <c r="BD80" s="327">
        <v>0</v>
      </c>
      <c r="BE80" s="327">
        <v>0</v>
      </c>
      <c r="BF80" s="327">
        <v>0</v>
      </c>
      <c r="BG80" s="327"/>
      <c r="BH80" s="327"/>
      <c r="BI80" s="327"/>
      <c r="BJ80" s="327">
        <v>0</v>
      </c>
      <c r="BK80" s="327">
        <v>0</v>
      </c>
      <c r="BL80" s="327">
        <v>0</v>
      </c>
      <c r="BM80" s="327"/>
      <c r="BN80" s="327">
        <v>0</v>
      </c>
      <c r="BO80" s="327">
        <v>0</v>
      </c>
      <c r="BP80" s="327"/>
      <c r="BQ80" s="327"/>
      <c r="BR80" s="327">
        <v>0</v>
      </c>
      <c r="BS80" s="327"/>
      <c r="BT80" s="327"/>
      <c r="BU80" s="327"/>
      <c r="BV80" s="327">
        <v>0</v>
      </c>
      <c r="BW80" s="327">
        <v>0</v>
      </c>
      <c r="BX80" s="327"/>
      <c r="BY80" s="327">
        <v>0</v>
      </c>
      <c r="BZ80" s="327"/>
      <c r="CA80" s="327">
        <v>0</v>
      </c>
      <c r="CB80" s="327"/>
      <c r="CC80" s="327">
        <v>0</v>
      </c>
      <c r="CD80" s="327">
        <v>0</v>
      </c>
      <c r="CE80" s="28">
        <f t="shared" si="16"/>
        <v>0</v>
      </c>
    </row>
    <row r="81" spans="1:85" x14ac:dyDescent="0.35">
      <c r="A81" s="29" t="s">
        <v>281</v>
      </c>
      <c r="B81" s="16"/>
      <c r="C81" s="327">
        <v>0</v>
      </c>
      <c r="D81" s="327"/>
      <c r="E81" s="327">
        <v>0</v>
      </c>
      <c r="F81" s="327"/>
      <c r="G81" s="327"/>
      <c r="H81" s="327"/>
      <c r="I81" s="327"/>
      <c r="J81" s="327">
        <v>0</v>
      </c>
      <c r="K81" s="327"/>
      <c r="L81" s="327"/>
      <c r="M81" s="327"/>
      <c r="N81" s="327"/>
      <c r="O81" s="327">
        <v>0</v>
      </c>
      <c r="P81" s="327">
        <v>0</v>
      </c>
      <c r="Q81" s="327">
        <v>0</v>
      </c>
      <c r="R81" s="327">
        <v>0</v>
      </c>
      <c r="S81" s="327"/>
      <c r="T81" s="327"/>
      <c r="U81" s="327">
        <v>0</v>
      </c>
      <c r="V81" s="327"/>
      <c r="W81" s="327">
        <v>0</v>
      </c>
      <c r="X81" s="327">
        <v>0</v>
      </c>
      <c r="Y81" s="327">
        <v>0</v>
      </c>
      <c r="Z81" s="327"/>
      <c r="AA81" s="327">
        <v>0</v>
      </c>
      <c r="AB81" s="327">
        <v>0</v>
      </c>
      <c r="AC81" s="327">
        <v>0</v>
      </c>
      <c r="AD81" s="327"/>
      <c r="AE81" s="327">
        <v>0</v>
      </c>
      <c r="AF81" s="327"/>
      <c r="AG81" s="327">
        <v>0</v>
      </c>
      <c r="AH81" s="327"/>
      <c r="AI81" s="327"/>
      <c r="AJ81" s="327"/>
      <c r="AK81" s="327"/>
      <c r="AL81" s="327"/>
      <c r="AM81" s="327"/>
      <c r="AN81" s="327"/>
      <c r="AO81" s="327"/>
      <c r="AP81" s="327">
        <v>0</v>
      </c>
      <c r="AQ81" s="327"/>
      <c r="AR81" s="327"/>
      <c r="AS81" s="327"/>
      <c r="AT81" s="327"/>
      <c r="AU81" s="327"/>
      <c r="AV81" s="327">
        <v>0</v>
      </c>
      <c r="AW81" s="327"/>
      <c r="AX81" s="327"/>
      <c r="AY81" s="327">
        <v>0</v>
      </c>
      <c r="AZ81" s="327"/>
      <c r="BA81" s="327">
        <v>0</v>
      </c>
      <c r="BB81" s="327"/>
      <c r="BC81" s="327"/>
      <c r="BD81" s="327">
        <v>0</v>
      </c>
      <c r="BE81" s="327">
        <v>0</v>
      </c>
      <c r="BF81" s="327">
        <v>0</v>
      </c>
      <c r="BG81" s="327"/>
      <c r="BH81" s="327"/>
      <c r="BI81" s="327"/>
      <c r="BJ81" s="327">
        <v>0</v>
      </c>
      <c r="BK81" s="327">
        <v>0</v>
      </c>
      <c r="BL81" s="327">
        <v>0</v>
      </c>
      <c r="BM81" s="327"/>
      <c r="BN81" s="327">
        <v>0</v>
      </c>
      <c r="BO81" s="327">
        <v>0</v>
      </c>
      <c r="BP81" s="327"/>
      <c r="BQ81" s="327"/>
      <c r="BR81" s="327">
        <v>0</v>
      </c>
      <c r="BS81" s="327"/>
      <c r="BT81" s="327"/>
      <c r="BU81" s="327"/>
      <c r="BV81" s="327">
        <v>0</v>
      </c>
      <c r="BW81" s="327">
        <v>0</v>
      </c>
      <c r="BX81" s="327"/>
      <c r="BY81" s="327">
        <v>0</v>
      </c>
      <c r="BZ81" s="327"/>
      <c r="CA81" s="327">
        <v>0</v>
      </c>
      <c r="CB81" s="327"/>
      <c r="CC81" s="327">
        <v>0</v>
      </c>
      <c r="CD81" s="327">
        <v>0</v>
      </c>
      <c r="CE81" s="28">
        <f t="shared" si="16"/>
        <v>0</v>
      </c>
    </row>
    <row r="82" spans="1:85" x14ac:dyDescent="0.35">
      <c r="A82" s="29" t="s">
        <v>282</v>
      </c>
      <c r="B82" s="16"/>
      <c r="C82" s="327">
        <v>0</v>
      </c>
      <c r="D82" s="327"/>
      <c r="E82" s="327">
        <v>0</v>
      </c>
      <c r="F82" s="327"/>
      <c r="G82" s="327"/>
      <c r="H82" s="327"/>
      <c r="I82" s="327"/>
      <c r="J82" s="327">
        <v>0</v>
      </c>
      <c r="K82" s="327"/>
      <c r="L82" s="327"/>
      <c r="M82" s="327"/>
      <c r="N82" s="327"/>
      <c r="O82" s="327">
        <v>0</v>
      </c>
      <c r="P82" s="327">
        <v>0</v>
      </c>
      <c r="Q82" s="327">
        <v>0</v>
      </c>
      <c r="R82" s="327">
        <v>0</v>
      </c>
      <c r="S82" s="327"/>
      <c r="T82" s="327"/>
      <c r="U82" s="327">
        <v>0</v>
      </c>
      <c r="V82" s="327"/>
      <c r="W82" s="327">
        <v>0</v>
      </c>
      <c r="X82" s="327">
        <v>0</v>
      </c>
      <c r="Y82" s="327">
        <v>0</v>
      </c>
      <c r="Z82" s="327"/>
      <c r="AA82" s="327">
        <v>0</v>
      </c>
      <c r="AB82" s="327">
        <v>0</v>
      </c>
      <c r="AC82" s="327">
        <v>0</v>
      </c>
      <c r="AD82" s="327"/>
      <c r="AE82" s="327">
        <v>0</v>
      </c>
      <c r="AF82" s="327"/>
      <c r="AG82" s="327">
        <v>0</v>
      </c>
      <c r="AH82" s="327"/>
      <c r="AI82" s="327"/>
      <c r="AJ82" s="327"/>
      <c r="AK82" s="327"/>
      <c r="AL82" s="327"/>
      <c r="AM82" s="327"/>
      <c r="AN82" s="327"/>
      <c r="AO82" s="327"/>
      <c r="AP82" s="327">
        <v>0</v>
      </c>
      <c r="AQ82" s="327"/>
      <c r="AR82" s="327"/>
      <c r="AS82" s="327"/>
      <c r="AT82" s="327"/>
      <c r="AU82" s="327"/>
      <c r="AV82" s="327">
        <v>0</v>
      </c>
      <c r="AW82" s="327"/>
      <c r="AX82" s="327"/>
      <c r="AY82" s="327">
        <v>0</v>
      </c>
      <c r="AZ82" s="327"/>
      <c r="BA82" s="327">
        <v>0</v>
      </c>
      <c r="BB82" s="327"/>
      <c r="BC82" s="327"/>
      <c r="BD82" s="327">
        <v>0</v>
      </c>
      <c r="BE82" s="327">
        <v>0</v>
      </c>
      <c r="BF82" s="327">
        <v>0</v>
      </c>
      <c r="BG82" s="327"/>
      <c r="BH82" s="327"/>
      <c r="BI82" s="327"/>
      <c r="BJ82" s="327">
        <v>0</v>
      </c>
      <c r="BK82" s="327">
        <v>0</v>
      </c>
      <c r="BL82" s="327">
        <v>0</v>
      </c>
      <c r="BM82" s="327"/>
      <c r="BN82" s="327">
        <v>0</v>
      </c>
      <c r="BO82" s="327">
        <v>0</v>
      </c>
      <c r="BP82" s="327"/>
      <c r="BQ82" s="327"/>
      <c r="BR82" s="327">
        <v>0</v>
      </c>
      <c r="BS82" s="327"/>
      <c r="BT82" s="327"/>
      <c r="BU82" s="327"/>
      <c r="BV82" s="327">
        <v>0</v>
      </c>
      <c r="BW82" s="327">
        <v>0</v>
      </c>
      <c r="BX82" s="327"/>
      <c r="BY82" s="327">
        <v>0</v>
      </c>
      <c r="BZ82" s="327"/>
      <c r="CA82" s="327">
        <v>0</v>
      </c>
      <c r="CB82" s="327"/>
      <c r="CC82" s="327">
        <v>0</v>
      </c>
      <c r="CD82" s="327">
        <v>0</v>
      </c>
      <c r="CE82" s="28">
        <f t="shared" si="16"/>
        <v>0</v>
      </c>
    </row>
    <row r="83" spans="1:85" x14ac:dyDescent="0.35">
      <c r="A83" s="29" t="s">
        <v>283</v>
      </c>
      <c r="B83" s="16"/>
      <c r="C83" s="316">
        <v>648</v>
      </c>
      <c r="D83" s="316"/>
      <c r="E83" s="319">
        <v>4867</v>
      </c>
      <c r="F83" s="319"/>
      <c r="G83" s="316"/>
      <c r="H83" s="316"/>
      <c r="I83" s="319"/>
      <c r="J83" s="319">
        <v>727</v>
      </c>
      <c r="K83" s="319"/>
      <c r="L83" s="319"/>
      <c r="M83" s="316"/>
      <c r="N83" s="316"/>
      <c r="O83" s="316">
        <v>6870.7600000000011</v>
      </c>
      <c r="P83" s="319">
        <v>6008.43</v>
      </c>
      <c r="Q83" s="319">
        <v>3091.1</v>
      </c>
      <c r="R83" s="320">
        <v>14705.819999999998</v>
      </c>
      <c r="S83" s="319">
        <v>66.08</v>
      </c>
      <c r="T83" s="316"/>
      <c r="U83" s="319">
        <v>7052.38</v>
      </c>
      <c r="V83" s="319"/>
      <c r="W83" s="316">
        <v>3430.99</v>
      </c>
      <c r="X83" s="319">
        <v>0</v>
      </c>
      <c r="Y83" s="319">
        <v>2305</v>
      </c>
      <c r="Z83" s="319"/>
      <c r="AA83" s="319">
        <v>6608</v>
      </c>
      <c r="AB83" s="319">
        <v>29071.09</v>
      </c>
      <c r="AC83" s="319">
        <v>1995</v>
      </c>
      <c r="AD83" s="319"/>
      <c r="AE83" s="319">
        <v>15046.15</v>
      </c>
      <c r="AF83" s="319"/>
      <c r="AG83" s="319">
        <v>52675.34</v>
      </c>
      <c r="AH83" s="319"/>
      <c r="AI83" s="319"/>
      <c r="AJ83" s="319"/>
      <c r="AK83" s="319"/>
      <c r="AL83" s="319"/>
      <c r="AM83" s="319"/>
      <c r="AN83" s="319"/>
      <c r="AO83" s="316"/>
      <c r="AP83" s="319">
        <v>474738.35000000003</v>
      </c>
      <c r="AQ83" s="316"/>
      <c r="AR83" s="316"/>
      <c r="AS83" s="316"/>
      <c r="AT83" s="316"/>
      <c r="AU83" s="319"/>
      <c r="AV83" s="319">
        <v>6660.8</v>
      </c>
      <c r="AW83" s="319"/>
      <c r="AX83" s="319"/>
      <c r="AY83" s="319">
        <v>18243.140000000003</v>
      </c>
      <c r="AZ83" s="319"/>
      <c r="BA83" s="319">
        <v>0</v>
      </c>
      <c r="BB83" s="319"/>
      <c r="BC83" s="319"/>
      <c r="BD83" s="319">
        <v>21417.720000000005</v>
      </c>
      <c r="BE83" s="319">
        <v>15059.06</v>
      </c>
      <c r="BF83" s="319">
        <v>7599.04</v>
      </c>
      <c r="BG83" s="319"/>
      <c r="BH83" s="320">
        <v>1137455.0899999999</v>
      </c>
      <c r="BI83" s="319"/>
      <c r="BJ83" s="319">
        <v>172929.77</v>
      </c>
      <c r="BK83" s="319">
        <v>7654.8500000000013</v>
      </c>
      <c r="BL83" s="319">
        <v>2944.97</v>
      </c>
      <c r="BM83" s="319"/>
      <c r="BN83" s="319">
        <v>337540.62</v>
      </c>
      <c r="BO83" s="319">
        <v>914.29</v>
      </c>
      <c r="BP83" s="319">
        <v>80351.56</v>
      </c>
      <c r="BQ83" s="319"/>
      <c r="BR83" s="319">
        <v>353570.59000000008</v>
      </c>
      <c r="BS83" s="319"/>
      <c r="BT83" s="319"/>
      <c r="BU83" s="319"/>
      <c r="BV83" s="319">
        <v>8500.27</v>
      </c>
      <c r="BW83" s="319">
        <v>46976.88</v>
      </c>
      <c r="BX83" s="319"/>
      <c r="BY83" s="319">
        <v>20254.939999999999</v>
      </c>
      <c r="BZ83" s="319"/>
      <c r="CA83" s="319">
        <v>25598.62</v>
      </c>
      <c r="CB83" s="319"/>
      <c r="CC83" s="319">
        <v>41506.83</v>
      </c>
      <c r="CD83" s="327">
        <v>3824158.15</v>
      </c>
      <c r="CE83" s="28">
        <f t="shared" si="16"/>
        <v>6759243.6799999997</v>
      </c>
    </row>
    <row r="84" spans="1:85" x14ac:dyDescent="0.35">
      <c r="A84" s="35" t="s">
        <v>284</v>
      </c>
      <c r="B84" s="16"/>
      <c r="C84" s="316">
        <v>0</v>
      </c>
      <c r="D84" s="316"/>
      <c r="E84" s="316">
        <v>0</v>
      </c>
      <c r="F84" s="316"/>
      <c r="G84" s="316"/>
      <c r="H84" s="316"/>
      <c r="I84" s="316"/>
      <c r="J84" s="316">
        <v>0</v>
      </c>
      <c r="K84" s="316"/>
      <c r="L84" s="316"/>
      <c r="M84" s="316"/>
      <c r="N84" s="316"/>
      <c r="O84" s="316">
        <v>0</v>
      </c>
      <c r="P84" s="316">
        <v>0</v>
      </c>
      <c r="Q84" s="316">
        <v>0</v>
      </c>
      <c r="R84" s="316">
        <v>0</v>
      </c>
      <c r="S84" s="316">
        <v>0</v>
      </c>
      <c r="T84" s="316"/>
      <c r="U84" s="316">
        <v>68.540000000000006</v>
      </c>
      <c r="V84" s="316"/>
      <c r="W84" s="316">
        <v>0</v>
      </c>
      <c r="X84" s="316">
        <v>0</v>
      </c>
      <c r="Y84" s="316">
        <v>0</v>
      </c>
      <c r="Z84" s="316"/>
      <c r="AA84" s="316">
        <v>0</v>
      </c>
      <c r="AB84" s="316">
        <v>3796984.8599999994</v>
      </c>
      <c r="AC84" s="316">
        <v>0</v>
      </c>
      <c r="AD84" s="316"/>
      <c r="AE84" s="316">
        <v>0</v>
      </c>
      <c r="AF84" s="316"/>
      <c r="AG84" s="316">
        <v>0</v>
      </c>
      <c r="AH84" s="316"/>
      <c r="AI84" s="316"/>
      <c r="AJ84" s="316"/>
      <c r="AK84" s="316"/>
      <c r="AL84" s="316"/>
      <c r="AM84" s="316"/>
      <c r="AN84" s="316"/>
      <c r="AO84" s="316"/>
      <c r="AP84" s="316">
        <v>79598.23000000001</v>
      </c>
      <c r="AQ84" s="316"/>
      <c r="AR84" s="316"/>
      <c r="AS84" s="316"/>
      <c r="AT84" s="316"/>
      <c r="AU84" s="316"/>
      <c r="AV84" s="316">
        <v>0</v>
      </c>
      <c r="AW84" s="316"/>
      <c r="AX84" s="316"/>
      <c r="AY84" s="316">
        <v>529834.6100000001</v>
      </c>
      <c r="AZ84" s="316"/>
      <c r="BA84" s="316">
        <v>0</v>
      </c>
      <c r="BB84" s="316"/>
      <c r="BC84" s="316"/>
      <c r="BD84" s="316">
        <v>2479.11</v>
      </c>
      <c r="BE84" s="316">
        <v>0</v>
      </c>
      <c r="BF84" s="316">
        <v>0</v>
      </c>
      <c r="BG84" s="316"/>
      <c r="BH84" s="316">
        <v>0</v>
      </c>
      <c r="BI84" s="316"/>
      <c r="BJ84" s="316">
        <v>0</v>
      </c>
      <c r="BK84" s="316">
        <v>2127.0500000000002</v>
      </c>
      <c r="BL84" s="316">
        <v>0</v>
      </c>
      <c r="BM84" s="316"/>
      <c r="BN84" s="316">
        <v>41665</v>
      </c>
      <c r="BO84" s="316">
        <v>2500</v>
      </c>
      <c r="BP84" s="316">
        <v>0</v>
      </c>
      <c r="BQ84" s="316"/>
      <c r="BR84" s="316">
        <v>0</v>
      </c>
      <c r="BS84" s="316"/>
      <c r="BT84" s="316"/>
      <c r="BU84" s="316"/>
      <c r="BV84" s="316">
        <v>26289.43</v>
      </c>
      <c r="BW84" s="316">
        <v>3700</v>
      </c>
      <c r="BX84" s="316"/>
      <c r="BY84" s="316">
        <v>90000</v>
      </c>
      <c r="BZ84" s="316"/>
      <c r="CA84" s="316">
        <v>0</v>
      </c>
      <c r="CB84" s="316"/>
      <c r="CC84" s="316">
        <v>0</v>
      </c>
      <c r="CD84" s="327">
        <v>7475919.0999999996</v>
      </c>
      <c r="CE84" s="28">
        <f t="shared" si="16"/>
        <v>12051165.93</v>
      </c>
    </row>
    <row r="85" spans="1:85" x14ac:dyDescent="0.35">
      <c r="A85" s="35" t="s">
        <v>285</v>
      </c>
      <c r="B85" s="28"/>
      <c r="C85" s="28">
        <f t="shared" ref="C85:AH85" si="17">SUM(C61:C69)-C84</f>
        <v>3829377.5799999996</v>
      </c>
      <c r="D85" s="28">
        <f t="shared" si="17"/>
        <v>0</v>
      </c>
      <c r="E85" s="28">
        <f t="shared" si="17"/>
        <v>9126983.6300000008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46131.409999999996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194635.97000000003</v>
      </c>
      <c r="P85" s="28">
        <f t="shared" si="17"/>
        <v>4207952.3199999994</v>
      </c>
      <c r="Q85" s="28">
        <f t="shared" si="17"/>
        <v>2407877.38</v>
      </c>
      <c r="R85" s="28">
        <f t="shared" si="17"/>
        <v>1472899.1500000001</v>
      </c>
      <c r="S85" s="28">
        <f t="shared" si="17"/>
        <v>4352740.25</v>
      </c>
      <c r="T85" s="28">
        <f t="shared" si="17"/>
        <v>0</v>
      </c>
      <c r="U85" s="28">
        <f t="shared" si="17"/>
        <v>7437124.129999999</v>
      </c>
      <c r="V85" s="28">
        <f t="shared" si="17"/>
        <v>0</v>
      </c>
      <c r="W85" s="28">
        <f t="shared" si="17"/>
        <v>404984.59</v>
      </c>
      <c r="X85" s="28">
        <f t="shared" si="17"/>
        <v>952443.55</v>
      </c>
      <c r="Y85" s="28">
        <f t="shared" si="17"/>
        <v>4095479.32</v>
      </c>
      <c r="Z85" s="28">
        <f t="shared" si="17"/>
        <v>0</v>
      </c>
      <c r="AA85" s="28">
        <f t="shared" si="17"/>
        <v>245463.35000000003</v>
      </c>
      <c r="AB85" s="28">
        <f t="shared" si="17"/>
        <v>2099588.2600000007</v>
      </c>
      <c r="AC85" s="28">
        <f t="shared" si="17"/>
        <v>1568008.4999999998</v>
      </c>
      <c r="AD85" s="28">
        <f t="shared" si="17"/>
        <v>0</v>
      </c>
      <c r="AE85" s="28">
        <f t="shared" si="17"/>
        <v>3188611.8999999994</v>
      </c>
      <c r="AF85" s="28">
        <f t="shared" si="17"/>
        <v>0</v>
      </c>
      <c r="AG85" s="28">
        <f t="shared" si="17"/>
        <v>10298935.840000004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32355482.57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582896.54000000015</v>
      </c>
      <c r="AW85" s="28">
        <f t="shared" si="18"/>
        <v>0</v>
      </c>
      <c r="AX85" s="28">
        <f t="shared" si="18"/>
        <v>0</v>
      </c>
      <c r="AY85" s="28">
        <f t="shared" si="18"/>
        <v>1873620.7600000005</v>
      </c>
      <c r="AZ85" s="28">
        <f t="shared" si="18"/>
        <v>0</v>
      </c>
      <c r="BA85" s="28">
        <f t="shared" si="18"/>
        <v>402799.11</v>
      </c>
      <c r="BB85" s="28">
        <f t="shared" si="18"/>
        <v>0</v>
      </c>
      <c r="BC85" s="28">
        <f t="shared" si="18"/>
        <v>0</v>
      </c>
      <c r="BD85" s="28">
        <f t="shared" si="18"/>
        <v>971067.47</v>
      </c>
      <c r="BE85" s="28">
        <f t="shared" si="18"/>
        <v>3340048.48</v>
      </c>
      <c r="BF85" s="28">
        <f t="shared" si="18"/>
        <v>2905389.3100000005</v>
      </c>
      <c r="BG85" s="28">
        <f t="shared" si="18"/>
        <v>0</v>
      </c>
      <c r="BH85" s="28">
        <f t="shared" si="18"/>
        <v>12106910.67</v>
      </c>
      <c r="BI85" s="28">
        <f t="shared" si="18"/>
        <v>0</v>
      </c>
      <c r="BJ85" s="28">
        <f t="shared" si="18"/>
        <v>1106043.21</v>
      </c>
      <c r="BK85" s="28">
        <f t="shared" si="18"/>
        <v>2622068.1100000003</v>
      </c>
      <c r="BL85" s="28">
        <f t="shared" si="18"/>
        <v>1966038.59</v>
      </c>
      <c r="BM85" s="28">
        <f t="shared" si="18"/>
        <v>0</v>
      </c>
      <c r="BN85" s="28">
        <f t="shared" si="18"/>
        <v>3826708.41</v>
      </c>
      <c r="BO85" s="28">
        <f t="shared" ref="BO85:CD85" si="19">SUM(BO61:BO69)-BO84</f>
        <v>327435.5</v>
      </c>
      <c r="BP85" s="28">
        <f t="shared" si="19"/>
        <v>457557.25</v>
      </c>
      <c r="BQ85" s="28">
        <f t="shared" si="19"/>
        <v>0</v>
      </c>
      <c r="BR85" s="28">
        <f t="shared" si="19"/>
        <v>1607561.71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2345189.02</v>
      </c>
      <c r="BW85" s="28">
        <f t="shared" si="19"/>
        <v>358521.39</v>
      </c>
      <c r="BX85" s="28">
        <f t="shared" si="19"/>
        <v>0</v>
      </c>
      <c r="BY85" s="28">
        <f t="shared" si="19"/>
        <v>2552279.1599999997</v>
      </c>
      <c r="BZ85" s="28">
        <f t="shared" si="19"/>
        <v>0</v>
      </c>
      <c r="CA85" s="28">
        <f t="shared" si="19"/>
        <v>239963.35</v>
      </c>
      <c r="CB85" s="28">
        <f t="shared" si="19"/>
        <v>0</v>
      </c>
      <c r="CC85" s="28">
        <f t="shared" si="19"/>
        <v>4029342.73</v>
      </c>
      <c r="CD85" s="28">
        <f t="shared" si="19"/>
        <v>-3651760.9499999997</v>
      </c>
      <c r="CE85" s="28">
        <f t="shared" si="16"/>
        <v>128254399.51999998</v>
      </c>
    </row>
    <row r="86" spans="1:85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2444828</v>
      </c>
    </row>
    <row r="87" spans="1:85" x14ac:dyDescent="0.35">
      <c r="A87" s="22" t="s">
        <v>287</v>
      </c>
      <c r="B87" s="16"/>
      <c r="C87" s="316">
        <v>11249462.200000001</v>
      </c>
      <c r="D87" s="316"/>
      <c r="E87" s="316">
        <v>23379608.43</v>
      </c>
      <c r="F87" s="316"/>
      <c r="G87" s="316"/>
      <c r="H87" s="316"/>
      <c r="I87" s="316"/>
      <c r="J87" s="316">
        <v>1405796.38</v>
      </c>
      <c r="K87" s="316"/>
      <c r="L87" s="316"/>
      <c r="M87" s="316"/>
      <c r="N87" s="316"/>
      <c r="O87" s="316">
        <v>1152730.6500000001</v>
      </c>
      <c r="P87" s="316">
        <v>4082685.1</v>
      </c>
      <c r="Q87" s="316">
        <v>811380.1</v>
      </c>
      <c r="R87" s="316">
        <v>509993.8</v>
      </c>
      <c r="S87" s="316">
        <v>1819019.4</v>
      </c>
      <c r="T87" s="316"/>
      <c r="U87" s="316">
        <v>5207524.45</v>
      </c>
      <c r="V87" s="316"/>
      <c r="W87" s="316">
        <v>493117.53</v>
      </c>
      <c r="X87" s="316">
        <v>1756884.54</v>
      </c>
      <c r="Y87" s="316">
        <v>1631906.82</v>
      </c>
      <c r="Z87" s="316"/>
      <c r="AA87" s="316">
        <v>55405.4</v>
      </c>
      <c r="AB87" s="316">
        <v>4033529.8000000003</v>
      </c>
      <c r="AC87" s="316">
        <v>5007520.2300000004</v>
      </c>
      <c r="AD87" s="316"/>
      <c r="AE87" s="316">
        <v>627379.19999999995</v>
      </c>
      <c r="AF87" s="316"/>
      <c r="AG87" s="316">
        <f>2914707.65+1388</f>
        <v>2916095.65</v>
      </c>
      <c r="AH87" s="316"/>
      <c r="AI87" s="316"/>
      <c r="AJ87" s="316"/>
      <c r="AK87" s="316"/>
      <c r="AL87" s="316"/>
      <c r="AM87" s="316"/>
      <c r="AN87" s="316"/>
      <c r="AO87" s="316"/>
      <c r="AP87" s="316">
        <v>2946611.9</v>
      </c>
      <c r="AQ87" s="316"/>
      <c r="AR87" s="316"/>
      <c r="AS87" s="316"/>
      <c r="AT87" s="316"/>
      <c r="AU87" s="316"/>
      <c r="AV87" s="316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69086651.579999998</v>
      </c>
    </row>
    <row r="88" spans="1:85" x14ac:dyDescent="0.35">
      <c r="A88" s="22" t="s">
        <v>288</v>
      </c>
      <c r="B88" s="16"/>
      <c r="C88" s="316">
        <v>2444017.4</v>
      </c>
      <c r="D88" s="316"/>
      <c r="E88" s="316">
        <v>11680232.899999999</v>
      </c>
      <c r="F88" s="316"/>
      <c r="G88" s="316"/>
      <c r="H88" s="316"/>
      <c r="I88" s="316"/>
      <c r="J88" s="316">
        <v>103277</v>
      </c>
      <c r="K88" s="316"/>
      <c r="L88" s="316"/>
      <c r="M88" s="316"/>
      <c r="N88" s="316"/>
      <c r="O88" s="316">
        <v>344733.3</v>
      </c>
      <c r="P88" s="316">
        <v>18929573.779999997</v>
      </c>
      <c r="Q88" s="316">
        <v>8072912.1200000001</v>
      </c>
      <c r="R88" s="316">
        <v>4861506.32</v>
      </c>
      <c r="S88" s="316">
        <v>7454907.6200000001</v>
      </c>
      <c r="T88" s="316"/>
      <c r="U88" s="316">
        <v>35650354.219999999</v>
      </c>
      <c r="V88" s="316"/>
      <c r="W88" s="316">
        <v>8506181.5</v>
      </c>
      <c r="X88" s="316">
        <v>29466897.330000002</v>
      </c>
      <c r="Y88" s="316">
        <v>23518899</v>
      </c>
      <c r="Z88" s="316"/>
      <c r="AA88" s="316">
        <v>304136.19999999995</v>
      </c>
      <c r="AB88" s="316">
        <v>8943322.5599999987</v>
      </c>
      <c r="AC88" s="316">
        <v>4439397.8999999994</v>
      </c>
      <c r="AD88" s="316"/>
      <c r="AE88" s="316">
        <v>8229203.3000000007</v>
      </c>
      <c r="AF88" s="316"/>
      <c r="AG88" s="316">
        <f>55013470.98-17959</f>
        <v>54995511.979999997</v>
      </c>
      <c r="AH88" s="316"/>
      <c r="AI88" s="316"/>
      <c r="AJ88" s="316"/>
      <c r="AK88" s="316"/>
      <c r="AL88" s="316"/>
      <c r="AM88" s="316"/>
      <c r="AN88" s="316"/>
      <c r="AO88" s="316"/>
      <c r="AP88" s="316">
        <v>38354574.119999997</v>
      </c>
      <c r="AQ88" s="316"/>
      <c r="AR88" s="316"/>
      <c r="AS88" s="316"/>
      <c r="AT88" s="316"/>
      <c r="AU88" s="316"/>
      <c r="AV88" s="316">
        <v>433598.7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266733237.25</v>
      </c>
    </row>
    <row r="89" spans="1:85" x14ac:dyDescent="0.35">
      <c r="A89" s="22" t="s">
        <v>289</v>
      </c>
      <c r="B89" s="16"/>
      <c r="C89" s="28">
        <f t="shared" ref="C89:AV89" si="21">C87+C88</f>
        <v>13693479.600000001</v>
      </c>
      <c r="D89" s="28">
        <f t="shared" si="21"/>
        <v>0</v>
      </c>
      <c r="E89" s="28">
        <f t="shared" si="21"/>
        <v>35059841.329999998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1509073.38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1497463.9500000002</v>
      </c>
      <c r="P89" s="28">
        <f t="shared" si="21"/>
        <v>23012258.879999999</v>
      </c>
      <c r="Q89" s="28">
        <f t="shared" si="21"/>
        <v>8884292.2200000007</v>
      </c>
      <c r="R89" s="28">
        <f t="shared" si="21"/>
        <v>5371500.1200000001</v>
      </c>
      <c r="S89" s="28">
        <f t="shared" si="21"/>
        <v>9273927.0199999996</v>
      </c>
      <c r="T89" s="28">
        <f t="shared" si="21"/>
        <v>0</v>
      </c>
      <c r="U89" s="28">
        <f t="shared" si="21"/>
        <v>40857878.670000002</v>
      </c>
      <c r="V89" s="28">
        <f t="shared" si="21"/>
        <v>0</v>
      </c>
      <c r="W89" s="28">
        <f t="shared" si="21"/>
        <v>8999299.0299999993</v>
      </c>
      <c r="X89" s="28">
        <f t="shared" si="21"/>
        <v>31223781.870000001</v>
      </c>
      <c r="Y89" s="28">
        <f t="shared" si="21"/>
        <v>25150805.82</v>
      </c>
      <c r="Z89" s="28">
        <f t="shared" si="21"/>
        <v>0</v>
      </c>
      <c r="AA89" s="28">
        <f t="shared" si="21"/>
        <v>359541.6</v>
      </c>
      <c r="AB89" s="28">
        <f t="shared" si="21"/>
        <v>12976852.359999999</v>
      </c>
      <c r="AC89" s="28">
        <f t="shared" si="21"/>
        <v>9446918.129999999</v>
      </c>
      <c r="AD89" s="28">
        <f t="shared" si="21"/>
        <v>0</v>
      </c>
      <c r="AE89" s="28">
        <f t="shared" si="21"/>
        <v>8856582.5</v>
      </c>
      <c r="AF89" s="28">
        <f t="shared" si="21"/>
        <v>0</v>
      </c>
      <c r="AG89" s="28">
        <f t="shared" si="21"/>
        <v>57911607.629999995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41301186.019999996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433598.7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335819888.82999998</v>
      </c>
    </row>
    <row r="90" spans="1:85" x14ac:dyDescent="0.35">
      <c r="A90" s="22" t="s">
        <v>290</v>
      </c>
      <c r="B90" s="28"/>
      <c r="C90" s="316">
        <v>6518</v>
      </c>
      <c r="D90" s="316"/>
      <c r="E90" s="316">
        <v>19104</v>
      </c>
      <c r="F90" s="316"/>
      <c r="G90" s="316"/>
      <c r="H90" s="316"/>
      <c r="I90" s="316"/>
      <c r="J90" s="316">
        <v>482</v>
      </c>
      <c r="K90" s="316"/>
      <c r="L90" s="316"/>
      <c r="M90" s="316"/>
      <c r="N90" s="316"/>
      <c r="O90" s="316">
        <v>975</v>
      </c>
      <c r="P90" s="316">
        <v>6566</v>
      </c>
      <c r="Q90" s="316">
        <v>7147</v>
      </c>
      <c r="R90" s="316">
        <v>312</v>
      </c>
      <c r="S90" s="316">
        <v>2970</v>
      </c>
      <c r="T90" s="316"/>
      <c r="U90" s="316">
        <v>4393</v>
      </c>
      <c r="V90" s="316"/>
      <c r="W90" s="316">
        <v>2137</v>
      </c>
      <c r="X90" s="316">
        <v>792</v>
      </c>
      <c r="Y90" s="316">
        <v>7380</v>
      </c>
      <c r="Z90" s="316"/>
      <c r="AA90" s="316">
        <v>690</v>
      </c>
      <c r="AB90" s="316">
        <v>3833</v>
      </c>
      <c r="AC90" s="316">
        <v>806</v>
      </c>
      <c r="AD90" s="316"/>
      <c r="AE90" s="316">
        <v>8054</v>
      </c>
      <c r="AF90" s="316"/>
      <c r="AG90" s="316">
        <v>9543</v>
      </c>
      <c r="AH90" s="316"/>
      <c r="AI90" s="316"/>
      <c r="AJ90" s="316"/>
      <c r="AK90" s="316"/>
      <c r="AL90" s="316"/>
      <c r="AM90" s="316"/>
      <c r="AN90" s="316"/>
      <c r="AO90" s="316"/>
      <c r="AP90" s="316">
        <v>63978</v>
      </c>
      <c r="AQ90" s="316"/>
      <c r="AR90" s="316"/>
      <c r="AS90" s="316"/>
      <c r="AT90" s="316"/>
      <c r="AU90" s="316"/>
      <c r="AV90" s="316">
        <v>268</v>
      </c>
      <c r="AW90" s="316"/>
      <c r="AX90" s="316"/>
      <c r="AY90" s="316">
        <v>5040</v>
      </c>
      <c r="AZ90" s="316"/>
      <c r="BA90" s="316">
        <v>1461</v>
      </c>
      <c r="BB90" s="316"/>
      <c r="BC90" s="316"/>
      <c r="BD90" s="316">
        <v>3402</v>
      </c>
      <c r="BE90" s="316">
        <v>29694</v>
      </c>
      <c r="BF90" s="316">
        <v>2016</v>
      </c>
      <c r="BG90" s="316"/>
      <c r="BH90" s="316">
        <v>8501</v>
      </c>
      <c r="BI90" s="316"/>
      <c r="BJ90" s="316">
        <v>0</v>
      </c>
      <c r="BK90" s="316">
        <v>2927</v>
      </c>
      <c r="BL90" s="316">
        <v>3694</v>
      </c>
      <c r="BM90" s="316"/>
      <c r="BN90" s="316">
        <v>9757</v>
      </c>
      <c r="BO90" s="316">
        <v>137</v>
      </c>
      <c r="BP90" s="316">
        <v>2848</v>
      </c>
      <c r="BQ90" s="316"/>
      <c r="BR90" s="316">
        <v>2129</v>
      </c>
      <c r="BS90" s="316"/>
      <c r="BT90" s="316"/>
      <c r="BU90" s="316"/>
      <c r="BV90" s="316">
        <v>4546</v>
      </c>
      <c r="BW90" s="316">
        <v>1022</v>
      </c>
      <c r="BX90" s="316"/>
      <c r="BY90" s="316">
        <v>920</v>
      </c>
      <c r="BZ90" s="316"/>
      <c r="CA90" s="316">
        <v>1046</v>
      </c>
      <c r="CB90" s="316"/>
      <c r="CC90" s="316">
        <v>2881</v>
      </c>
      <c r="CD90" s="233" t="s">
        <v>248</v>
      </c>
      <c r="CE90" s="28">
        <f t="shared" si="20"/>
        <v>227969</v>
      </c>
      <c r="CF90" s="11">
        <f>BE59-CE90</f>
        <v>0</v>
      </c>
      <c r="CG90" s="290"/>
    </row>
    <row r="91" spans="1:85" x14ac:dyDescent="0.35">
      <c r="A91" s="22" t="s">
        <v>291</v>
      </c>
      <c r="B91" s="16"/>
      <c r="C91" s="316">
        <v>5444.763328209513</v>
      </c>
      <c r="D91" s="316"/>
      <c r="E91" s="316">
        <v>26616.799107835017</v>
      </c>
      <c r="F91" s="316"/>
      <c r="G91" s="316"/>
      <c r="H91" s="316"/>
      <c r="I91" s="316"/>
      <c r="J91" s="316">
        <v>0</v>
      </c>
      <c r="K91" s="316"/>
      <c r="L91" s="316"/>
      <c r="M91" s="316"/>
      <c r="N91" s="316"/>
      <c r="O91" s="316"/>
      <c r="P91" s="316">
        <v>326.08379883318639</v>
      </c>
      <c r="Q91" s="316"/>
      <c r="R91" s="316"/>
      <c r="S91" s="316"/>
      <c r="T91" s="316"/>
      <c r="U91" s="316">
        <v>0</v>
      </c>
      <c r="V91" s="316"/>
      <c r="W91" s="316">
        <v>0</v>
      </c>
      <c r="X91" s="316">
        <v>0</v>
      </c>
      <c r="Y91" s="316">
        <v>0</v>
      </c>
      <c r="Z91" s="316"/>
      <c r="AA91" s="316">
        <v>0</v>
      </c>
      <c r="AB91" s="316">
        <v>0</v>
      </c>
      <c r="AC91" s="316">
        <v>0</v>
      </c>
      <c r="AD91" s="316"/>
      <c r="AE91" s="316">
        <v>0</v>
      </c>
      <c r="AF91" s="316"/>
      <c r="AG91" s="316">
        <v>1043.4681562661965</v>
      </c>
      <c r="AH91" s="316"/>
      <c r="AI91" s="316"/>
      <c r="AJ91" s="316"/>
      <c r="AK91" s="316"/>
      <c r="AL91" s="316"/>
      <c r="AM91" s="316"/>
      <c r="AN91" s="316"/>
      <c r="AO91" s="316"/>
      <c r="AP91" s="316">
        <v>0</v>
      </c>
      <c r="AQ91" s="316"/>
      <c r="AR91" s="316"/>
      <c r="AS91" s="316"/>
      <c r="AT91" s="316"/>
      <c r="AU91" s="316"/>
      <c r="AV91" s="316">
        <v>0</v>
      </c>
      <c r="AW91" s="316"/>
      <c r="AX91" s="281"/>
      <c r="AY91" s="281"/>
      <c r="AZ91" s="316"/>
      <c r="BA91" s="316">
        <v>0</v>
      </c>
      <c r="BB91" s="316"/>
      <c r="BC91" s="316"/>
      <c r="BD91" s="25"/>
      <c r="BE91" s="25"/>
      <c r="BF91" s="316">
        <v>0</v>
      </c>
      <c r="BG91" s="25"/>
      <c r="BH91" s="316"/>
      <c r="BI91" s="316"/>
      <c r="BJ91" s="25"/>
      <c r="BK91" s="316">
        <v>0</v>
      </c>
      <c r="BL91" s="316">
        <v>0</v>
      </c>
      <c r="BM91" s="316"/>
      <c r="BN91" s="25"/>
      <c r="BO91" s="25"/>
      <c r="BP91" s="25"/>
      <c r="BQ91" s="25"/>
      <c r="BR91" s="316">
        <v>0</v>
      </c>
      <c r="BS91" s="316"/>
      <c r="BT91" s="316"/>
      <c r="BU91" s="316"/>
      <c r="BV91" s="316">
        <v>0</v>
      </c>
      <c r="BW91" s="316">
        <v>0</v>
      </c>
      <c r="BX91" s="316"/>
      <c r="BY91" s="316">
        <v>0</v>
      </c>
      <c r="BZ91" s="316"/>
      <c r="CA91" s="316">
        <v>0</v>
      </c>
      <c r="CB91" s="316"/>
      <c r="CC91" s="25" t="s">
        <v>248</v>
      </c>
      <c r="CD91" s="25" t="s">
        <v>248</v>
      </c>
      <c r="CE91" s="28">
        <f t="shared" si="20"/>
        <v>33431.114391143914</v>
      </c>
      <c r="CF91" s="28">
        <f>AY59-CE91</f>
        <v>0</v>
      </c>
    </row>
    <row r="92" spans="1:85" x14ac:dyDescent="0.35">
      <c r="A92" s="22" t="s">
        <v>292</v>
      </c>
      <c r="B92" s="16"/>
      <c r="C92" s="316">
        <v>0</v>
      </c>
      <c r="D92" s="316"/>
      <c r="E92" s="316">
        <v>0</v>
      </c>
      <c r="F92" s="316"/>
      <c r="G92" s="316"/>
      <c r="H92" s="316"/>
      <c r="I92" s="316"/>
      <c r="J92" s="316">
        <v>0</v>
      </c>
      <c r="K92" s="316"/>
      <c r="L92" s="316"/>
      <c r="M92" s="316"/>
      <c r="N92" s="316"/>
      <c r="O92" s="316">
        <v>0</v>
      </c>
      <c r="P92" s="316">
        <v>0</v>
      </c>
      <c r="Q92" s="316">
        <v>0</v>
      </c>
      <c r="R92" s="316">
        <v>0</v>
      </c>
      <c r="S92" s="316">
        <v>0</v>
      </c>
      <c r="T92" s="316"/>
      <c r="U92" s="316">
        <v>0</v>
      </c>
      <c r="V92" s="316"/>
      <c r="W92" s="316">
        <v>0</v>
      </c>
      <c r="X92" s="316">
        <v>0</v>
      </c>
      <c r="Y92" s="316">
        <v>0</v>
      </c>
      <c r="Z92" s="316"/>
      <c r="AA92" s="316">
        <v>0</v>
      </c>
      <c r="AB92" s="316">
        <v>0</v>
      </c>
      <c r="AC92" s="316">
        <v>0</v>
      </c>
      <c r="AD92" s="316"/>
      <c r="AE92" s="316">
        <v>0</v>
      </c>
      <c r="AF92" s="316"/>
      <c r="AG92" s="316">
        <v>0</v>
      </c>
      <c r="AH92" s="316"/>
      <c r="AI92" s="316"/>
      <c r="AJ92" s="316"/>
      <c r="AK92" s="316"/>
      <c r="AL92" s="316"/>
      <c r="AM92" s="316"/>
      <c r="AN92" s="316"/>
      <c r="AO92" s="316"/>
      <c r="AP92" s="316">
        <v>0</v>
      </c>
      <c r="AQ92" s="316"/>
      <c r="AR92" s="316"/>
      <c r="AS92" s="316"/>
      <c r="AT92" s="316"/>
      <c r="AU92" s="316"/>
      <c r="AV92" s="316">
        <v>0</v>
      </c>
      <c r="AW92" s="316"/>
      <c r="AX92" s="316"/>
      <c r="AY92" s="316">
        <v>0</v>
      </c>
      <c r="AZ92" s="316"/>
      <c r="BA92" s="316">
        <v>0</v>
      </c>
      <c r="BB92" s="316"/>
      <c r="BC92" s="316"/>
      <c r="BD92" s="316">
        <v>0</v>
      </c>
      <c r="BE92" s="316">
        <v>0</v>
      </c>
      <c r="BF92" s="316">
        <v>0</v>
      </c>
      <c r="BG92" s="316"/>
      <c r="BH92" s="316"/>
      <c r="BI92" s="316"/>
      <c r="BJ92" s="316">
        <v>0</v>
      </c>
      <c r="BK92" s="316">
        <v>0</v>
      </c>
      <c r="BL92" s="316">
        <v>0</v>
      </c>
      <c r="BM92" s="316"/>
      <c r="BN92" s="316">
        <v>0</v>
      </c>
      <c r="BO92" s="316">
        <v>0</v>
      </c>
      <c r="BP92" s="316"/>
      <c r="BQ92" s="316"/>
      <c r="BR92" s="316">
        <v>0</v>
      </c>
      <c r="BS92" s="316"/>
      <c r="BT92" s="316"/>
      <c r="BU92" s="316"/>
      <c r="BV92" s="316">
        <v>0</v>
      </c>
      <c r="BW92" s="316">
        <v>0</v>
      </c>
      <c r="BX92" s="316"/>
      <c r="BY92" s="316">
        <v>0</v>
      </c>
      <c r="BZ92" s="316"/>
      <c r="CA92" s="316">
        <v>0</v>
      </c>
      <c r="CB92" s="316"/>
      <c r="CC92" s="25" t="s">
        <v>248</v>
      </c>
      <c r="CD92" s="25" t="s">
        <v>248</v>
      </c>
      <c r="CE92" s="28">
        <f t="shared" si="20"/>
        <v>0</v>
      </c>
      <c r="CF92" s="16"/>
    </row>
    <row r="93" spans="1:85" x14ac:dyDescent="0.35">
      <c r="A93" s="22" t="s">
        <v>293</v>
      </c>
      <c r="B93" s="16"/>
      <c r="C93" s="316">
        <v>21528</v>
      </c>
      <c r="D93" s="316"/>
      <c r="E93" s="316">
        <v>46731</v>
      </c>
      <c r="F93" s="316"/>
      <c r="G93" s="316"/>
      <c r="H93" s="316"/>
      <c r="I93" s="316"/>
      <c r="J93" s="316">
        <v>0</v>
      </c>
      <c r="K93" s="316"/>
      <c r="L93" s="316"/>
      <c r="M93" s="316"/>
      <c r="N93" s="316"/>
      <c r="O93" s="316">
        <v>24643</v>
      </c>
      <c r="P93" s="316">
        <v>26728</v>
      </c>
      <c r="Q93" s="316">
        <v>21285</v>
      </c>
      <c r="R93" s="316"/>
      <c r="S93" s="316"/>
      <c r="T93" s="316"/>
      <c r="U93" s="316">
        <v>361</v>
      </c>
      <c r="V93" s="316"/>
      <c r="W93" s="316">
        <v>0</v>
      </c>
      <c r="X93" s="316">
        <v>0</v>
      </c>
      <c r="Y93" s="316">
        <v>24432</v>
      </c>
      <c r="Z93" s="316"/>
      <c r="AA93" s="316">
        <v>0</v>
      </c>
      <c r="AB93" s="316">
        <v>0</v>
      </c>
      <c r="AC93" s="316">
        <v>0</v>
      </c>
      <c r="AD93" s="316"/>
      <c r="AE93" s="316">
        <v>1732</v>
      </c>
      <c r="AF93" s="316"/>
      <c r="AG93" s="316">
        <v>60858</v>
      </c>
      <c r="AH93" s="316"/>
      <c r="AI93" s="316"/>
      <c r="AJ93" s="316"/>
      <c r="AK93" s="316"/>
      <c r="AL93" s="316"/>
      <c r="AM93" s="316"/>
      <c r="AN93" s="316"/>
      <c r="AO93" s="316"/>
      <c r="AP93" s="316">
        <v>0</v>
      </c>
      <c r="AQ93" s="316"/>
      <c r="AR93" s="316"/>
      <c r="AS93" s="316"/>
      <c r="AT93" s="316"/>
      <c r="AU93" s="316"/>
      <c r="AV93" s="316">
        <v>0</v>
      </c>
      <c r="AW93" s="316"/>
      <c r="AX93" s="281" t="s">
        <v>248</v>
      </c>
      <c r="AY93" s="281" t="s">
        <v>248</v>
      </c>
      <c r="AZ93" s="25" t="s">
        <v>248</v>
      </c>
      <c r="BA93" s="25" t="s">
        <v>248</v>
      </c>
      <c r="BB93" s="316"/>
      <c r="BC93" s="316"/>
      <c r="BD93" s="25" t="s">
        <v>248</v>
      </c>
      <c r="BE93" s="25" t="s">
        <v>248</v>
      </c>
      <c r="BF93" s="25" t="s">
        <v>248</v>
      </c>
      <c r="BG93" s="25" t="s">
        <v>248</v>
      </c>
      <c r="BH93" s="316"/>
      <c r="BI93" s="316"/>
      <c r="BJ93" s="25" t="s">
        <v>248</v>
      </c>
      <c r="BK93" s="316">
        <v>0</v>
      </c>
      <c r="BL93" s="316">
        <v>0</v>
      </c>
      <c r="BM93" s="316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16"/>
      <c r="BT93" s="316"/>
      <c r="BU93" s="316"/>
      <c r="BV93" s="316">
        <v>0</v>
      </c>
      <c r="BW93" s="316">
        <v>0</v>
      </c>
      <c r="BX93" s="316"/>
      <c r="BY93" s="316">
        <v>0</v>
      </c>
      <c r="BZ93" s="316"/>
      <c r="CA93" s="316">
        <v>0</v>
      </c>
      <c r="CB93" s="316"/>
      <c r="CC93" s="25" t="s">
        <v>248</v>
      </c>
      <c r="CD93" s="25" t="s">
        <v>248</v>
      </c>
      <c r="CE93" s="28">
        <f t="shared" si="20"/>
        <v>228298</v>
      </c>
      <c r="CF93" s="28">
        <f>BA59</f>
        <v>0</v>
      </c>
    </row>
    <row r="94" spans="1:85" x14ac:dyDescent="0.35">
      <c r="A94" s="22" t="s">
        <v>294</v>
      </c>
      <c r="B94" s="16"/>
      <c r="C94" s="321">
        <v>20.933825525240383</v>
      </c>
      <c r="D94" s="321"/>
      <c r="E94" s="321">
        <v>44.935095931490387</v>
      </c>
      <c r="F94" s="321"/>
      <c r="G94" s="321"/>
      <c r="H94" s="321"/>
      <c r="I94" s="321"/>
      <c r="J94" s="321">
        <v>0</v>
      </c>
      <c r="K94" s="321"/>
      <c r="L94" s="321"/>
      <c r="M94" s="321"/>
      <c r="N94" s="321"/>
      <c r="O94" s="321"/>
      <c r="P94" s="322">
        <v>15.722201251826922</v>
      </c>
      <c r="Q94" s="322">
        <v>13.566662338942308</v>
      </c>
      <c r="R94" s="322">
        <v>3.3784388461538457</v>
      </c>
      <c r="S94" s="323"/>
      <c r="T94" s="323"/>
      <c r="U94" s="324">
        <v>0</v>
      </c>
      <c r="V94" s="322"/>
      <c r="W94" s="322">
        <v>0</v>
      </c>
      <c r="X94" s="322">
        <v>0</v>
      </c>
      <c r="Y94" s="322">
        <v>0</v>
      </c>
      <c r="Z94" s="322"/>
      <c r="AA94" s="322">
        <v>0</v>
      </c>
      <c r="AB94" s="323">
        <v>0</v>
      </c>
      <c r="AC94" s="322">
        <v>0</v>
      </c>
      <c r="AD94" s="322"/>
      <c r="AE94" s="322">
        <v>0</v>
      </c>
      <c r="AF94" s="322"/>
      <c r="AG94" s="322">
        <v>30.768301471634615</v>
      </c>
      <c r="AH94" s="322"/>
      <c r="AI94" s="322"/>
      <c r="AJ94" s="322"/>
      <c r="AK94" s="322"/>
      <c r="AL94" s="322"/>
      <c r="AM94" s="322"/>
      <c r="AN94" s="322"/>
      <c r="AO94" s="322"/>
      <c r="AP94" s="322">
        <v>0</v>
      </c>
      <c r="AQ94" s="322"/>
      <c r="AR94" s="322"/>
      <c r="AS94" s="322"/>
      <c r="AT94" s="322"/>
      <c r="AU94" s="322"/>
      <c r="AV94" s="323">
        <v>0</v>
      </c>
      <c r="AW94" s="281" t="s">
        <v>248</v>
      </c>
      <c r="AX94" s="281" t="s">
        <v>248</v>
      </c>
      <c r="AY94" s="28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2"/>
      <c r="BV94" s="282"/>
      <c r="BW94" s="282"/>
      <c r="BX94" s="282"/>
      <c r="BY94" s="282"/>
      <c r="BZ94" s="282"/>
      <c r="CA94" s="282"/>
      <c r="CB94" s="282"/>
      <c r="CC94" s="25" t="s">
        <v>248</v>
      </c>
      <c r="CD94" s="25" t="s">
        <v>248</v>
      </c>
      <c r="CE94" s="28">
        <f t="shared" si="20"/>
        <v>129.30452536528844</v>
      </c>
      <c r="CF94" s="33"/>
    </row>
    <row r="95" spans="1:85" x14ac:dyDescent="0.35">
      <c r="A95" s="34" t="s">
        <v>295</v>
      </c>
      <c r="B95" s="34"/>
      <c r="C95" s="34"/>
      <c r="D95" s="34"/>
      <c r="E95" s="34"/>
    </row>
    <row r="96" spans="1:85" x14ac:dyDescent="0.35">
      <c r="A96" s="35" t="s">
        <v>296</v>
      </c>
      <c r="B96" s="36"/>
      <c r="C96" s="328" t="s">
        <v>1363</v>
      </c>
      <c r="D96" s="329" t="s">
        <v>5</v>
      </c>
      <c r="E96" s="330" t="s">
        <v>5</v>
      </c>
      <c r="F96" s="12"/>
    </row>
    <row r="97" spans="1:6" x14ac:dyDescent="0.3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3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35">
      <c r="A99" s="28" t="s">
        <v>303</v>
      </c>
      <c r="B99" s="36" t="s">
        <v>299</v>
      </c>
      <c r="C99" s="333" t="s">
        <v>304</v>
      </c>
      <c r="D99" s="329" t="s">
        <v>5</v>
      </c>
      <c r="E99" s="330" t="s">
        <v>5</v>
      </c>
      <c r="F99" s="12"/>
    </row>
    <row r="100" spans="1:6" x14ac:dyDescent="0.3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3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35">
      <c r="A102" s="28" t="s">
        <v>309</v>
      </c>
      <c r="B102" s="36" t="s">
        <v>299</v>
      </c>
      <c r="C102" s="334">
        <v>98584</v>
      </c>
      <c r="D102" s="329" t="s">
        <v>5</v>
      </c>
      <c r="E102" s="330" t="s">
        <v>5</v>
      </c>
      <c r="F102" s="12"/>
    </row>
    <row r="103" spans="1:6" x14ac:dyDescent="0.3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35">
      <c r="A104" s="28" t="s">
        <v>312</v>
      </c>
      <c r="B104" s="36" t="s">
        <v>299</v>
      </c>
      <c r="C104" s="335" t="s">
        <v>5</v>
      </c>
      <c r="D104" s="329" t="s">
        <v>5</v>
      </c>
      <c r="E104" s="330" t="s">
        <v>5</v>
      </c>
      <c r="F104" s="12"/>
    </row>
    <row r="105" spans="1:6" x14ac:dyDescent="0.35">
      <c r="A105" s="28" t="s">
        <v>314</v>
      </c>
      <c r="B105" s="36" t="s">
        <v>299</v>
      </c>
      <c r="C105" s="335" t="s">
        <v>5</v>
      </c>
      <c r="D105" s="329" t="s">
        <v>5</v>
      </c>
      <c r="E105" s="330" t="s">
        <v>5</v>
      </c>
      <c r="F105" s="12"/>
    </row>
    <row r="106" spans="1:6" x14ac:dyDescent="0.35">
      <c r="A106" s="28" t="s">
        <v>316</v>
      </c>
      <c r="B106" s="36" t="s">
        <v>299</v>
      </c>
      <c r="C106" s="332" t="s">
        <v>5</v>
      </c>
      <c r="D106" s="329" t="s">
        <v>5</v>
      </c>
      <c r="E106" s="330" t="s">
        <v>5</v>
      </c>
      <c r="F106" s="12"/>
    </row>
    <row r="107" spans="1:6" x14ac:dyDescent="0.35">
      <c r="A107" s="28" t="s">
        <v>318</v>
      </c>
      <c r="B107" s="36" t="s">
        <v>299</v>
      </c>
      <c r="C107" s="336">
        <v>3604327721</v>
      </c>
      <c r="D107" s="329" t="s">
        <v>5</v>
      </c>
      <c r="E107" s="330" t="s">
        <v>5</v>
      </c>
      <c r="F107" s="12"/>
    </row>
    <row r="108" spans="1:6" x14ac:dyDescent="0.35">
      <c r="A108" s="28" t="s">
        <v>319</v>
      </c>
      <c r="B108" s="36" t="s">
        <v>299</v>
      </c>
      <c r="C108" s="336">
        <v>3604271921</v>
      </c>
      <c r="D108" s="329" t="s">
        <v>5</v>
      </c>
      <c r="E108" s="330" t="s">
        <v>5</v>
      </c>
      <c r="F108" s="12"/>
    </row>
    <row r="109" spans="1:6" x14ac:dyDescent="0.35">
      <c r="A109" s="40" t="s">
        <v>320</v>
      </c>
      <c r="B109" s="36" t="s">
        <v>299</v>
      </c>
      <c r="C109" s="348" t="s">
        <v>1398</v>
      </c>
      <c r="D109" s="329" t="s">
        <v>5</v>
      </c>
      <c r="E109" s="330" t="s">
        <v>5</v>
      </c>
      <c r="F109" s="12"/>
    </row>
    <row r="110" spans="1:6" x14ac:dyDescent="0.35">
      <c r="A110" s="40" t="s">
        <v>322</v>
      </c>
      <c r="B110" s="36" t="s">
        <v>299</v>
      </c>
      <c r="C110" s="349" t="s">
        <v>1399</v>
      </c>
      <c r="D110" s="329" t="s">
        <v>5</v>
      </c>
      <c r="E110" s="330" t="s">
        <v>5</v>
      </c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7"/>
      <c r="D113" s="16"/>
      <c r="E113" s="16"/>
    </row>
    <row r="114" spans="1:5" x14ac:dyDescent="0.35">
      <c r="A114" s="16" t="s">
        <v>310</v>
      </c>
      <c r="B114" s="42" t="s">
        <v>299</v>
      </c>
      <c r="C114" s="337"/>
      <c r="D114" s="16"/>
      <c r="E114" s="16"/>
    </row>
    <row r="115" spans="1:5" x14ac:dyDescent="0.35">
      <c r="A115" s="16" t="s">
        <v>326</v>
      </c>
      <c r="B115" s="42" t="s">
        <v>299</v>
      </c>
      <c r="C115" s="337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337"/>
      <c r="D117" s="16"/>
      <c r="E117" s="16"/>
    </row>
    <row r="118" spans="1:5" x14ac:dyDescent="0.35">
      <c r="A118" s="16" t="s">
        <v>159</v>
      </c>
      <c r="B118" s="42" t="s">
        <v>299</v>
      </c>
      <c r="C118" s="338"/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337"/>
      <c r="D120" s="16"/>
      <c r="E120" s="16"/>
    </row>
    <row r="121" spans="1:5" x14ac:dyDescent="0.35">
      <c r="A121" s="16" t="s">
        <v>331</v>
      </c>
      <c r="B121" s="42" t="s">
        <v>299</v>
      </c>
      <c r="C121" s="337"/>
      <c r="D121" s="16"/>
      <c r="E121" s="16"/>
    </row>
    <row r="122" spans="1:5" x14ac:dyDescent="0.35">
      <c r="A122" s="16" t="s">
        <v>332</v>
      </c>
      <c r="B122" s="42" t="s">
        <v>299</v>
      </c>
      <c r="C122" s="337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337">
        <v>1504</v>
      </c>
      <c r="D127" s="339">
        <v>5156</v>
      </c>
      <c r="E127" s="16"/>
    </row>
    <row r="128" spans="1:5" x14ac:dyDescent="0.35">
      <c r="A128" s="16" t="s">
        <v>337</v>
      </c>
      <c r="B128" s="42" t="s">
        <v>299</v>
      </c>
      <c r="C128" s="337"/>
      <c r="D128" s="339"/>
      <c r="E128" s="16"/>
    </row>
    <row r="129" spans="1:5" x14ac:dyDescent="0.35">
      <c r="A129" s="16" t="s">
        <v>338</v>
      </c>
      <c r="B129" s="42" t="s">
        <v>299</v>
      </c>
      <c r="C129" s="337"/>
      <c r="D129" s="339"/>
      <c r="E129" s="16"/>
    </row>
    <row r="130" spans="1:5" x14ac:dyDescent="0.35">
      <c r="A130" s="16" t="s">
        <v>339</v>
      </c>
      <c r="B130" s="42" t="s">
        <v>299</v>
      </c>
      <c r="C130" s="337">
        <v>374</v>
      </c>
      <c r="D130" s="339">
        <v>672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337">
        <v>7</v>
      </c>
      <c r="D132" s="16"/>
      <c r="E132" s="16"/>
    </row>
    <row r="133" spans="1:5" x14ac:dyDescent="0.35">
      <c r="A133" s="16" t="s">
        <v>342</v>
      </c>
      <c r="B133" s="42" t="s">
        <v>299</v>
      </c>
      <c r="C133" s="337"/>
      <c r="D133" s="16"/>
      <c r="E133" s="16"/>
    </row>
    <row r="134" spans="1:5" x14ac:dyDescent="0.35">
      <c r="A134" s="16" t="s">
        <v>343</v>
      </c>
      <c r="B134" s="42" t="s">
        <v>299</v>
      </c>
      <c r="C134" s="337">
        <v>16</v>
      </c>
      <c r="D134" s="16"/>
      <c r="E134" s="16"/>
    </row>
    <row r="135" spans="1:5" x14ac:dyDescent="0.35">
      <c r="A135" s="16" t="s">
        <v>344</v>
      </c>
      <c r="B135" s="42" t="s">
        <v>299</v>
      </c>
      <c r="C135" s="337"/>
      <c r="D135" s="16"/>
      <c r="E135" s="16"/>
    </row>
    <row r="136" spans="1:5" x14ac:dyDescent="0.35">
      <c r="A136" s="16" t="s">
        <v>345</v>
      </c>
      <c r="B136" s="42" t="s">
        <v>299</v>
      </c>
      <c r="C136" s="337">
        <v>2</v>
      </c>
      <c r="D136" s="16"/>
      <c r="E136" s="16"/>
    </row>
    <row r="137" spans="1:5" x14ac:dyDescent="0.35">
      <c r="A137" s="16" t="s">
        <v>346</v>
      </c>
      <c r="B137" s="42" t="s">
        <v>299</v>
      </c>
      <c r="C137" s="337"/>
      <c r="D137" s="16"/>
      <c r="E137" s="16"/>
    </row>
    <row r="138" spans="1:5" x14ac:dyDescent="0.35">
      <c r="A138" s="16" t="s">
        <v>123</v>
      </c>
      <c r="B138" s="42" t="s">
        <v>299</v>
      </c>
      <c r="C138" s="337"/>
      <c r="D138" s="16"/>
      <c r="E138" s="16"/>
    </row>
    <row r="139" spans="1:5" x14ac:dyDescent="0.35">
      <c r="A139" s="16" t="s">
        <v>347</v>
      </c>
      <c r="B139" s="42" t="s">
        <v>299</v>
      </c>
      <c r="C139" s="337"/>
      <c r="D139" s="16"/>
      <c r="E139" s="16"/>
    </row>
    <row r="140" spans="1:5" x14ac:dyDescent="0.35">
      <c r="A140" s="16" t="s">
        <v>348</v>
      </c>
      <c r="B140" s="42"/>
      <c r="C140" s="337"/>
      <c r="D140" s="16"/>
      <c r="E140" s="16"/>
    </row>
    <row r="141" spans="1:5" x14ac:dyDescent="0.35">
      <c r="A141" s="16" t="s">
        <v>338</v>
      </c>
      <c r="B141" s="42" t="s">
        <v>299</v>
      </c>
      <c r="C141" s="337"/>
      <c r="D141" s="16"/>
      <c r="E141" s="16"/>
    </row>
    <row r="142" spans="1:5" x14ac:dyDescent="0.35">
      <c r="A142" s="16" t="s">
        <v>349</v>
      </c>
      <c r="B142" s="42" t="s">
        <v>299</v>
      </c>
      <c r="C142" s="337"/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351</v>
      </c>
      <c r="B144" s="42" t="s">
        <v>299</v>
      </c>
      <c r="C144" s="337">
        <v>68</v>
      </c>
      <c r="D144" s="16"/>
      <c r="E144" s="16"/>
    </row>
    <row r="145" spans="1:6" x14ac:dyDescent="0.35">
      <c r="A145" s="16" t="s">
        <v>352</v>
      </c>
      <c r="B145" s="42" t="s">
        <v>299</v>
      </c>
      <c r="C145" s="337">
        <v>6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337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339">
        <v>800</v>
      </c>
      <c r="C154" s="339">
        <v>439</v>
      </c>
      <c r="D154" s="315">
        <v>265</v>
      </c>
      <c r="E154" s="28">
        <f>SUM(B154:D154)</f>
        <v>1504</v>
      </c>
    </row>
    <row r="155" spans="1:6" x14ac:dyDescent="0.35">
      <c r="A155" s="16" t="s">
        <v>242</v>
      </c>
      <c r="B155" s="339">
        <v>3232</v>
      </c>
      <c r="C155" s="339">
        <v>1136</v>
      </c>
      <c r="D155" s="315">
        <v>788</v>
      </c>
      <c r="E155" s="28">
        <f>SUM(B155:D155)</f>
        <v>5156</v>
      </c>
    </row>
    <row r="156" spans="1:6" x14ac:dyDescent="0.35">
      <c r="A156" s="16" t="s">
        <v>358</v>
      </c>
      <c r="B156" s="339">
        <v>66646</v>
      </c>
      <c r="C156" s="339">
        <v>62866</v>
      </c>
      <c r="D156" s="339">
        <v>66120</v>
      </c>
      <c r="E156" s="28">
        <f>SUM(B156:D156)</f>
        <v>195632</v>
      </c>
    </row>
    <row r="157" spans="1:6" x14ac:dyDescent="0.35">
      <c r="A157" s="16" t="s">
        <v>287</v>
      </c>
      <c r="B157" s="339">
        <v>36037320</v>
      </c>
      <c r="C157" s="339">
        <v>20781370</v>
      </c>
      <c r="D157" s="339">
        <v>12267962</v>
      </c>
      <c r="E157" s="28">
        <f>SUM(B157:D157)</f>
        <v>69086652</v>
      </c>
      <c r="F157" s="14"/>
    </row>
    <row r="158" spans="1:6" x14ac:dyDescent="0.35">
      <c r="A158" s="16" t="s">
        <v>288</v>
      </c>
      <c r="B158" s="339">
        <v>115582716</v>
      </c>
      <c r="C158" s="339">
        <v>75838575</v>
      </c>
      <c r="D158" s="339">
        <v>75311946</v>
      </c>
      <c r="E158" s="28">
        <f>SUM(B158:D158)</f>
        <v>266733237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339"/>
      <c r="C160" s="339"/>
      <c r="D160" s="339"/>
      <c r="E160" s="28">
        <f>SUM(B160:D160)</f>
        <v>0</v>
      </c>
    </row>
    <row r="161" spans="1:5" x14ac:dyDescent="0.35">
      <c r="A161" s="16" t="s">
        <v>242</v>
      </c>
      <c r="B161" s="339"/>
      <c r="C161" s="339"/>
      <c r="D161" s="339"/>
      <c r="E161" s="28">
        <f>SUM(B161:D161)</f>
        <v>0</v>
      </c>
    </row>
    <row r="162" spans="1:5" x14ac:dyDescent="0.35">
      <c r="A162" s="16" t="s">
        <v>358</v>
      </c>
      <c r="B162" s="339"/>
      <c r="C162" s="339"/>
      <c r="D162" s="339"/>
      <c r="E162" s="28">
        <f>SUM(B162:D162)</f>
        <v>0</v>
      </c>
    </row>
    <row r="163" spans="1:5" x14ac:dyDescent="0.35">
      <c r="A163" s="16" t="s">
        <v>287</v>
      </c>
      <c r="B163" s="339"/>
      <c r="C163" s="339"/>
      <c r="D163" s="339"/>
      <c r="E163" s="28">
        <f>SUM(B163:D163)</f>
        <v>0</v>
      </c>
    </row>
    <row r="164" spans="1:5" x14ac:dyDescent="0.35">
      <c r="A164" s="16" t="s">
        <v>288</v>
      </c>
      <c r="B164" s="339"/>
      <c r="C164" s="339"/>
      <c r="D164" s="339"/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339"/>
      <c r="C166" s="339"/>
      <c r="D166" s="339"/>
      <c r="E166" s="28">
        <f>SUM(B166:D166)</f>
        <v>0</v>
      </c>
    </row>
    <row r="167" spans="1:5" x14ac:dyDescent="0.35">
      <c r="A167" s="16" t="s">
        <v>242</v>
      </c>
      <c r="B167" s="339"/>
      <c r="C167" s="339"/>
      <c r="D167" s="339"/>
      <c r="E167" s="28">
        <f>SUM(B167:D167)</f>
        <v>0</v>
      </c>
    </row>
    <row r="168" spans="1:5" x14ac:dyDescent="0.35">
      <c r="A168" s="16" t="s">
        <v>358</v>
      </c>
      <c r="B168" s="339"/>
      <c r="C168" s="339"/>
      <c r="D168" s="339"/>
      <c r="E168" s="28">
        <f>SUM(B168:D168)</f>
        <v>0</v>
      </c>
    </row>
    <row r="169" spans="1:5" x14ac:dyDescent="0.35">
      <c r="A169" s="16" t="s">
        <v>287</v>
      </c>
      <c r="B169" s="339"/>
      <c r="C169" s="339"/>
      <c r="D169" s="339"/>
      <c r="E169" s="28">
        <f>SUM(B169:D169)</f>
        <v>0</v>
      </c>
    </row>
    <row r="170" spans="1:5" x14ac:dyDescent="0.35">
      <c r="A170" s="16" t="s">
        <v>288</v>
      </c>
      <c r="B170" s="339"/>
      <c r="C170" s="339"/>
      <c r="D170" s="339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339">
        <v>2711139</v>
      </c>
      <c r="C173" s="339">
        <v>1725622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341">
        <v>4212095.1500000004</v>
      </c>
      <c r="D181" s="16"/>
      <c r="E181" s="16"/>
    </row>
    <row r="182" spans="1:5" x14ac:dyDescent="0.35">
      <c r="A182" s="16" t="s">
        <v>368</v>
      </c>
      <c r="B182" s="42" t="s">
        <v>299</v>
      </c>
      <c r="C182" s="341">
        <v>65223.21</v>
      </c>
      <c r="D182" s="16"/>
      <c r="E182" s="16"/>
    </row>
    <row r="183" spans="1:5" x14ac:dyDescent="0.35">
      <c r="A183" s="21" t="s">
        <v>369</v>
      </c>
      <c r="B183" s="42" t="s">
        <v>299</v>
      </c>
      <c r="C183" s="341">
        <v>524066.14</v>
      </c>
      <c r="D183" s="16"/>
      <c r="E183" s="16"/>
    </row>
    <row r="184" spans="1:5" x14ac:dyDescent="0.35">
      <c r="A184" s="16" t="s">
        <v>370</v>
      </c>
      <c r="B184" s="42" t="s">
        <v>299</v>
      </c>
      <c r="C184" s="341">
        <v>10507233.75</v>
      </c>
      <c r="D184" s="16"/>
      <c r="E184" s="16"/>
    </row>
    <row r="185" spans="1:5" x14ac:dyDescent="0.35">
      <c r="A185" s="16" t="s">
        <v>371</v>
      </c>
      <c r="B185" s="42" t="s">
        <v>299</v>
      </c>
      <c r="C185" s="341">
        <v>31996.98</v>
      </c>
      <c r="D185" s="16"/>
      <c r="E185" s="16"/>
    </row>
    <row r="186" spans="1:5" x14ac:dyDescent="0.35">
      <c r="A186" s="16" t="s">
        <v>372</v>
      </c>
      <c r="B186" s="42" t="s">
        <v>299</v>
      </c>
      <c r="C186" s="341">
        <v>3223736.83</v>
      </c>
      <c r="D186" s="16"/>
      <c r="E186" s="16"/>
    </row>
    <row r="187" spans="1:5" x14ac:dyDescent="0.35">
      <c r="A187" s="16" t="s">
        <v>373</v>
      </c>
      <c r="B187" s="42" t="s">
        <v>299</v>
      </c>
      <c r="C187" s="341">
        <v>252234.09000000003</v>
      </c>
      <c r="D187" s="16"/>
      <c r="E187" s="16"/>
    </row>
    <row r="188" spans="1:5" x14ac:dyDescent="0.35">
      <c r="A188" s="16" t="s">
        <v>373</v>
      </c>
      <c r="B188" s="42" t="s">
        <v>299</v>
      </c>
      <c r="C188" s="341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18816586.150000002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342">
        <v>22336.51</v>
      </c>
      <c r="D191" s="16"/>
      <c r="E191" s="16"/>
    </row>
    <row r="192" spans="1:5" x14ac:dyDescent="0.35">
      <c r="A192" s="16" t="s">
        <v>376</v>
      </c>
      <c r="B192" s="42" t="s">
        <v>299</v>
      </c>
      <c r="C192" s="342">
        <v>302032.92000000004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324369.43000000005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342">
        <v>583227.43999999994</v>
      </c>
      <c r="D195" s="16"/>
      <c r="E195" s="16"/>
    </row>
    <row r="196" spans="1:5" x14ac:dyDescent="0.35">
      <c r="A196" s="16" t="s">
        <v>379</v>
      </c>
      <c r="B196" s="42" t="s">
        <v>299</v>
      </c>
      <c r="C196" s="342">
        <v>679535.24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1262762.68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337">
        <v>0</v>
      </c>
      <c r="D199" s="16"/>
      <c r="E199" s="16"/>
    </row>
    <row r="200" spans="1:5" x14ac:dyDescent="0.35">
      <c r="A200" s="16" t="s">
        <v>382</v>
      </c>
      <c r="B200" s="42" t="s">
        <v>299</v>
      </c>
      <c r="C200" s="342">
        <v>683332.67999999993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7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683332.67999999993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342">
        <v>0</v>
      </c>
      <c r="D204" s="16"/>
      <c r="E204" s="16"/>
    </row>
    <row r="205" spans="1:5" x14ac:dyDescent="0.35">
      <c r="A205" s="16" t="s">
        <v>385</v>
      </c>
      <c r="B205" s="42" t="s">
        <v>299</v>
      </c>
      <c r="C205" s="337">
        <v>3187322.1199999996</v>
      </c>
      <c r="D205" s="16"/>
      <c r="E205" s="16"/>
    </row>
    <row r="206" spans="1:5" x14ac:dyDescent="0.35">
      <c r="A206" s="16" t="s">
        <v>230</v>
      </c>
      <c r="B206" s="16"/>
      <c r="C206" s="23"/>
      <c r="D206" s="16">
        <f>SUM(C204:C205)</f>
        <v>3187322.1199999996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339">
        <v>2015497.22</v>
      </c>
      <c r="C211" s="337">
        <v>802054.85</v>
      </c>
      <c r="D211" s="339">
        <v>0</v>
      </c>
      <c r="E211" s="28">
        <f t="shared" ref="E211:E219" si="22">SUM(B211:C211)-D211</f>
        <v>2817552.07</v>
      </c>
    </row>
    <row r="212" spans="1:5" x14ac:dyDescent="0.35">
      <c r="A212" s="16" t="s">
        <v>393</v>
      </c>
      <c r="B212" s="339">
        <v>11111246.290000001</v>
      </c>
      <c r="C212" s="337">
        <v>0</v>
      </c>
      <c r="D212" s="339">
        <v>0</v>
      </c>
      <c r="E212" s="28">
        <f t="shared" si="22"/>
        <v>11111246.290000001</v>
      </c>
    </row>
    <row r="213" spans="1:5" x14ac:dyDescent="0.35">
      <c r="A213" s="16" t="s">
        <v>394</v>
      </c>
      <c r="B213" s="339">
        <v>59943438.190000005</v>
      </c>
      <c r="C213" s="337">
        <v>252857</v>
      </c>
      <c r="D213" s="339">
        <v>0</v>
      </c>
      <c r="E213" s="28">
        <f t="shared" si="22"/>
        <v>60196295.190000005</v>
      </c>
    </row>
    <row r="214" spans="1:5" x14ac:dyDescent="0.35">
      <c r="A214" s="16" t="s">
        <v>395</v>
      </c>
      <c r="B214" s="339">
        <v>33411007.440000001</v>
      </c>
      <c r="C214" s="337">
        <v>1079577</v>
      </c>
      <c r="D214" s="339">
        <v>0</v>
      </c>
      <c r="E214" s="28">
        <f t="shared" si="22"/>
        <v>34490584.439999998</v>
      </c>
    </row>
    <row r="215" spans="1:5" x14ac:dyDescent="0.35">
      <c r="A215" s="16" t="s">
        <v>396</v>
      </c>
      <c r="B215" s="339">
        <v>0</v>
      </c>
      <c r="C215" s="337">
        <v>55441125.560000002</v>
      </c>
      <c r="D215" s="339">
        <v>0</v>
      </c>
      <c r="E215" s="28">
        <f t="shared" si="22"/>
        <v>55441125.560000002</v>
      </c>
    </row>
    <row r="216" spans="1:5" x14ac:dyDescent="0.35">
      <c r="A216" s="16" t="s">
        <v>397</v>
      </c>
      <c r="B216" s="339">
        <v>43227995.780000001</v>
      </c>
      <c r="C216" s="337">
        <v>3751628</v>
      </c>
      <c r="D216" s="339">
        <v>494490</v>
      </c>
      <c r="E216" s="28">
        <f t="shared" si="22"/>
        <v>46485133.780000001</v>
      </c>
    </row>
    <row r="217" spans="1:5" x14ac:dyDescent="0.35">
      <c r="A217" s="16" t="s">
        <v>398</v>
      </c>
      <c r="B217" s="339">
        <v>640218</v>
      </c>
      <c r="C217" s="337">
        <v>1730358</v>
      </c>
      <c r="D217" s="339">
        <v>0</v>
      </c>
      <c r="E217" s="28">
        <f t="shared" si="22"/>
        <v>2370576</v>
      </c>
    </row>
    <row r="218" spans="1:5" x14ac:dyDescent="0.35">
      <c r="A218" s="16" t="s">
        <v>399</v>
      </c>
      <c r="B218" s="339">
        <v>1174052.3700000001</v>
      </c>
      <c r="C218" s="337">
        <v>0</v>
      </c>
      <c r="D218" s="339">
        <v>0</v>
      </c>
      <c r="E218" s="28">
        <f t="shared" si="22"/>
        <v>1174052.3700000001</v>
      </c>
    </row>
    <row r="219" spans="1:5" x14ac:dyDescent="0.35">
      <c r="A219" s="16" t="s">
        <v>400</v>
      </c>
      <c r="B219" s="339">
        <v>2874056.01</v>
      </c>
      <c r="C219" s="337">
        <v>475909</v>
      </c>
      <c r="D219" s="337">
        <v>0</v>
      </c>
      <c r="E219" s="28">
        <f t="shared" si="22"/>
        <v>3349965.01</v>
      </c>
    </row>
    <row r="220" spans="1:5" x14ac:dyDescent="0.35">
      <c r="A220" s="16" t="s">
        <v>230</v>
      </c>
      <c r="B220" s="234">
        <f>SUM(B211:B219)</f>
        <v>154397511.30000001</v>
      </c>
      <c r="C220" s="234">
        <f>SUM(C211:C219)</f>
        <v>63533509.410000004</v>
      </c>
      <c r="D220" s="28">
        <f>SUM(D211:D219)</f>
        <v>494490</v>
      </c>
      <c r="E220" s="28">
        <f>SUM(E211:E219)</f>
        <v>217436530.71000001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28"/>
    </row>
    <row r="225" spans="1:8" x14ac:dyDescent="0.35">
      <c r="A225" s="16" t="s">
        <v>393</v>
      </c>
      <c r="B225" s="339">
        <v>4231007.92</v>
      </c>
      <c r="C225" s="337">
        <v>718556.88</v>
      </c>
      <c r="D225" s="339">
        <v>0</v>
      </c>
      <c r="E225" s="28">
        <f t="shared" ref="E225:E232" si="23">SUM(B225:C225)-D225</f>
        <v>4949564.8</v>
      </c>
    </row>
    <row r="226" spans="1:8" x14ac:dyDescent="0.35">
      <c r="A226" s="16" t="s">
        <v>394</v>
      </c>
      <c r="B226" s="339">
        <v>26993366.239999998</v>
      </c>
      <c r="C226" s="337">
        <v>1807451.2800000012</v>
      </c>
      <c r="D226" s="339">
        <v>0</v>
      </c>
      <c r="E226" s="28">
        <f t="shared" si="23"/>
        <v>28800817.52</v>
      </c>
    </row>
    <row r="227" spans="1:8" x14ac:dyDescent="0.35">
      <c r="A227" s="16" t="s">
        <v>395</v>
      </c>
      <c r="B227" s="339">
        <v>15895318.149999999</v>
      </c>
      <c r="C227" s="337">
        <v>1680374.98</v>
      </c>
      <c r="D227" s="339">
        <v>0</v>
      </c>
      <c r="E227" s="28">
        <f t="shared" si="23"/>
        <v>17575693.129999999</v>
      </c>
      <c r="H227" s="290"/>
    </row>
    <row r="228" spans="1:8" x14ac:dyDescent="0.35">
      <c r="A228" s="16" t="s">
        <v>396</v>
      </c>
      <c r="B228" s="339">
        <v>0</v>
      </c>
      <c r="C228" s="337">
        <v>17777374</v>
      </c>
      <c r="D228" s="339">
        <v>0</v>
      </c>
      <c r="E228" s="28">
        <f t="shared" si="23"/>
        <v>17777374</v>
      </c>
    </row>
    <row r="229" spans="1:8" x14ac:dyDescent="0.35">
      <c r="A229" s="16" t="s">
        <v>397</v>
      </c>
      <c r="B229" s="339">
        <v>34189298.379999995</v>
      </c>
      <c r="C229" s="337">
        <v>2641685.2100000009</v>
      </c>
      <c r="D229" s="339">
        <v>480821</v>
      </c>
      <c r="E229" s="28">
        <f t="shared" si="23"/>
        <v>36350162.589999996</v>
      </c>
      <c r="F229" s="69"/>
    </row>
    <row r="230" spans="1:8" x14ac:dyDescent="0.35">
      <c r="A230" s="16" t="s">
        <v>398</v>
      </c>
      <c r="B230" s="339">
        <v>213406</v>
      </c>
      <c r="C230" s="337">
        <v>1073020.33</v>
      </c>
      <c r="D230" s="339">
        <v>0</v>
      </c>
      <c r="E230" s="28">
        <f t="shared" si="23"/>
        <v>1286426.33</v>
      </c>
    </row>
    <row r="231" spans="1:8" x14ac:dyDescent="0.35">
      <c r="A231" s="16" t="s">
        <v>399</v>
      </c>
      <c r="B231" s="339">
        <v>820288.89</v>
      </c>
      <c r="C231" s="337">
        <v>113959.56000000006</v>
      </c>
      <c r="D231" s="339">
        <v>0</v>
      </c>
      <c r="E231" s="28">
        <f t="shared" si="23"/>
        <v>934248.45000000007</v>
      </c>
    </row>
    <row r="232" spans="1:8" x14ac:dyDescent="0.35">
      <c r="A232" s="16" t="s">
        <v>400</v>
      </c>
      <c r="B232" s="339">
        <v>0</v>
      </c>
      <c r="C232" s="337">
        <v>0</v>
      </c>
      <c r="D232" s="339">
        <v>0</v>
      </c>
      <c r="E232" s="28">
        <f t="shared" si="23"/>
        <v>0</v>
      </c>
    </row>
    <row r="233" spans="1:8" x14ac:dyDescent="0.35">
      <c r="A233" s="16" t="s">
        <v>230</v>
      </c>
      <c r="B233" s="28">
        <f>SUM(B224:B232)</f>
        <v>82342685.579999998</v>
      </c>
      <c r="C233" s="234">
        <f>SUM(C224:C232)</f>
        <v>25812422.239999998</v>
      </c>
      <c r="D233" s="28">
        <f>SUM(D224:D232)</f>
        <v>480821</v>
      </c>
      <c r="E233" s="28">
        <f>SUM(E224:E232)</f>
        <v>107674286.81999999</v>
      </c>
    </row>
    <row r="234" spans="1:8" x14ac:dyDescent="0.35">
      <c r="A234" s="16"/>
      <c r="B234" s="16"/>
      <c r="C234" s="23"/>
      <c r="D234" s="16"/>
      <c r="E234" s="16"/>
      <c r="F234" s="11">
        <f>E220-E233</f>
        <v>109762243.89000002</v>
      </c>
    </row>
    <row r="235" spans="1:8" x14ac:dyDescent="0.35">
      <c r="A235" s="34" t="s">
        <v>402</v>
      </c>
      <c r="B235" s="34"/>
      <c r="C235" s="34"/>
      <c r="D235" s="34"/>
      <c r="E235" s="34"/>
    </row>
    <row r="236" spans="1:8" x14ac:dyDescent="0.35">
      <c r="A236" s="34"/>
      <c r="B236" s="347" t="s">
        <v>403</v>
      </c>
      <c r="C236" s="347"/>
      <c r="D236" s="34"/>
      <c r="E236" s="34"/>
    </row>
    <row r="237" spans="1:8" x14ac:dyDescent="0.35">
      <c r="A237" s="52" t="s">
        <v>403</v>
      </c>
      <c r="B237" s="34"/>
      <c r="C237" s="342">
        <v>2040032.9900000002</v>
      </c>
      <c r="D237" s="36">
        <f>C237</f>
        <v>2040032.9900000002</v>
      </c>
      <c r="E237" s="34"/>
    </row>
    <row r="238" spans="1:8" x14ac:dyDescent="0.35">
      <c r="A238" s="41" t="s">
        <v>404</v>
      </c>
      <c r="B238" s="41"/>
      <c r="C238" s="41"/>
      <c r="D238" s="41"/>
      <c r="E238" s="41"/>
    </row>
    <row r="239" spans="1:8" x14ac:dyDescent="0.35">
      <c r="A239" s="16" t="s">
        <v>405</v>
      </c>
      <c r="B239" s="42" t="s">
        <v>299</v>
      </c>
      <c r="C239" s="342">
        <v>90565597.150000006</v>
      </c>
      <c r="D239" s="16"/>
      <c r="E239" s="16"/>
    </row>
    <row r="240" spans="1:8" x14ac:dyDescent="0.35">
      <c r="A240" s="16" t="s">
        <v>406</v>
      </c>
      <c r="B240" s="42" t="s">
        <v>299</v>
      </c>
      <c r="C240" s="342">
        <v>58642866.079999998</v>
      </c>
      <c r="D240" s="16"/>
      <c r="E240" s="16"/>
    </row>
    <row r="241" spans="1:5" x14ac:dyDescent="0.35">
      <c r="A241" s="16" t="s">
        <v>407</v>
      </c>
      <c r="B241" s="42" t="s">
        <v>299</v>
      </c>
      <c r="C241" s="342">
        <v>9223881.7999999989</v>
      </c>
      <c r="D241" s="16"/>
      <c r="E241" s="16"/>
    </row>
    <row r="242" spans="1:5" x14ac:dyDescent="0.35">
      <c r="A242" s="16" t="s">
        <v>408</v>
      </c>
      <c r="B242" s="42" t="s">
        <v>299</v>
      </c>
      <c r="C242" s="342"/>
      <c r="D242" s="16"/>
      <c r="E242" s="16"/>
    </row>
    <row r="243" spans="1:5" x14ac:dyDescent="0.35">
      <c r="A243" s="16" t="s">
        <v>409</v>
      </c>
      <c r="B243" s="42" t="s">
        <v>299</v>
      </c>
      <c r="C243" s="342">
        <v>27488734.609999999</v>
      </c>
      <c r="D243" s="16"/>
      <c r="E243" s="16"/>
    </row>
    <row r="244" spans="1:5" x14ac:dyDescent="0.35">
      <c r="A244" s="16" t="s">
        <v>410</v>
      </c>
      <c r="B244" s="42" t="s">
        <v>299</v>
      </c>
      <c r="C244" s="342"/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185921079.64000005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337">
        <v>1727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337">
        <v>467361</v>
      </c>
      <c r="D249" s="16"/>
      <c r="E249" s="16"/>
    </row>
    <row r="250" spans="1:5" x14ac:dyDescent="0.35">
      <c r="A250" s="22" t="s">
        <v>415</v>
      </c>
      <c r="B250" s="42" t="s">
        <v>299</v>
      </c>
      <c r="C250" s="337">
        <v>4430472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4897833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342">
        <v>5769987.7800000003</v>
      </c>
      <c r="D254" s="16"/>
      <c r="E254" s="16"/>
    </row>
    <row r="255" spans="1:5" x14ac:dyDescent="0.35">
      <c r="A255" s="16" t="s">
        <v>417</v>
      </c>
      <c r="B255" s="42" t="s">
        <v>299</v>
      </c>
      <c r="C255" s="337"/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5769987.7800000003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16">
        <f>D237+D245+D252+D256</f>
        <v>198628933.41000006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342">
        <v>99584319.890000001</v>
      </c>
      <c r="D266" s="16"/>
      <c r="E266" s="16"/>
    </row>
    <row r="267" spans="1:5" x14ac:dyDescent="0.35">
      <c r="A267" s="16" t="s">
        <v>424</v>
      </c>
      <c r="B267" s="42" t="s">
        <v>299</v>
      </c>
      <c r="C267" s="342"/>
      <c r="D267" s="16"/>
      <c r="E267" s="16"/>
    </row>
    <row r="268" spans="1:5" x14ac:dyDescent="0.35">
      <c r="A268" s="16" t="s">
        <v>425</v>
      </c>
      <c r="B268" s="42" t="s">
        <v>299</v>
      </c>
      <c r="C268" s="342">
        <v>45587003.270000003</v>
      </c>
      <c r="D268" s="16"/>
      <c r="E268" s="16"/>
    </row>
    <row r="269" spans="1:5" x14ac:dyDescent="0.35">
      <c r="A269" s="16" t="s">
        <v>426</v>
      </c>
      <c r="B269" s="42" t="s">
        <v>299</v>
      </c>
      <c r="C269" s="342">
        <v>27766671.010000002</v>
      </c>
      <c r="D269" s="16"/>
      <c r="E269" s="16"/>
    </row>
    <row r="270" spans="1:5" x14ac:dyDescent="0.35">
      <c r="A270" s="16" t="s">
        <v>427</v>
      </c>
      <c r="B270" s="42" t="s">
        <v>299</v>
      </c>
      <c r="C270" s="342" t="s">
        <v>5</v>
      </c>
      <c r="D270" s="16"/>
      <c r="E270" s="16"/>
    </row>
    <row r="271" spans="1:5" x14ac:dyDescent="0.35">
      <c r="A271" s="16" t="s">
        <v>428</v>
      </c>
      <c r="B271" s="42" t="s">
        <v>299</v>
      </c>
      <c r="C271" s="342">
        <v>603187.49</v>
      </c>
      <c r="D271" s="16"/>
      <c r="E271" s="16"/>
    </row>
    <row r="272" spans="1:5" x14ac:dyDescent="0.35">
      <c r="A272" s="16" t="s">
        <v>429</v>
      </c>
      <c r="B272" s="42" t="s">
        <v>299</v>
      </c>
      <c r="C272" s="342"/>
      <c r="D272" s="16"/>
      <c r="E272" s="16"/>
    </row>
    <row r="273" spans="1:5" x14ac:dyDescent="0.35">
      <c r="A273" s="16" t="s">
        <v>430</v>
      </c>
      <c r="B273" s="42" t="s">
        <v>299</v>
      </c>
      <c r="C273" s="342">
        <v>2096970.79</v>
      </c>
      <c r="D273" s="16"/>
      <c r="E273" s="16"/>
    </row>
    <row r="274" spans="1:5" x14ac:dyDescent="0.35">
      <c r="A274" s="16" t="s">
        <v>431</v>
      </c>
      <c r="B274" s="42" t="s">
        <v>299</v>
      </c>
      <c r="C274" s="342">
        <v>2332512.87</v>
      </c>
      <c r="D274" s="16"/>
      <c r="E274" s="16"/>
    </row>
    <row r="275" spans="1:5" x14ac:dyDescent="0.35">
      <c r="A275" s="16" t="s">
        <v>432</v>
      </c>
      <c r="B275" s="42" t="s">
        <v>299</v>
      </c>
      <c r="C275" s="342"/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122437323.3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342">
        <v>84131.139999999854</v>
      </c>
      <c r="D278" s="16"/>
      <c r="E278" s="16"/>
    </row>
    <row r="279" spans="1:5" x14ac:dyDescent="0.35">
      <c r="A279" s="16" t="s">
        <v>424</v>
      </c>
      <c r="B279" s="42" t="s">
        <v>299</v>
      </c>
      <c r="C279" s="337"/>
      <c r="D279" s="16"/>
      <c r="E279" s="16"/>
    </row>
    <row r="280" spans="1:5" x14ac:dyDescent="0.35">
      <c r="A280" s="16" t="s">
        <v>435</v>
      </c>
      <c r="B280" s="42" t="s">
        <v>299</v>
      </c>
      <c r="C280" s="337"/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84131.139999999854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342">
        <v>2817552.07</v>
      </c>
      <c r="D283" s="16"/>
      <c r="E283" s="16"/>
    </row>
    <row r="284" spans="1:5" x14ac:dyDescent="0.35">
      <c r="A284" s="16" t="s">
        <v>393</v>
      </c>
      <c r="B284" s="42" t="s">
        <v>299</v>
      </c>
      <c r="C284" s="342">
        <v>11111246.33</v>
      </c>
      <c r="D284" s="16"/>
      <c r="E284" s="16"/>
    </row>
    <row r="285" spans="1:5" x14ac:dyDescent="0.35">
      <c r="A285" s="16" t="s">
        <v>394</v>
      </c>
      <c r="B285" s="42" t="s">
        <v>299</v>
      </c>
      <c r="C285" s="342">
        <v>60196294.75</v>
      </c>
      <c r="D285" s="16"/>
      <c r="E285" s="16"/>
    </row>
    <row r="286" spans="1:5" x14ac:dyDescent="0.35">
      <c r="A286" s="16" t="s">
        <v>438</v>
      </c>
      <c r="B286" s="42" t="s">
        <v>299</v>
      </c>
      <c r="C286" s="342">
        <v>34490584.100000001</v>
      </c>
      <c r="D286" s="16"/>
      <c r="E286" s="16"/>
    </row>
    <row r="287" spans="1:5" x14ac:dyDescent="0.35">
      <c r="A287" s="16" t="s">
        <v>439</v>
      </c>
      <c r="B287" s="42" t="s">
        <v>299</v>
      </c>
      <c r="C287" s="342"/>
      <c r="D287" s="16"/>
      <c r="E287" s="16"/>
    </row>
    <row r="288" spans="1:5" x14ac:dyDescent="0.35">
      <c r="A288" s="16" t="s">
        <v>440</v>
      </c>
      <c r="B288" s="42" t="s">
        <v>299</v>
      </c>
      <c r="C288" s="342">
        <v>104296835.83</v>
      </c>
      <c r="D288" s="16"/>
      <c r="E288" s="16"/>
    </row>
    <row r="289" spans="1:5" x14ac:dyDescent="0.35">
      <c r="A289" s="16" t="s">
        <v>399</v>
      </c>
      <c r="B289" s="42" t="s">
        <v>299</v>
      </c>
      <c r="C289" s="342">
        <v>1174052.3700000001</v>
      </c>
      <c r="D289" s="16"/>
      <c r="E289" s="16"/>
    </row>
    <row r="290" spans="1:5" x14ac:dyDescent="0.35">
      <c r="A290" s="16" t="s">
        <v>400</v>
      </c>
      <c r="B290" s="42" t="s">
        <v>299</v>
      </c>
      <c r="C290" s="342">
        <v>3349965.08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217436530.53</v>
      </c>
      <c r="E291" s="16"/>
    </row>
    <row r="292" spans="1:5" x14ac:dyDescent="0.35">
      <c r="A292" s="16" t="s">
        <v>442</v>
      </c>
      <c r="B292" s="42" t="s">
        <v>299</v>
      </c>
      <c r="C292" s="342">
        <v>107674286.33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109762244.2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337"/>
      <c r="D295" s="16"/>
      <c r="E295" s="16"/>
    </row>
    <row r="296" spans="1:5" x14ac:dyDescent="0.35">
      <c r="A296" s="16" t="s">
        <v>446</v>
      </c>
      <c r="B296" s="42" t="s">
        <v>299</v>
      </c>
      <c r="C296" s="337"/>
      <c r="D296" s="16"/>
      <c r="E296" s="16"/>
    </row>
    <row r="297" spans="1:5" x14ac:dyDescent="0.35">
      <c r="A297" s="16" t="s">
        <v>447</v>
      </c>
      <c r="B297" s="42" t="s">
        <v>299</v>
      </c>
      <c r="C297" s="337"/>
      <c r="D297" s="16"/>
      <c r="E297" s="16"/>
    </row>
    <row r="298" spans="1:5" x14ac:dyDescent="0.35">
      <c r="A298" s="16" t="s">
        <v>435</v>
      </c>
      <c r="B298" s="42" t="s">
        <v>299</v>
      </c>
      <c r="C298" s="337"/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337"/>
      <c r="D302" s="16"/>
      <c r="E302" s="16"/>
    </row>
    <row r="303" spans="1:5" x14ac:dyDescent="0.35">
      <c r="A303" s="16" t="s">
        <v>451</v>
      </c>
      <c r="B303" s="42" t="s">
        <v>299</v>
      </c>
      <c r="C303" s="337"/>
      <c r="D303" s="16"/>
      <c r="E303" s="16"/>
    </row>
    <row r="304" spans="1:5" x14ac:dyDescent="0.35">
      <c r="A304" s="16" t="s">
        <v>452</v>
      </c>
      <c r="B304" s="42" t="s">
        <v>299</v>
      </c>
      <c r="C304" s="337"/>
      <c r="D304" s="16"/>
      <c r="E304" s="16"/>
    </row>
    <row r="305" spans="1:6" x14ac:dyDescent="0.35">
      <c r="A305" s="16" t="s">
        <v>453</v>
      </c>
      <c r="B305" s="42" t="s">
        <v>299</v>
      </c>
      <c r="C305" s="337"/>
      <c r="D305" s="16"/>
      <c r="E305" s="16"/>
    </row>
    <row r="306" spans="1:6" x14ac:dyDescent="0.35">
      <c r="A306" s="16" t="s">
        <v>454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16">
        <f>D276+D281+D293+D299+D306</f>
        <v>232283698.63999999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232283698.63999999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342"/>
      <c r="D314" s="16"/>
      <c r="E314" s="16"/>
    </row>
    <row r="315" spans="1:6" x14ac:dyDescent="0.35">
      <c r="A315" s="16" t="s">
        <v>459</v>
      </c>
      <c r="B315" s="42" t="s">
        <v>299</v>
      </c>
      <c r="C315" s="342">
        <v>5034244.93</v>
      </c>
      <c r="D315" s="16"/>
      <c r="E315" s="16"/>
    </row>
    <row r="316" spans="1:6" x14ac:dyDescent="0.35">
      <c r="A316" s="16" t="s">
        <v>460</v>
      </c>
      <c r="B316" s="42" t="s">
        <v>299</v>
      </c>
      <c r="C316" s="342">
        <v>10254973.85</v>
      </c>
      <c r="D316" s="16"/>
      <c r="E316" s="16"/>
    </row>
    <row r="317" spans="1:6" x14ac:dyDescent="0.35">
      <c r="A317" s="16" t="s">
        <v>461</v>
      </c>
      <c r="B317" s="42" t="s">
        <v>299</v>
      </c>
      <c r="C317" s="342">
        <v>98071.65</v>
      </c>
      <c r="D317" s="16"/>
      <c r="E317" s="16"/>
    </row>
    <row r="318" spans="1:6" x14ac:dyDescent="0.35">
      <c r="A318" s="16" t="s">
        <v>462</v>
      </c>
      <c r="B318" s="42" t="s">
        <v>299</v>
      </c>
      <c r="C318" s="342"/>
      <c r="D318" s="16"/>
      <c r="E318" s="16"/>
    </row>
    <row r="319" spans="1:6" x14ac:dyDescent="0.35">
      <c r="A319" s="16" t="s">
        <v>463</v>
      </c>
      <c r="B319" s="42" t="s">
        <v>299</v>
      </c>
      <c r="C319" s="342">
        <v>2272612.7199999997</v>
      </c>
      <c r="D319" s="16"/>
      <c r="E319" s="16"/>
    </row>
    <row r="320" spans="1:6" x14ac:dyDescent="0.35">
      <c r="A320" s="16" t="s">
        <v>464</v>
      </c>
      <c r="B320" s="42" t="s">
        <v>299</v>
      </c>
      <c r="C320" s="342"/>
      <c r="D320" s="16"/>
      <c r="E320" s="16"/>
    </row>
    <row r="321" spans="1:5" x14ac:dyDescent="0.35">
      <c r="A321" s="16" t="s">
        <v>465</v>
      </c>
      <c r="B321" s="42" t="s">
        <v>299</v>
      </c>
      <c r="C321" s="342"/>
      <c r="D321" s="16"/>
      <c r="E321" s="16"/>
    </row>
    <row r="322" spans="1:5" x14ac:dyDescent="0.35">
      <c r="A322" s="16" t="s">
        <v>466</v>
      </c>
      <c r="B322" s="42" t="s">
        <v>299</v>
      </c>
      <c r="C322" s="342">
        <v>204997.23</v>
      </c>
      <c r="D322" s="16"/>
      <c r="E322" s="16"/>
    </row>
    <row r="323" spans="1:5" x14ac:dyDescent="0.35">
      <c r="A323" s="16" t="s">
        <v>467</v>
      </c>
      <c r="B323" s="42" t="s">
        <v>299</v>
      </c>
      <c r="C323" s="342">
        <v>6600928.2200000007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24465828.600000001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337"/>
      <c r="D326" s="16"/>
      <c r="E326" s="16"/>
    </row>
    <row r="327" spans="1:5" x14ac:dyDescent="0.35">
      <c r="A327" s="16" t="s">
        <v>471</v>
      </c>
      <c r="B327" s="42" t="s">
        <v>299</v>
      </c>
      <c r="C327" s="337">
        <v>0</v>
      </c>
      <c r="D327" s="16"/>
      <c r="E327" s="16"/>
    </row>
    <row r="328" spans="1:5" x14ac:dyDescent="0.35">
      <c r="A328" s="16" t="s">
        <v>472</v>
      </c>
      <c r="B328" s="42" t="s">
        <v>299</v>
      </c>
      <c r="C328" s="337"/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337"/>
      <c r="D331" s="16"/>
      <c r="E331" s="16"/>
    </row>
    <row r="332" spans="1:5" x14ac:dyDescent="0.35">
      <c r="A332" s="16" t="s">
        <v>476</v>
      </c>
      <c r="B332" s="42" t="s">
        <v>299</v>
      </c>
      <c r="C332" s="337"/>
      <c r="D332" s="16"/>
      <c r="E332" s="16"/>
    </row>
    <row r="333" spans="1:5" x14ac:dyDescent="0.35">
      <c r="A333" s="16" t="s">
        <v>477</v>
      </c>
      <c r="B333" s="42" t="s">
        <v>299</v>
      </c>
      <c r="C333" s="337"/>
      <c r="D333" s="16"/>
      <c r="E333" s="16"/>
    </row>
    <row r="334" spans="1:5" x14ac:dyDescent="0.35">
      <c r="A334" s="22" t="s">
        <v>478</v>
      </c>
      <c r="B334" s="42" t="s">
        <v>299</v>
      </c>
      <c r="C334" s="342">
        <v>37092186.359999999</v>
      </c>
      <c r="D334" s="16"/>
      <c r="E334" s="16"/>
    </row>
    <row r="335" spans="1:5" x14ac:dyDescent="0.35">
      <c r="A335" s="16" t="s">
        <v>479</v>
      </c>
      <c r="B335" s="42" t="s">
        <v>299</v>
      </c>
      <c r="C335" s="342">
        <v>62378791.049999997</v>
      </c>
      <c r="D335" s="16"/>
      <c r="E335" s="16"/>
    </row>
    <row r="336" spans="1:5" x14ac:dyDescent="0.35">
      <c r="A336" s="22" t="s">
        <v>480</v>
      </c>
      <c r="B336" s="42" t="s">
        <v>299</v>
      </c>
      <c r="C336" s="337"/>
      <c r="D336" s="16"/>
      <c r="E336" s="16"/>
    </row>
    <row r="337" spans="1:5" x14ac:dyDescent="0.35">
      <c r="A337" s="22" t="s">
        <v>481</v>
      </c>
      <c r="B337" s="42" t="s">
        <v>299</v>
      </c>
      <c r="C337" s="340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337"/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99470977.409999996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6600928.2200000007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92870049.189999998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343">
        <v>114947820.8499999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338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338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338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338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338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232283698.6399999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232283698.63999999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342">
        <v>69086651.879999995</v>
      </c>
      <c r="D358" s="16"/>
      <c r="E358" s="16"/>
    </row>
    <row r="359" spans="1:5" x14ac:dyDescent="0.35">
      <c r="A359" s="16" t="s">
        <v>496</v>
      </c>
      <c r="B359" s="42" t="s">
        <v>299</v>
      </c>
      <c r="C359" s="342">
        <v>266733237.40000001</v>
      </c>
      <c r="D359" s="16"/>
      <c r="E359" s="16"/>
    </row>
    <row r="360" spans="1:5" x14ac:dyDescent="0.35">
      <c r="A360" s="16" t="s">
        <v>497</v>
      </c>
      <c r="B360" s="16"/>
      <c r="C360" s="23"/>
      <c r="D360" s="16">
        <f>SUM(C358:C359)</f>
        <v>335819889.27999997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342">
        <v>2040032.9900000002</v>
      </c>
      <c r="D362" s="16"/>
      <c r="E362" s="41"/>
    </row>
    <row r="363" spans="1:5" x14ac:dyDescent="0.35">
      <c r="A363" s="16" t="s">
        <v>499</v>
      </c>
      <c r="B363" s="42" t="s">
        <v>299</v>
      </c>
      <c r="C363" s="342">
        <v>185921079.64000002</v>
      </c>
      <c r="D363" s="16"/>
      <c r="E363" s="16"/>
    </row>
    <row r="364" spans="1:5" x14ac:dyDescent="0.35">
      <c r="A364" s="16" t="s">
        <v>500</v>
      </c>
      <c r="B364" s="42" t="s">
        <v>299</v>
      </c>
      <c r="C364" s="342">
        <v>4897833.38</v>
      </c>
      <c r="D364" s="16"/>
      <c r="E364" s="16"/>
    </row>
    <row r="365" spans="1:5" x14ac:dyDescent="0.35">
      <c r="A365" s="16" t="s">
        <v>501</v>
      </c>
      <c r="B365" s="42" t="s">
        <v>299</v>
      </c>
      <c r="C365" s="342">
        <v>5769987.7800000003</v>
      </c>
      <c r="D365" s="16"/>
      <c r="E365" s="16"/>
    </row>
    <row r="366" spans="1:5" x14ac:dyDescent="0.35">
      <c r="A366" s="16" t="s">
        <v>420</v>
      </c>
      <c r="B366" s="16"/>
      <c r="C366" s="23"/>
      <c r="D366" s="16">
        <f>SUM(C362:C365)</f>
        <v>198628933.79000002</v>
      </c>
      <c r="E366" s="16"/>
    </row>
    <row r="367" spans="1:5" x14ac:dyDescent="0.35">
      <c r="A367" s="16" t="s">
        <v>502</v>
      </c>
      <c r="B367" s="16"/>
      <c r="C367" s="23"/>
      <c r="D367" s="16">
        <f>D360-D366</f>
        <v>137190955.48999995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337"/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337"/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337"/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337"/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337"/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337"/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337"/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337"/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337"/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337"/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342">
        <v>4690606.6399999997</v>
      </c>
      <c r="D380" s="28">
        <v>0</v>
      </c>
      <c r="E380" s="214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4690606.6399999997</v>
      </c>
      <c r="E381" s="28"/>
      <c r="F381" s="56"/>
    </row>
    <row r="382" spans="1:6" x14ac:dyDescent="0.35">
      <c r="A382" s="52" t="s">
        <v>517</v>
      </c>
      <c r="B382" s="42" t="s">
        <v>299</v>
      </c>
      <c r="C382" s="342">
        <v>2444827.8200000003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7135434.46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144326389.94999996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342">
        <v>60854332.469999999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2">
        <v>18816586.150000002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2">
        <v>11313643.48</v>
      </c>
      <c r="D391" s="16"/>
      <c r="E391" s="16"/>
    </row>
    <row r="392" spans="1:5" x14ac:dyDescent="0.35">
      <c r="A392" s="16" t="s">
        <v>522</v>
      </c>
      <c r="B392" s="42" t="s">
        <v>299</v>
      </c>
      <c r="C392" s="342">
        <v>15201655.91</v>
      </c>
      <c r="D392" s="16"/>
      <c r="E392" s="16"/>
    </row>
    <row r="393" spans="1:5" x14ac:dyDescent="0.35">
      <c r="A393" s="16" t="s">
        <v>523</v>
      </c>
      <c r="B393" s="42" t="s">
        <v>299</v>
      </c>
      <c r="C393" s="342">
        <v>1314812.7</v>
      </c>
      <c r="D393" s="16"/>
      <c r="E393" s="16"/>
    </row>
    <row r="394" spans="1:5" x14ac:dyDescent="0.35">
      <c r="A394" s="16" t="s">
        <v>524</v>
      </c>
      <c r="B394" s="42" t="s">
        <v>299</v>
      </c>
      <c r="C394" s="342">
        <v>13049019.969999999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2">
        <v>12671902.43</v>
      </c>
      <c r="D395" s="16"/>
      <c r="E395" s="16"/>
    </row>
    <row r="396" spans="1:5" x14ac:dyDescent="0.35">
      <c r="A396" s="16" t="s">
        <v>525</v>
      </c>
      <c r="B396" s="42" t="s">
        <v>299</v>
      </c>
      <c r="C396" s="342">
        <v>324369.43000000005</v>
      </c>
      <c r="D396" s="16"/>
      <c r="E396" s="16"/>
    </row>
    <row r="397" spans="1:5" x14ac:dyDescent="0.35">
      <c r="A397" s="16" t="s">
        <v>526</v>
      </c>
      <c r="B397" s="42" t="s">
        <v>299</v>
      </c>
      <c r="C397" s="342">
        <v>1262762.68</v>
      </c>
      <c r="D397" s="16"/>
      <c r="E397" s="16"/>
    </row>
    <row r="398" spans="1:5" x14ac:dyDescent="0.35">
      <c r="A398" s="16" t="s">
        <v>527</v>
      </c>
      <c r="B398" s="42" t="s">
        <v>299</v>
      </c>
      <c r="C398" s="342">
        <v>683332.67999999993</v>
      </c>
      <c r="D398" s="16"/>
      <c r="E398" s="16"/>
    </row>
    <row r="399" spans="1:5" x14ac:dyDescent="0.35">
      <c r="A399" s="16" t="s">
        <v>528</v>
      </c>
      <c r="B399" s="42" t="s">
        <v>299</v>
      </c>
      <c r="C399" s="342">
        <v>3187322.12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7"/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7"/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337"/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7"/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7"/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7"/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7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7"/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7"/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7"/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7"/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7"/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7"/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1625825.3</v>
      </c>
      <c r="D414" s="28">
        <v>0</v>
      </c>
      <c r="E414" s="214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1625825.3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140305565.32000005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4020824.6299999058</v>
      </c>
      <c r="E417" s="28"/>
    </row>
    <row r="418" spans="1:13" x14ac:dyDescent="0.35">
      <c r="A418" s="28" t="s">
        <v>534</v>
      </c>
      <c r="B418" s="16"/>
      <c r="C418" s="342">
        <v>7360559.2899999991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337"/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7360559.2899999991</v>
      </c>
      <c r="E420" s="28"/>
      <c r="F420" s="11">
        <f>D420-C399</f>
        <v>4173237.169999999</v>
      </c>
    </row>
    <row r="421" spans="1:13" x14ac:dyDescent="0.35">
      <c r="A421" s="28" t="s">
        <v>537</v>
      </c>
      <c r="B421" s="16"/>
      <c r="C421" s="23"/>
      <c r="D421" s="28">
        <f>D417+D420</f>
        <v>11381383.919999905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337"/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337"/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16">
        <f>D421+C422-C423</f>
        <v>11381383.919999905</v>
      </c>
      <c r="E424" s="16"/>
    </row>
    <row r="426" spans="1:13" x14ac:dyDescent="0.35">
      <c r="A426" s="350" t="s">
        <v>1400</v>
      </c>
      <c r="B426" s="350"/>
      <c r="C426" s="350"/>
      <c r="D426" s="350"/>
      <c r="E426" s="350"/>
    </row>
    <row r="427" spans="1:13" x14ac:dyDescent="0.35">
      <c r="A427" s="350"/>
      <c r="B427" s="350"/>
      <c r="C427" s="350"/>
      <c r="D427" s="350"/>
      <c r="E427" s="350"/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ht="15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ht="15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ht="15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2">
      <c r="A612" s="221"/>
      <c r="C612" s="219" t="s">
        <v>541</v>
      </c>
      <c r="D612" s="226">
        <f>CE90-(BE90+CD90)</f>
        <v>198275</v>
      </c>
      <c r="E612" s="228">
        <f>SUM(C624:D647)+SUM(C668:D713)</f>
        <v>118859093.79976508</v>
      </c>
      <c r="F612" s="228">
        <f>CE64-(AX64+BD64+BE64+BG64+BJ64+BN64+BP64+BQ64+CB64+CC64+CD64)</f>
        <v>14915903.389999997</v>
      </c>
      <c r="G612" s="226">
        <f>CE91-(AX91+AY91+BD91+BE91+BG91+BJ91+BN91+BP91+BQ91+CB91+CC91+CD91)</f>
        <v>33431.114391143914</v>
      </c>
      <c r="H612" s="231">
        <f>CE60-(AX60+AY60+AZ60+BD60+BE60+BG60+BJ60+BN60+BO60+BP60+BQ60+BR60+CB60+CC60+CD60)</f>
        <v>529.38443573057702</v>
      </c>
      <c r="I612" s="226">
        <f>CE92-(AX92+AY92+AZ92+BD92+BE92+BF92+BG92+BJ92+BN92+BO92+BP92+BQ92+BR92+CB92+CC92+CD92)</f>
        <v>0</v>
      </c>
      <c r="J612" s="226">
        <f>CE93-(AX93+AY93+AZ93+BA93+BD93+BE93+BF93+BG93+BJ93+BN93+BO93+BP93+BQ93+BR93+CB93+CC93+CD93)</f>
        <v>228298</v>
      </c>
      <c r="K612" s="226">
        <f>CE89-(AW89+AX89+AY89+AZ89+BA89+BB89+BC89+BD89+BE89+BF89+BG89+BH89+BI89+BJ89+BK89+BL89+BM89+BN89+BO89+BP89+BQ89+BR89+BS89+BT89+BU89+BV89+BW89+BX89+CB89+CC89+CD89)</f>
        <v>335819888.82999998</v>
      </c>
      <c r="L612" s="232">
        <f>CE94-(AW94+AX94+AY94+AZ94+BA94+BB94+BC94+BD94+BE94+BF94+BG94+BH94+BI94+BJ94+BK94+BL94+BM94+BN94+BO94+BP94+BQ94+BR94+BS94+BT94+BU94+BV94+BW94+BX94+BY94+BZ94+CA94+CB94+CC94+CD94)</f>
        <v>129.30452536528844</v>
      </c>
    </row>
    <row r="613" spans="1:14" s="211" customFormat="1" ht="12.65" customHeight="1" x14ac:dyDescent="0.2">
      <c r="A613" s="221"/>
      <c r="C613" s="219" t="s">
        <v>542</v>
      </c>
      <c r="D613" s="227" t="s">
        <v>543</v>
      </c>
      <c r="E613" s="229" t="s">
        <v>544</v>
      </c>
      <c r="F613" s="230" t="s">
        <v>545</v>
      </c>
      <c r="G613" s="227" t="s">
        <v>546</v>
      </c>
      <c r="H613" s="230" t="s">
        <v>547</v>
      </c>
      <c r="I613" s="227" t="s">
        <v>548</v>
      </c>
      <c r="J613" s="227" t="s">
        <v>549</v>
      </c>
      <c r="K613" s="219" t="s">
        <v>550</v>
      </c>
      <c r="L613" s="220" t="s">
        <v>551</v>
      </c>
    </row>
    <row r="614" spans="1:14" s="211" customFormat="1" ht="12.65" customHeight="1" x14ac:dyDescent="0.2">
      <c r="A614" s="221">
        <v>8430</v>
      </c>
      <c r="B614" s="220" t="s">
        <v>167</v>
      </c>
      <c r="C614" s="226">
        <f>BE85</f>
        <v>3340048.48</v>
      </c>
      <c r="D614" s="226"/>
      <c r="E614" s="228"/>
      <c r="F614" s="228"/>
      <c r="G614" s="226"/>
      <c r="H614" s="228"/>
      <c r="I614" s="226"/>
      <c r="J614" s="226"/>
      <c r="N614" s="222" t="s">
        <v>552</v>
      </c>
    </row>
    <row r="615" spans="1:14" s="211" customFormat="1" ht="12.65" customHeight="1" x14ac:dyDescent="0.2">
      <c r="A615" s="221"/>
      <c r="B615" s="220" t="s">
        <v>553</v>
      </c>
      <c r="C615" s="226">
        <f>CD69-CD84</f>
        <v>-3651760.9499999997</v>
      </c>
      <c r="D615" s="226">
        <f>SUM(C614:C615)</f>
        <v>-311712.46999999974</v>
      </c>
      <c r="E615" s="228"/>
      <c r="F615" s="228"/>
      <c r="G615" s="226"/>
      <c r="H615" s="228"/>
      <c r="I615" s="226"/>
      <c r="J615" s="226"/>
      <c r="N615" s="222" t="s">
        <v>554</v>
      </c>
    </row>
    <row r="616" spans="1:14" s="211" customFormat="1" ht="12.65" customHeight="1" x14ac:dyDescent="0.2">
      <c r="A616" s="221">
        <v>8310</v>
      </c>
      <c r="B616" s="225" t="s">
        <v>555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556</v>
      </c>
    </row>
    <row r="617" spans="1:14" s="211" customFormat="1" ht="12.65" customHeight="1" x14ac:dyDescent="0.2">
      <c r="A617" s="221">
        <v>8510</v>
      </c>
      <c r="B617" s="225" t="s">
        <v>172</v>
      </c>
      <c r="C617" s="226">
        <f>BJ85</f>
        <v>1106043.21</v>
      </c>
      <c r="D617" s="226">
        <f>(D615/D612)*BJ90</f>
        <v>0</v>
      </c>
      <c r="E617" s="228"/>
      <c r="F617" s="228"/>
      <c r="G617" s="226"/>
      <c r="H617" s="228"/>
      <c r="I617" s="226"/>
      <c r="J617" s="226"/>
      <c r="N617" s="222" t="s">
        <v>557</v>
      </c>
    </row>
    <row r="618" spans="1:14" s="211" customFormat="1" ht="12.65" customHeight="1" x14ac:dyDescent="0.2">
      <c r="A618" s="221">
        <v>8470</v>
      </c>
      <c r="B618" s="225" t="s">
        <v>558</v>
      </c>
      <c r="C618" s="226">
        <f>BG85</f>
        <v>0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559</v>
      </c>
    </row>
    <row r="619" spans="1:14" s="211" customFormat="1" ht="12.65" customHeight="1" x14ac:dyDescent="0.2">
      <c r="A619" s="221">
        <v>8610</v>
      </c>
      <c r="B619" s="225" t="s">
        <v>560</v>
      </c>
      <c r="C619" s="226">
        <f>BN85</f>
        <v>3826708.41</v>
      </c>
      <c r="D619" s="226">
        <f>(D615/D612)*BN90</f>
        <v>-15339.193391955605</v>
      </c>
      <c r="E619" s="228"/>
      <c r="F619" s="228"/>
      <c r="G619" s="226"/>
      <c r="H619" s="228"/>
      <c r="I619" s="226"/>
      <c r="J619" s="226"/>
      <c r="N619" s="222" t="s">
        <v>561</v>
      </c>
    </row>
    <row r="620" spans="1:14" s="211" customFormat="1" ht="12.65" customHeight="1" x14ac:dyDescent="0.2">
      <c r="A620" s="221">
        <v>8790</v>
      </c>
      <c r="B620" s="225" t="s">
        <v>562</v>
      </c>
      <c r="C620" s="226">
        <f>CC85</f>
        <v>4029342.73</v>
      </c>
      <c r="D620" s="226">
        <f>(D615/D612)*CC90</f>
        <v>-4529.2831979321609</v>
      </c>
      <c r="E620" s="228"/>
      <c r="F620" s="228"/>
      <c r="G620" s="226"/>
      <c r="H620" s="228"/>
      <c r="I620" s="226"/>
      <c r="J620" s="226"/>
      <c r="N620" s="222" t="s">
        <v>563</v>
      </c>
    </row>
    <row r="621" spans="1:14" s="211" customFormat="1" ht="12.65" customHeight="1" x14ac:dyDescent="0.2">
      <c r="A621" s="221">
        <v>8630</v>
      </c>
      <c r="B621" s="225" t="s">
        <v>564</v>
      </c>
      <c r="C621" s="226">
        <f>BP85</f>
        <v>457557.25</v>
      </c>
      <c r="D621" s="226">
        <f>(D615/D612)*BP90</f>
        <v>-4477.4031751859757</v>
      </c>
      <c r="E621" s="228"/>
      <c r="F621" s="228"/>
      <c r="G621" s="226"/>
      <c r="H621" s="228"/>
      <c r="I621" s="226"/>
      <c r="J621" s="226"/>
      <c r="N621" s="222" t="s">
        <v>565</v>
      </c>
    </row>
    <row r="622" spans="1:14" s="211" customFormat="1" ht="12.65" customHeight="1" x14ac:dyDescent="0.2">
      <c r="A622" s="221">
        <v>8770</v>
      </c>
      <c r="B622" s="220" t="s">
        <v>566</v>
      </c>
      <c r="C622" s="226">
        <f>CB85</f>
        <v>0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567</v>
      </c>
    </row>
    <row r="623" spans="1:14" s="211" customFormat="1" ht="12.65" customHeight="1" x14ac:dyDescent="0.2">
      <c r="A623" s="221">
        <v>8640</v>
      </c>
      <c r="B623" s="225" t="s">
        <v>568</v>
      </c>
      <c r="C623" s="226">
        <f>BQ85</f>
        <v>0</v>
      </c>
      <c r="D623" s="226">
        <f>(D615/D612)*BQ90</f>
        <v>0</v>
      </c>
      <c r="E623" s="228">
        <f>SUM(C616:D623)</f>
        <v>9395305.7202349268</v>
      </c>
      <c r="F623" s="228"/>
      <c r="G623" s="226"/>
      <c r="H623" s="228"/>
      <c r="I623" s="226"/>
      <c r="J623" s="226"/>
      <c r="N623" s="222" t="s">
        <v>569</v>
      </c>
    </row>
    <row r="624" spans="1:14" s="211" customFormat="1" ht="12.65" customHeight="1" x14ac:dyDescent="0.2">
      <c r="A624" s="221">
        <v>8420</v>
      </c>
      <c r="B624" s="225" t="s">
        <v>166</v>
      </c>
      <c r="C624" s="226">
        <f>BD85</f>
        <v>971067.47</v>
      </c>
      <c r="D624" s="226">
        <f>(D615/D612)*BD90</f>
        <v>-5348.3587085613372</v>
      </c>
      <c r="E624" s="228">
        <f>(E623/E612)*SUM(C624:D624)</f>
        <v>76335.987431822199</v>
      </c>
      <c r="F624" s="228">
        <f>SUM(C624:E624)</f>
        <v>1042055.0987232609</v>
      </c>
      <c r="G624" s="226"/>
      <c r="H624" s="228"/>
      <c r="I624" s="226"/>
      <c r="J624" s="226"/>
      <c r="N624" s="222" t="s">
        <v>570</v>
      </c>
    </row>
    <row r="625" spans="1:14" s="211" customFormat="1" ht="12.65" customHeight="1" x14ac:dyDescent="0.2">
      <c r="A625" s="221">
        <v>8320</v>
      </c>
      <c r="B625" s="225" t="s">
        <v>162</v>
      </c>
      <c r="C625" s="226">
        <f>AY85</f>
        <v>1873620.7600000005</v>
      </c>
      <c r="D625" s="226">
        <f>(D615/D612)*AY90</f>
        <v>-7923.4943830538323</v>
      </c>
      <c r="E625" s="228">
        <f>(E623/E612)*SUM(C625:D625)</f>
        <v>147475.43188750278</v>
      </c>
      <c r="F625" s="228">
        <f>(F624/F612)*AY64</f>
        <v>59459.407020233964</v>
      </c>
      <c r="G625" s="226">
        <f>SUM(C625:F625)</f>
        <v>2072632.1045246834</v>
      </c>
      <c r="H625" s="228"/>
      <c r="I625" s="226"/>
      <c r="J625" s="226"/>
      <c r="N625" s="222" t="s">
        <v>571</v>
      </c>
    </row>
    <row r="626" spans="1:14" s="211" customFormat="1" ht="12.65" customHeight="1" x14ac:dyDescent="0.2">
      <c r="A626" s="221">
        <v>8650</v>
      </c>
      <c r="B626" s="225" t="s">
        <v>179</v>
      </c>
      <c r="C626" s="226">
        <f>BR85</f>
        <v>1607561.71</v>
      </c>
      <c r="D626" s="226">
        <f>(D615/D612)*BR90</f>
        <v>-3347.0475280796845</v>
      </c>
      <c r="E626" s="228">
        <f>(E623/E612)*SUM(C626:D626)</f>
        <v>126806.34449559436</v>
      </c>
      <c r="F626" s="228">
        <f>(F624/F612)*BR64</f>
        <v>1165.3571304732702</v>
      </c>
      <c r="G626" s="226">
        <f>(G625/G612)*BR91</f>
        <v>0</v>
      </c>
      <c r="H626" s="228"/>
      <c r="I626" s="226"/>
      <c r="J626" s="226"/>
      <c r="N626" s="222" t="s">
        <v>572</v>
      </c>
    </row>
    <row r="627" spans="1:14" s="211" customFormat="1" ht="12.65" customHeight="1" x14ac:dyDescent="0.2">
      <c r="A627" s="221">
        <v>8620</v>
      </c>
      <c r="B627" s="220" t="s">
        <v>573</v>
      </c>
      <c r="C627" s="226">
        <f>BO85</f>
        <v>327435.5</v>
      </c>
      <c r="D627" s="226">
        <f>(D615/D612)*BO90</f>
        <v>-215.38070049174109</v>
      </c>
      <c r="E627" s="228">
        <f>(E623/E612)*SUM(C627:D627)</f>
        <v>25865.35838654275</v>
      </c>
      <c r="F627" s="228">
        <f>(F624/F612)*BO64</f>
        <v>3181.1550752473004</v>
      </c>
      <c r="G627" s="226">
        <f>(G625/G612)*BO91</f>
        <v>0</v>
      </c>
      <c r="H627" s="228"/>
      <c r="I627" s="226"/>
      <c r="J627" s="226"/>
      <c r="N627" s="222" t="s">
        <v>574</v>
      </c>
    </row>
    <row r="628" spans="1:14" s="211" customFormat="1" ht="12.65" customHeight="1" x14ac:dyDescent="0.2">
      <c r="A628" s="221">
        <v>8330</v>
      </c>
      <c r="B628" s="225" t="s">
        <v>163</v>
      </c>
      <c r="C628" s="226">
        <f>AZ85</f>
        <v>0</v>
      </c>
      <c r="D628" s="226">
        <f>(D615/D612)*AZ90</f>
        <v>0</v>
      </c>
      <c r="E628" s="228">
        <f>(E623/E612)*SUM(C628:D628)</f>
        <v>0</v>
      </c>
      <c r="F628" s="228">
        <f>(F624/F612)*AZ64</f>
        <v>0</v>
      </c>
      <c r="G628" s="226">
        <f>(G625/G612)*AZ91</f>
        <v>0</v>
      </c>
      <c r="H628" s="228">
        <f>SUM(C626:G628)</f>
        <v>2088452.996859286</v>
      </c>
      <c r="I628" s="226"/>
      <c r="J628" s="226"/>
      <c r="N628" s="222" t="s">
        <v>575</v>
      </c>
    </row>
    <row r="629" spans="1:14" s="211" customFormat="1" ht="12.65" customHeight="1" x14ac:dyDescent="0.2">
      <c r="A629" s="221">
        <v>8460</v>
      </c>
      <c r="B629" s="225" t="s">
        <v>168</v>
      </c>
      <c r="C629" s="226">
        <f>BF85</f>
        <v>2905389.3100000005</v>
      </c>
      <c r="D629" s="226">
        <f>(D615/D612)*BF90</f>
        <v>-3169.3977532215331</v>
      </c>
      <c r="E629" s="228">
        <f>(E623/E612)*SUM(C629:D629)</f>
        <v>229408.13757883254</v>
      </c>
      <c r="F629" s="228">
        <f>(F624/F612)*BF64</f>
        <v>12525.562455469582</v>
      </c>
      <c r="G629" s="226">
        <f>(G625/G612)*BF91</f>
        <v>0</v>
      </c>
      <c r="H629" s="228">
        <f>(H628/H612)*BF60</f>
        <v>123238.53221614023</v>
      </c>
      <c r="I629" s="226">
        <f>SUM(C629:H629)</f>
        <v>3267392.1444972213</v>
      </c>
      <c r="J629" s="226"/>
      <c r="N629" s="222" t="s">
        <v>576</v>
      </c>
    </row>
    <row r="630" spans="1:14" s="211" customFormat="1" ht="12.65" customHeight="1" x14ac:dyDescent="0.2">
      <c r="A630" s="221">
        <v>8350</v>
      </c>
      <c r="B630" s="225" t="s">
        <v>577</v>
      </c>
      <c r="C630" s="226">
        <f>BA85</f>
        <v>402799.11</v>
      </c>
      <c r="D630" s="226">
        <f>(D615/D612)*BA90</f>
        <v>-2296.8700979447717</v>
      </c>
      <c r="E630" s="228">
        <f>(E623/E612)*SUM(C630:D630)</f>
        <v>31657.998266903476</v>
      </c>
      <c r="F630" s="228">
        <f>(F624/F612)*BA64</f>
        <v>5011.7453194054642</v>
      </c>
      <c r="G630" s="226">
        <f>(G625/G612)*BA91</f>
        <v>0</v>
      </c>
      <c r="H630" s="228">
        <f>(H628/H612)*BA60</f>
        <v>3923.4240027624628</v>
      </c>
      <c r="I630" s="226" t="e">
        <f>(I629/I612)*BA92</f>
        <v>#DIV/0!</v>
      </c>
      <c r="J630" s="226" t="e">
        <f>SUM(C630:I630)</f>
        <v>#DIV/0!</v>
      </c>
      <c r="N630" s="222" t="s">
        <v>578</v>
      </c>
    </row>
    <row r="631" spans="1:14" s="211" customFormat="1" ht="12.65" customHeight="1" x14ac:dyDescent="0.2">
      <c r="A631" s="221">
        <v>8200</v>
      </c>
      <c r="B631" s="225" t="s">
        <v>579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 t="e">
        <f>(I629/I612)*AW92</f>
        <v>#DIV/0!</v>
      </c>
      <c r="J631" s="226" t="e">
        <f>(J630/J612)*AW93</f>
        <v>#DIV/0!</v>
      </c>
      <c r="N631" s="222" t="s">
        <v>580</v>
      </c>
    </row>
    <row r="632" spans="1:14" s="211" customFormat="1" ht="12.65" customHeight="1" x14ac:dyDescent="0.2">
      <c r="A632" s="221">
        <v>8360</v>
      </c>
      <c r="B632" s="225" t="s">
        <v>581</v>
      </c>
      <c r="C632" s="226">
        <f>BB85</f>
        <v>0</v>
      </c>
      <c r="D632" s="226">
        <f>(D615/D612)*BB90</f>
        <v>0</v>
      </c>
      <c r="E632" s="228">
        <f>(E623/E612)*SUM(C632:D632)</f>
        <v>0</v>
      </c>
      <c r="F632" s="228">
        <f>(F624/F612)*BB64</f>
        <v>0</v>
      </c>
      <c r="G632" s="226">
        <f>(G625/G612)*BB91</f>
        <v>0</v>
      </c>
      <c r="H632" s="228">
        <f>(H628/H612)*BB60</f>
        <v>0</v>
      </c>
      <c r="I632" s="226" t="e">
        <f>(I629/I612)*BB92</f>
        <v>#DIV/0!</v>
      </c>
      <c r="J632" s="226" t="e">
        <f>(J630/J612)*BB93</f>
        <v>#DIV/0!</v>
      </c>
      <c r="N632" s="222" t="s">
        <v>582</v>
      </c>
    </row>
    <row r="633" spans="1:14" s="211" customFormat="1" ht="12.65" customHeight="1" x14ac:dyDescent="0.2">
      <c r="A633" s="221">
        <v>8370</v>
      </c>
      <c r="B633" s="225" t="s">
        <v>583</v>
      </c>
      <c r="C633" s="226">
        <f>BC85</f>
        <v>0</v>
      </c>
      <c r="D633" s="226">
        <f>(D615/D612)*BC90</f>
        <v>0</v>
      </c>
      <c r="E633" s="228">
        <f>(E623/E612)*SUM(C633:D633)</f>
        <v>0</v>
      </c>
      <c r="F633" s="228">
        <f>(F624/F612)*BC64</f>
        <v>0</v>
      </c>
      <c r="G633" s="226">
        <f>(G625/G612)*BC91</f>
        <v>0</v>
      </c>
      <c r="H633" s="228">
        <f>(H628/H612)*BC60</f>
        <v>0</v>
      </c>
      <c r="I633" s="226" t="e">
        <f>(I629/I612)*BC92</f>
        <v>#DIV/0!</v>
      </c>
      <c r="J633" s="226" t="e">
        <f>(J630/J612)*BC93</f>
        <v>#DIV/0!</v>
      </c>
      <c r="N633" s="222" t="s">
        <v>584</v>
      </c>
    </row>
    <row r="634" spans="1:14" s="211" customFormat="1" ht="12.65" customHeight="1" x14ac:dyDescent="0.2">
      <c r="A634" s="221">
        <v>8490</v>
      </c>
      <c r="B634" s="225" t="s">
        <v>585</v>
      </c>
      <c r="C634" s="226">
        <f>BI85</f>
        <v>0</v>
      </c>
      <c r="D634" s="226">
        <f>(D615/D612)*BI90</f>
        <v>0</v>
      </c>
      <c r="E634" s="228">
        <f>(E623/E612)*SUM(C634:D634)</f>
        <v>0</v>
      </c>
      <c r="F634" s="228">
        <f>(F624/F612)*BI64</f>
        <v>0</v>
      </c>
      <c r="G634" s="226">
        <f>(G625/G612)*BI91</f>
        <v>0</v>
      </c>
      <c r="H634" s="228">
        <f>(H628/H612)*BI60</f>
        <v>0</v>
      </c>
      <c r="I634" s="226" t="e">
        <f>(I629/I612)*BI92</f>
        <v>#DIV/0!</v>
      </c>
      <c r="J634" s="226" t="e">
        <f>(J630/J612)*BI93</f>
        <v>#DIV/0!</v>
      </c>
      <c r="N634" s="222" t="s">
        <v>586</v>
      </c>
    </row>
    <row r="635" spans="1:14" s="211" customFormat="1" ht="12.65" customHeight="1" x14ac:dyDescent="0.2">
      <c r="A635" s="221">
        <v>8530</v>
      </c>
      <c r="B635" s="225" t="s">
        <v>587</v>
      </c>
      <c r="C635" s="226">
        <f>BK85</f>
        <v>2622068.1100000003</v>
      </c>
      <c r="D635" s="226">
        <f>(D615/D612)*BK90</f>
        <v>-4601.6008053965415</v>
      </c>
      <c r="E635" s="228">
        <f>(E623/E612)*SUM(C635:D635)</f>
        <v>206899.59245178101</v>
      </c>
      <c r="F635" s="228">
        <f>(F624/F612)*BK64</f>
        <v>1270.7146413254893</v>
      </c>
      <c r="G635" s="226">
        <f>(G625/G612)*BK91</f>
        <v>0</v>
      </c>
      <c r="H635" s="228">
        <f>(H628/H612)*BK60</f>
        <v>91259.135949908159</v>
      </c>
      <c r="I635" s="226" t="e">
        <f>(I629/I612)*BK92</f>
        <v>#DIV/0!</v>
      </c>
      <c r="J635" s="226" t="e">
        <f>(J630/J612)*BK93</f>
        <v>#DIV/0!</v>
      </c>
      <c r="N635" s="222" t="s">
        <v>588</v>
      </c>
    </row>
    <row r="636" spans="1:14" s="211" customFormat="1" ht="12.65" customHeight="1" x14ac:dyDescent="0.2">
      <c r="A636" s="221">
        <v>8480</v>
      </c>
      <c r="B636" s="225" t="s">
        <v>589</v>
      </c>
      <c r="C636" s="226">
        <f>BH85</f>
        <v>12106910.67</v>
      </c>
      <c r="D636" s="226">
        <f>(D615/D612)*BH90</f>
        <v>-13364.608283797745</v>
      </c>
      <c r="E636" s="228">
        <f>(E623/E612)*SUM(C636:D636)</f>
        <v>955943.36839703703</v>
      </c>
      <c r="F636" s="228">
        <f>(F624/F612)*BH64</f>
        <v>35013.982305049125</v>
      </c>
      <c r="G636" s="226">
        <f>(G625/G612)*BH91</f>
        <v>0</v>
      </c>
      <c r="H636" s="228">
        <f>(H628/H612)*BH60</f>
        <v>0</v>
      </c>
      <c r="I636" s="226" t="e">
        <f>(I629/I612)*BH92</f>
        <v>#DIV/0!</v>
      </c>
      <c r="J636" s="226" t="e">
        <f>(J630/J612)*BH93</f>
        <v>#DIV/0!</v>
      </c>
      <c r="N636" s="222" t="s">
        <v>590</v>
      </c>
    </row>
    <row r="637" spans="1:14" s="211" customFormat="1" ht="12.65" customHeight="1" x14ac:dyDescent="0.2">
      <c r="A637" s="221">
        <v>8560</v>
      </c>
      <c r="B637" s="225" t="s">
        <v>174</v>
      </c>
      <c r="C637" s="226">
        <f>BL85</f>
        <v>1966038.59</v>
      </c>
      <c r="D637" s="226">
        <f>(D615/D612)*BL90</f>
        <v>-5807.4183037700113</v>
      </c>
      <c r="E637" s="228">
        <f>(E623/E612)*SUM(C637:D637)</f>
        <v>154947.93500147655</v>
      </c>
      <c r="F637" s="228">
        <f>(F624/F612)*BL64</f>
        <v>1015.8056061801162</v>
      </c>
      <c r="G637" s="226">
        <f>(G625/G612)*BL91</f>
        <v>0</v>
      </c>
      <c r="H637" s="228">
        <f>(H628/H612)*BL60</f>
        <v>99360.832904434501</v>
      </c>
      <c r="I637" s="226" t="e">
        <f>(I629/I612)*BL92</f>
        <v>#DIV/0!</v>
      </c>
      <c r="J637" s="226" t="e">
        <f>(J630/J612)*BL93</f>
        <v>#DIV/0!</v>
      </c>
      <c r="N637" s="222" t="s">
        <v>591</v>
      </c>
    </row>
    <row r="638" spans="1:14" s="211" customFormat="1" ht="12.65" customHeight="1" x14ac:dyDescent="0.2">
      <c r="A638" s="221">
        <v>8590</v>
      </c>
      <c r="B638" s="225" t="s">
        <v>592</v>
      </c>
      <c r="C638" s="226">
        <f>BM85</f>
        <v>0</v>
      </c>
      <c r="D638" s="226">
        <f>(D615/D612)*BM90</f>
        <v>0</v>
      </c>
      <c r="E638" s="228">
        <f>(E623/E612)*SUM(C638:D638)</f>
        <v>0</v>
      </c>
      <c r="F638" s="228">
        <f>(F624/F612)*BM64</f>
        <v>0</v>
      </c>
      <c r="G638" s="226">
        <f>(G625/G612)*BM91</f>
        <v>0</v>
      </c>
      <c r="H638" s="228">
        <f>(H628/H612)*BM60</f>
        <v>0</v>
      </c>
      <c r="I638" s="226" t="e">
        <f>(I629/I612)*BM92</f>
        <v>#DIV/0!</v>
      </c>
      <c r="J638" s="226" t="e">
        <f>(J630/J612)*BM93</f>
        <v>#DIV/0!</v>
      </c>
      <c r="N638" s="222" t="s">
        <v>593</v>
      </c>
    </row>
    <row r="639" spans="1:14" s="211" customFormat="1" ht="12.65" customHeight="1" x14ac:dyDescent="0.2">
      <c r="A639" s="221">
        <v>8660</v>
      </c>
      <c r="B639" s="225" t="s">
        <v>594</v>
      </c>
      <c r="C639" s="226">
        <f>BS85</f>
        <v>0</v>
      </c>
      <c r="D639" s="226">
        <f>(D615/D612)*BS90</f>
        <v>0</v>
      </c>
      <c r="E639" s="228">
        <f>(E623/E612)*SUM(C639:D639)</f>
        <v>0</v>
      </c>
      <c r="F639" s="228">
        <f>(F624/F612)*BS64</f>
        <v>0</v>
      </c>
      <c r="G639" s="226">
        <f>(G625/G612)*BS91</f>
        <v>0</v>
      </c>
      <c r="H639" s="228">
        <f>(H628/H612)*BS60</f>
        <v>0</v>
      </c>
      <c r="I639" s="226" t="e">
        <f>(I629/I612)*BS92</f>
        <v>#DIV/0!</v>
      </c>
      <c r="J639" s="226" t="e">
        <f>(J630/J612)*BS93</f>
        <v>#DIV/0!</v>
      </c>
      <c r="N639" s="222" t="s">
        <v>595</v>
      </c>
    </row>
    <row r="640" spans="1:14" s="211" customFormat="1" ht="12.65" customHeight="1" x14ac:dyDescent="0.2">
      <c r="A640" s="221">
        <v>8670</v>
      </c>
      <c r="B640" s="225" t="s">
        <v>596</v>
      </c>
      <c r="C640" s="226">
        <f>BT85</f>
        <v>0</v>
      </c>
      <c r="D640" s="226">
        <f>(D615/D612)*BT90</f>
        <v>0</v>
      </c>
      <c r="E640" s="228">
        <f>(E623/E612)*SUM(C640:D640)</f>
        <v>0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 t="e">
        <f>(I629/I612)*BT92</f>
        <v>#DIV/0!</v>
      </c>
      <c r="J640" s="226" t="e">
        <f>(J630/J612)*BT93</f>
        <v>#DIV/0!</v>
      </c>
      <c r="N640" s="222" t="s">
        <v>597</v>
      </c>
    </row>
    <row r="641" spans="1:14" s="211" customFormat="1" ht="12.65" customHeight="1" x14ac:dyDescent="0.2">
      <c r="A641" s="221">
        <v>8680</v>
      </c>
      <c r="B641" s="225" t="s">
        <v>598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 t="e">
        <f>(I629/I612)*BU92</f>
        <v>#DIV/0!</v>
      </c>
      <c r="J641" s="226" t="e">
        <f>(J630/J612)*BU93</f>
        <v>#DIV/0!</v>
      </c>
      <c r="N641" s="222" t="s">
        <v>599</v>
      </c>
    </row>
    <row r="642" spans="1:14" s="211" customFormat="1" ht="12.65" customHeight="1" x14ac:dyDescent="0.2">
      <c r="A642" s="221">
        <v>8690</v>
      </c>
      <c r="B642" s="225" t="s">
        <v>600</v>
      </c>
      <c r="C642" s="226">
        <f>BV85</f>
        <v>2345189.02</v>
      </c>
      <c r="D642" s="226">
        <f>(D615/D612)*BV90</f>
        <v>-7146.8661637624455</v>
      </c>
      <c r="E642" s="228">
        <f>(E623/E612)*SUM(C642:D642)</f>
        <v>184812.28587434685</v>
      </c>
      <c r="F642" s="228">
        <f>(F624/F612)*BV64</f>
        <v>423.03267808273296</v>
      </c>
      <c r="G642" s="226">
        <f>(G625/G612)*BV91</f>
        <v>0</v>
      </c>
      <c r="H642" s="228">
        <f>(H628/H612)*BV60</f>
        <v>90222.917472672169</v>
      </c>
      <c r="I642" s="226" t="e">
        <f>(I629/I612)*BV92</f>
        <v>#DIV/0!</v>
      </c>
      <c r="J642" s="226" t="e">
        <f>(J630/J612)*BV93</f>
        <v>#DIV/0!</v>
      </c>
      <c r="N642" s="222" t="s">
        <v>601</v>
      </c>
    </row>
    <row r="643" spans="1:14" s="211" customFormat="1" ht="12.65" customHeight="1" x14ac:dyDescent="0.2">
      <c r="A643" s="221">
        <v>8700</v>
      </c>
      <c r="B643" s="225" t="s">
        <v>602</v>
      </c>
      <c r="C643" s="226">
        <f>BW85</f>
        <v>358521.39</v>
      </c>
      <c r="D643" s="226">
        <f>(D615/D612)*BW90</f>
        <v>-1606.7085832303605</v>
      </c>
      <c r="E643" s="228">
        <f>(E623/E612)*SUM(C643:D643)</f>
        <v>28212.587196735214</v>
      </c>
      <c r="F643" s="228">
        <f>(F624/F612)*BW64</f>
        <v>150.6860834519785</v>
      </c>
      <c r="G643" s="226">
        <f>(G625/G612)*BW91</f>
        <v>0</v>
      </c>
      <c r="H643" s="228">
        <f>(H628/H612)*BW60</f>
        <v>7916.074834685829</v>
      </c>
      <c r="I643" s="226" t="e">
        <f>(I629/I612)*BW92</f>
        <v>#DIV/0!</v>
      </c>
      <c r="J643" s="226" t="e">
        <f>(J630/J612)*BW93</f>
        <v>#DIV/0!</v>
      </c>
      <c r="N643" s="222" t="s">
        <v>603</v>
      </c>
    </row>
    <row r="644" spans="1:14" s="211" customFormat="1" ht="12.65" customHeight="1" x14ac:dyDescent="0.2">
      <c r="A644" s="221">
        <v>8710</v>
      </c>
      <c r="B644" s="225" t="s">
        <v>604</v>
      </c>
      <c r="C644" s="226">
        <f>BX85</f>
        <v>0</v>
      </c>
      <c r="D644" s="226">
        <f>(D615/D612)*BX90</f>
        <v>0</v>
      </c>
      <c r="E644" s="228">
        <f>(E623/E612)*SUM(C644:D644)</f>
        <v>0</v>
      </c>
      <c r="F644" s="228">
        <f>(F624/F612)*BX64</f>
        <v>0</v>
      </c>
      <c r="G644" s="226">
        <f>(G625/G612)*BX91</f>
        <v>0</v>
      </c>
      <c r="H644" s="228">
        <f>(H628/H612)*BX60</f>
        <v>0</v>
      </c>
      <c r="I644" s="226" t="e">
        <f>(I629/I612)*BX92</f>
        <v>#DIV/0!</v>
      </c>
      <c r="J644" s="226" t="e">
        <f>(J630/J612)*BX93</f>
        <v>#DIV/0!</v>
      </c>
      <c r="K644" s="228" t="e">
        <f>SUM(C631:J644)</f>
        <v>#DIV/0!</v>
      </c>
      <c r="L644" s="228"/>
      <c r="N644" s="222" t="s">
        <v>605</v>
      </c>
    </row>
    <row r="645" spans="1:14" s="211" customFormat="1" ht="12.65" customHeight="1" x14ac:dyDescent="0.2">
      <c r="A645" s="221">
        <v>8720</v>
      </c>
      <c r="B645" s="225" t="s">
        <v>606</v>
      </c>
      <c r="C645" s="226">
        <f>BY85</f>
        <v>2552279.1599999997</v>
      </c>
      <c r="D645" s="226">
        <f>(D615/D612)*BY90</f>
        <v>-1446.3521492876043</v>
      </c>
      <c r="E645" s="228">
        <f>(E623/E612)*SUM(C645:D645)</f>
        <v>201632.48183043173</v>
      </c>
      <c r="F645" s="228">
        <f>(F624/F612)*BY64</f>
        <v>316.25696828198329</v>
      </c>
      <c r="G645" s="226">
        <f>(G625/G612)*BY91</f>
        <v>0</v>
      </c>
      <c r="H645" s="228">
        <f>(H628/H612)*BY60</f>
        <v>52201.519947147695</v>
      </c>
      <c r="I645" s="226" t="e">
        <f>(I629/I612)*BY92</f>
        <v>#DIV/0!</v>
      </c>
      <c r="J645" s="226" t="e">
        <f>(J630/J612)*BY93</f>
        <v>#DIV/0!</v>
      </c>
      <c r="K645" s="228">
        <v>0</v>
      </c>
      <c r="L645" s="228"/>
      <c r="N645" s="222" t="s">
        <v>607</v>
      </c>
    </row>
    <row r="646" spans="1:14" s="211" customFormat="1" ht="12.65" customHeight="1" x14ac:dyDescent="0.2">
      <c r="A646" s="221">
        <v>8730</v>
      </c>
      <c r="B646" s="225" t="s">
        <v>608</v>
      </c>
      <c r="C646" s="226">
        <f>BZ85</f>
        <v>0</v>
      </c>
      <c r="D646" s="226">
        <f>(D615/D612)*BZ90</f>
        <v>0</v>
      </c>
      <c r="E646" s="228">
        <f>(E623/E612)*SUM(C646:D646)</f>
        <v>0</v>
      </c>
      <c r="F646" s="228">
        <f>(F624/F612)*BZ64</f>
        <v>0</v>
      </c>
      <c r="G646" s="226">
        <f>(G625/G612)*BZ91</f>
        <v>0</v>
      </c>
      <c r="H646" s="228">
        <f>(H628/H612)*BZ60</f>
        <v>0</v>
      </c>
      <c r="I646" s="226" t="e">
        <f>(I629/I612)*BZ92</f>
        <v>#DIV/0!</v>
      </c>
      <c r="J646" s="226" t="e">
        <f>(J630/J612)*BZ93</f>
        <v>#DIV/0!</v>
      </c>
      <c r="K646" s="228">
        <v>0</v>
      </c>
      <c r="L646" s="228"/>
      <c r="N646" s="222" t="s">
        <v>609</v>
      </c>
    </row>
    <row r="647" spans="1:14" s="211" customFormat="1" ht="12.65" customHeight="1" x14ac:dyDescent="0.2">
      <c r="A647" s="221">
        <v>8740</v>
      </c>
      <c r="B647" s="225" t="s">
        <v>610</v>
      </c>
      <c r="C647" s="226">
        <f>CA85</f>
        <v>239963.35</v>
      </c>
      <c r="D647" s="226">
        <f>(D615/D612)*CA90</f>
        <v>-1644.4395088639501</v>
      </c>
      <c r="E647" s="228">
        <f>(E623/E612)*SUM(C647:D647)</f>
        <v>18838.096029484885</v>
      </c>
      <c r="F647" s="228">
        <f>(F624/F612)*CA64</f>
        <v>303.52321841259038</v>
      </c>
      <c r="G647" s="226">
        <f>(G625/G612)*CA91</f>
        <v>0</v>
      </c>
      <c r="H647" s="228">
        <f>(H628/H612)*CA60</f>
        <v>4160.9475836792917</v>
      </c>
      <c r="I647" s="226" t="e">
        <f>(I629/I612)*CA92</f>
        <v>#DIV/0!</v>
      </c>
      <c r="J647" s="226" t="e">
        <f>(J630/J612)*CA93</f>
        <v>#DIV/0!</v>
      </c>
      <c r="K647" s="228">
        <v>0</v>
      </c>
      <c r="L647" s="228" t="e">
        <f>SUM(C645:K647)</f>
        <v>#DIV/0!</v>
      </c>
      <c r="N647" s="222" t="s">
        <v>611</v>
      </c>
    </row>
    <row r="648" spans="1:14" s="211" customFormat="1" ht="12.65" customHeight="1" x14ac:dyDescent="0.2">
      <c r="A648" s="221"/>
      <c r="B648" s="221"/>
      <c r="C648" s="211">
        <f>SUM(C614:C647)</f>
        <v>39386783.280000009</v>
      </c>
      <c r="L648" s="224"/>
    </row>
    <row r="666" spans="1:14" s="211" customFormat="1" ht="12.65" customHeight="1" x14ac:dyDescent="0.2">
      <c r="C666" s="219" t="s">
        <v>612</v>
      </c>
      <c r="M666" s="219" t="s">
        <v>613</v>
      </c>
    </row>
    <row r="667" spans="1:14" s="211" customFormat="1" ht="12.65" customHeight="1" x14ac:dyDescent="0.2">
      <c r="C667" s="219" t="s">
        <v>542</v>
      </c>
      <c r="D667" s="219" t="s">
        <v>543</v>
      </c>
      <c r="E667" s="220" t="s">
        <v>544</v>
      </c>
      <c r="F667" s="219" t="s">
        <v>545</v>
      </c>
      <c r="G667" s="219" t="s">
        <v>546</v>
      </c>
      <c r="H667" s="219" t="s">
        <v>547</v>
      </c>
      <c r="I667" s="219" t="s">
        <v>548</v>
      </c>
      <c r="J667" s="219" t="s">
        <v>549</v>
      </c>
      <c r="K667" s="219" t="s">
        <v>550</v>
      </c>
      <c r="L667" s="220" t="s">
        <v>551</v>
      </c>
      <c r="M667" s="219" t="s">
        <v>614</v>
      </c>
    </row>
    <row r="668" spans="1:14" s="211" customFormat="1" ht="12.65" customHeight="1" x14ac:dyDescent="0.2">
      <c r="A668" s="221">
        <v>6010</v>
      </c>
      <c r="B668" s="220" t="s">
        <v>341</v>
      </c>
      <c r="C668" s="226">
        <f>C85</f>
        <v>3829377.5799999996</v>
      </c>
      <c r="D668" s="226">
        <f>(D615/D612)*C90</f>
        <v>-10247.090553322398</v>
      </c>
      <c r="E668" s="228">
        <f>(E623/E612)*SUM(C668:D668)</f>
        <v>301886.01802963519</v>
      </c>
      <c r="F668" s="228">
        <f>(F624/F612)*C64</f>
        <v>15931.51952956328</v>
      </c>
      <c r="G668" s="226">
        <f>(G625/G612)*C91</f>
        <v>337559.53042878996</v>
      </c>
      <c r="H668" s="228">
        <f>(H628/H612)*C60</f>
        <v>82585.183286665502</v>
      </c>
      <c r="I668" s="226" t="e">
        <f>(I629/I612)*C92</f>
        <v>#DIV/0!</v>
      </c>
      <c r="J668" s="226" t="e">
        <f>(J630/J612)*C93</f>
        <v>#DIV/0!</v>
      </c>
      <c r="K668" s="226" t="e">
        <f>(K644/K612)*C89</f>
        <v>#DIV/0!</v>
      </c>
      <c r="L668" s="226" t="e">
        <f>(L647/L612)*C94</f>
        <v>#DIV/0!</v>
      </c>
      <c r="M668" s="211" t="e">
        <f t="shared" ref="M668:M713" si="24">ROUND(SUM(D668:L668),0)</f>
        <v>#DIV/0!</v>
      </c>
      <c r="N668" s="220" t="s">
        <v>615</v>
      </c>
    </row>
    <row r="669" spans="1:14" s="211" customFormat="1" ht="12.65" customHeight="1" x14ac:dyDescent="0.2">
      <c r="A669" s="221">
        <v>6030</v>
      </c>
      <c r="B669" s="220" t="s">
        <v>342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>
        <f>(H628/H612)*D60</f>
        <v>0</v>
      </c>
      <c r="I669" s="226" t="e">
        <f>(I629/I612)*D92</f>
        <v>#DIV/0!</v>
      </c>
      <c r="J669" s="226" t="e">
        <f>(J630/J612)*D93</f>
        <v>#DIV/0!</v>
      </c>
      <c r="K669" s="226" t="e">
        <f>(K644/K612)*D89</f>
        <v>#DIV/0!</v>
      </c>
      <c r="L669" s="226" t="e">
        <f>(L647/L612)*D94</f>
        <v>#DIV/0!</v>
      </c>
      <c r="M669" s="211" t="e">
        <f t="shared" si="24"/>
        <v>#DIV/0!</v>
      </c>
      <c r="N669" s="220" t="s">
        <v>616</v>
      </c>
    </row>
    <row r="670" spans="1:14" s="211" customFormat="1" ht="12.65" customHeight="1" x14ac:dyDescent="0.2">
      <c r="A670" s="221">
        <v>6070</v>
      </c>
      <c r="B670" s="220" t="s">
        <v>617</v>
      </c>
      <c r="C670" s="226">
        <f>E85</f>
        <v>9126983.6300000008</v>
      </c>
      <c r="D670" s="226">
        <f>(D615/D612)*E90</f>
        <v>-30033.816804337384</v>
      </c>
      <c r="E670" s="228">
        <f>(E623/E612)*SUM(C670:D670)</f>
        <v>719075.18292703142</v>
      </c>
      <c r="F670" s="228">
        <f>(F624/F612)*E64</f>
        <v>16867.181525507636</v>
      </c>
      <c r="G670" s="226">
        <f>(G625/G612)*E91</f>
        <v>1650164.3261164159</v>
      </c>
      <c r="H670" s="228">
        <f>(H628/H612)*E60</f>
        <v>177290.96540084635</v>
      </c>
      <c r="I670" s="226" t="e">
        <f>(I629/I612)*E92</f>
        <v>#DIV/0!</v>
      </c>
      <c r="J670" s="226" t="e">
        <f>(J630/J612)*E93</f>
        <v>#DIV/0!</v>
      </c>
      <c r="K670" s="226" t="e">
        <f>(K644/K612)*E89</f>
        <v>#DIV/0!</v>
      </c>
      <c r="L670" s="226" t="e">
        <f>(L647/L612)*E94</f>
        <v>#DIV/0!</v>
      </c>
      <c r="M670" s="211" t="e">
        <f t="shared" si="24"/>
        <v>#DIV/0!</v>
      </c>
      <c r="N670" s="220" t="s">
        <v>618</v>
      </c>
    </row>
    <row r="671" spans="1:14" s="211" customFormat="1" ht="12.65" customHeight="1" x14ac:dyDescent="0.2">
      <c r="A671" s="221">
        <v>6100</v>
      </c>
      <c r="B671" s="220" t="s">
        <v>619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>
        <f>(H628/H612)*F60</f>
        <v>0</v>
      </c>
      <c r="I671" s="226" t="e">
        <f>(I629/I612)*F92</f>
        <v>#DIV/0!</v>
      </c>
      <c r="J671" s="226" t="e">
        <f>(J630/J612)*F93</f>
        <v>#DIV/0!</v>
      </c>
      <c r="K671" s="226" t="e">
        <f>(K644/K612)*F89</f>
        <v>#DIV/0!</v>
      </c>
      <c r="L671" s="226" t="e">
        <f>(L647/L612)*F94</f>
        <v>#DIV/0!</v>
      </c>
      <c r="M671" s="211" t="e">
        <f t="shared" si="24"/>
        <v>#DIV/0!</v>
      </c>
      <c r="N671" s="220" t="s">
        <v>620</v>
      </c>
    </row>
    <row r="672" spans="1:14" s="211" customFormat="1" ht="12.65" customHeight="1" x14ac:dyDescent="0.2">
      <c r="A672" s="221">
        <v>6120</v>
      </c>
      <c r="B672" s="220" t="s">
        <v>621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 t="e">
        <f>(I629/I612)*G92</f>
        <v>#DIV/0!</v>
      </c>
      <c r="J672" s="226" t="e">
        <f>(J630/J612)*G93</f>
        <v>#DIV/0!</v>
      </c>
      <c r="K672" s="226" t="e">
        <f>(K644/K612)*G89</f>
        <v>#DIV/0!</v>
      </c>
      <c r="L672" s="226" t="e">
        <f>(L647/L612)*G94</f>
        <v>#DIV/0!</v>
      </c>
      <c r="M672" s="211" t="e">
        <f t="shared" si="24"/>
        <v>#DIV/0!</v>
      </c>
      <c r="N672" s="220" t="s">
        <v>622</v>
      </c>
    </row>
    <row r="673" spans="1:14" s="211" customFormat="1" ht="12.65" customHeight="1" x14ac:dyDescent="0.2">
      <c r="A673" s="221">
        <v>6140</v>
      </c>
      <c r="B673" s="220" t="s">
        <v>623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 t="e">
        <f>(I629/I612)*H92</f>
        <v>#DIV/0!</v>
      </c>
      <c r="J673" s="226" t="e">
        <f>(J630/J612)*H93</f>
        <v>#DIV/0!</v>
      </c>
      <c r="K673" s="226" t="e">
        <f>(K644/K612)*H89</f>
        <v>#DIV/0!</v>
      </c>
      <c r="L673" s="226" t="e">
        <f>(L647/L612)*H94</f>
        <v>#DIV/0!</v>
      </c>
      <c r="M673" s="211" t="e">
        <f t="shared" si="24"/>
        <v>#DIV/0!</v>
      </c>
      <c r="N673" s="220" t="s">
        <v>624</v>
      </c>
    </row>
    <row r="674" spans="1:14" s="211" customFormat="1" ht="12.65" customHeight="1" x14ac:dyDescent="0.2">
      <c r="A674" s="221">
        <v>6150</v>
      </c>
      <c r="B674" s="220" t="s">
        <v>625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 t="e">
        <f>(I629/I612)*I92</f>
        <v>#DIV/0!</v>
      </c>
      <c r="J674" s="226" t="e">
        <f>(J630/J612)*I93</f>
        <v>#DIV/0!</v>
      </c>
      <c r="K674" s="226" t="e">
        <f>(K644/K612)*I89</f>
        <v>#DIV/0!</v>
      </c>
      <c r="L674" s="226" t="e">
        <f>(L647/L612)*I94</f>
        <v>#DIV/0!</v>
      </c>
      <c r="M674" s="211" t="e">
        <f t="shared" si="24"/>
        <v>#DIV/0!</v>
      </c>
      <c r="N674" s="220" t="s">
        <v>626</v>
      </c>
    </row>
    <row r="675" spans="1:14" s="211" customFormat="1" ht="12.65" customHeight="1" x14ac:dyDescent="0.2">
      <c r="A675" s="221">
        <v>6170</v>
      </c>
      <c r="B675" s="220" t="s">
        <v>125</v>
      </c>
      <c r="C675" s="226">
        <f>J85</f>
        <v>46131.409999999996</v>
      </c>
      <c r="D675" s="226">
        <f>(D615/D612)*J90</f>
        <v>-757.76275647459272</v>
      </c>
      <c r="E675" s="228">
        <f>(E623/E612)*SUM(C675:D675)</f>
        <v>3586.5937882142803</v>
      </c>
      <c r="F675" s="228">
        <f>(F624/F612)*J64</f>
        <v>1936.9432887550413</v>
      </c>
      <c r="G675" s="226">
        <f>(G625/G612)*J91</f>
        <v>0</v>
      </c>
      <c r="H675" s="228">
        <f>(H628/H612)*J60</f>
        <v>0</v>
      </c>
      <c r="I675" s="226" t="e">
        <f>(I629/I612)*J92</f>
        <v>#DIV/0!</v>
      </c>
      <c r="J675" s="226" t="e">
        <f>(J630/J612)*J93</f>
        <v>#DIV/0!</v>
      </c>
      <c r="K675" s="226" t="e">
        <f>(K644/K612)*J89</f>
        <v>#DIV/0!</v>
      </c>
      <c r="L675" s="226" t="e">
        <f>(L647/L612)*J94</f>
        <v>#DIV/0!</v>
      </c>
      <c r="M675" s="211" t="e">
        <f t="shared" si="24"/>
        <v>#DIV/0!</v>
      </c>
      <c r="N675" s="220" t="s">
        <v>627</v>
      </c>
    </row>
    <row r="676" spans="1:14" s="211" customFormat="1" ht="12.65" customHeight="1" x14ac:dyDescent="0.2">
      <c r="A676" s="221">
        <v>6200</v>
      </c>
      <c r="B676" s="220" t="s">
        <v>347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 t="e">
        <f>(I629/I612)*K92</f>
        <v>#DIV/0!</v>
      </c>
      <c r="J676" s="226" t="e">
        <f>(J630/J612)*K93</f>
        <v>#DIV/0!</v>
      </c>
      <c r="K676" s="226" t="e">
        <f>(K644/K612)*K89</f>
        <v>#DIV/0!</v>
      </c>
      <c r="L676" s="226" t="e">
        <f>(L647/L612)*K94</f>
        <v>#DIV/0!</v>
      </c>
      <c r="M676" s="211" t="e">
        <f t="shared" si="24"/>
        <v>#DIV/0!</v>
      </c>
      <c r="N676" s="220" t="s">
        <v>628</v>
      </c>
    </row>
    <row r="677" spans="1:14" s="211" customFormat="1" ht="12.65" customHeight="1" x14ac:dyDescent="0.2">
      <c r="A677" s="221">
        <v>6210</v>
      </c>
      <c r="B677" s="220" t="s">
        <v>348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 t="e">
        <f>(I629/I612)*L92</f>
        <v>#DIV/0!</v>
      </c>
      <c r="J677" s="226" t="e">
        <f>(J630/J612)*L93</f>
        <v>#DIV/0!</v>
      </c>
      <c r="K677" s="226" t="e">
        <f>(K644/K612)*L89</f>
        <v>#DIV/0!</v>
      </c>
      <c r="L677" s="226" t="e">
        <f>(L647/L612)*L94</f>
        <v>#DIV/0!</v>
      </c>
      <c r="M677" s="211" t="e">
        <f t="shared" si="24"/>
        <v>#DIV/0!</v>
      </c>
      <c r="N677" s="220" t="s">
        <v>629</v>
      </c>
    </row>
    <row r="678" spans="1:14" s="211" customFormat="1" ht="12.65" customHeight="1" x14ac:dyDescent="0.2">
      <c r="A678" s="221">
        <v>6330</v>
      </c>
      <c r="B678" s="220" t="s">
        <v>630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 t="e">
        <f>(I629/I612)*M92</f>
        <v>#DIV/0!</v>
      </c>
      <c r="J678" s="226" t="e">
        <f>(J630/J612)*M93</f>
        <v>#DIV/0!</v>
      </c>
      <c r="K678" s="226" t="e">
        <f>(K644/K612)*M89</f>
        <v>#DIV/0!</v>
      </c>
      <c r="L678" s="226" t="e">
        <f>(L647/L612)*M94</f>
        <v>#DIV/0!</v>
      </c>
      <c r="M678" s="211" t="e">
        <f t="shared" si="24"/>
        <v>#DIV/0!</v>
      </c>
      <c r="N678" s="220" t="s">
        <v>631</v>
      </c>
    </row>
    <row r="679" spans="1:14" s="211" customFormat="1" ht="12.65" customHeight="1" x14ac:dyDescent="0.2">
      <c r="A679" s="221">
        <v>6400</v>
      </c>
      <c r="B679" s="220" t="s">
        <v>632</v>
      </c>
      <c r="C679" s="226">
        <f>N85</f>
        <v>0</v>
      </c>
      <c r="D679" s="226">
        <f>(D615/D612)*N90</f>
        <v>0</v>
      </c>
      <c r="E679" s="228">
        <f>(E623/E612)*SUM(C679:D679)</f>
        <v>0</v>
      </c>
      <c r="F679" s="228">
        <f>(F624/F612)*N64</f>
        <v>0</v>
      </c>
      <c r="G679" s="226">
        <f>(G625/G612)*N91</f>
        <v>0</v>
      </c>
      <c r="H679" s="228">
        <f>(H628/H612)*N60</f>
        <v>0</v>
      </c>
      <c r="I679" s="226" t="e">
        <f>(I629/I612)*N92</f>
        <v>#DIV/0!</v>
      </c>
      <c r="J679" s="226" t="e">
        <f>(J630/J612)*N93</f>
        <v>#DIV/0!</v>
      </c>
      <c r="K679" s="226" t="e">
        <f>(K644/K612)*N89</f>
        <v>#DIV/0!</v>
      </c>
      <c r="L679" s="226" t="e">
        <f>(L647/L612)*N94</f>
        <v>#DIV/0!</v>
      </c>
      <c r="M679" s="211" t="e">
        <f t="shared" si="24"/>
        <v>#DIV/0!</v>
      </c>
      <c r="N679" s="220" t="s">
        <v>633</v>
      </c>
    </row>
    <row r="680" spans="1:14" s="211" customFormat="1" ht="12.65" customHeight="1" x14ac:dyDescent="0.2">
      <c r="A680" s="221">
        <v>7010</v>
      </c>
      <c r="B680" s="220" t="s">
        <v>634</v>
      </c>
      <c r="C680" s="226">
        <f>O85</f>
        <v>194635.97000000003</v>
      </c>
      <c r="D680" s="226">
        <f>(D615/D612)*O90</f>
        <v>-1532.8188538645807</v>
      </c>
      <c r="E680" s="228">
        <f>(E623/E612)*SUM(C680:D680)</f>
        <v>15263.982607969889</v>
      </c>
      <c r="F680" s="228">
        <f>(F624/F612)*O64</f>
        <v>6632.3988047304529</v>
      </c>
      <c r="G680" s="226">
        <f>(G625/G612)*O91</f>
        <v>0</v>
      </c>
      <c r="H680" s="228">
        <f>(H628/H612)*O60</f>
        <v>0</v>
      </c>
      <c r="I680" s="226" t="e">
        <f>(I629/I612)*O92</f>
        <v>#DIV/0!</v>
      </c>
      <c r="J680" s="226" t="e">
        <f>(J630/J612)*O93</f>
        <v>#DIV/0!</v>
      </c>
      <c r="K680" s="226" t="e">
        <f>(K644/K612)*O89</f>
        <v>#DIV/0!</v>
      </c>
      <c r="L680" s="226" t="e">
        <f>(L647/L612)*O94</f>
        <v>#DIV/0!</v>
      </c>
      <c r="M680" s="211" t="e">
        <f t="shared" si="24"/>
        <v>#DIV/0!</v>
      </c>
      <c r="N680" s="220" t="s">
        <v>635</v>
      </c>
    </row>
    <row r="681" spans="1:14" s="211" customFormat="1" ht="12.65" customHeight="1" x14ac:dyDescent="0.2">
      <c r="A681" s="221">
        <v>7020</v>
      </c>
      <c r="B681" s="220" t="s">
        <v>636</v>
      </c>
      <c r="C681" s="226">
        <f>P85</f>
        <v>4207952.3199999994</v>
      </c>
      <c r="D681" s="226">
        <f>(D615/D612)*P90</f>
        <v>-10322.552404589576</v>
      </c>
      <c r="E681" s="228">
        <f>(E623/E612)*SUM(C681:D681)</f>
        <v>331804.77577387943</v>
      </c>
      <c r="F681" s="228">
        <f>(F624/F612)*P64</f>
        <v>64511.012812155372</v>
      </c>
      <c r="G681" s="226">
        <f>(G625/G612)*P91</f>
        <v>20216.249518923229</v>
      </c>
      <c r="H681" s="228">
        <f>(H628/H612)*P60</f>
        <v>62025.016425518254</v>
      </c>
      <c r="I681" s="226" t="e">
        <f>(I629/I612)*P92</f>
        <v>#DIV/0!</v>
      </c>
      <c r="J681" s="226" t="e">
        <f>(J630/J612)*P93</f>
        <v>#DIV/0!</v>
      </c>
      <c r="K681" s="226" t="e">
        <f>(K644/K612)*P89</f>
        <v>#DIV/0!</v>
      </c>
      <c r="L681" s="226" t="e">
        <f>(L647/L612)*P94</f>
        <v>#DIV/0!</v>
      </c>
      <c r="M681" s="211" t="e">
        <f t="shared" si="24"/>
        <v>#DIV/0!</v>
      </c>
      <c r="N681" s="220" t="s">
        <v>637</v>
      </c>
    </row>
    <row r="682" spans="1:14" s="211" customFormat="1" ht="12.65" customHeight="1" x14ac:dyDescent="0.2">
      <c r="A682" s="221">
        <v>7030</v>
      </c>
      <c r="B682" s="220" t="s">
        <v>638</v>
      </c>
      <c r="C682" s="226">
        <f>Q85</f>
        <v>2407877.38</v>
      </c>
      <c r="D682" s="226">
        <f>(D615/D612)*Q90</f>
        <v>-11235.955229302726</v>
      </c>
      <c r="E682" s="228">
        <f>(E623/E612)*SUM(C682:D682)</f>
        <v>189444.30895151765</v>
      </c>
      <c r="F682" s="228">
        <f>(F624/F612)*Q64</f>
        <v>9579.9709241933888</v>
      </c>
      <c r="G682" s="226">
        <f>(G625/G612)*Q91</f>
        <v>0</v>
      </c>
      <c r="H682" s="228">
        <f>(H628/H612)*Q60</f>
        <v>53521.287568722437</v>
      </c>
      <c r="I682" s="226" t="e">
        <f>(I629/I612)*Q92</f>
        <v>#DIV/0!</v>
      </c>
      <c r="J682" s="226" t="e">
        <f>(J630/J612)*Q93</f>
        <v>#DIV/0!</v>
      </c>
      <c r="K682" s="226" t="e">
        <f>(K644/K612)*Q89</f>
        <v>#DIV/0!</v>
      </c>
      <c r="L682" s="226" t="e">
        <f>(L647/L612)*Q94</f>
        <v>#DIV/0!</v>
      </c>
      <c r="M682" s="211" t="e">
        <f t="shared" si="24"/>
        <v>#DIV/0!</v>
      </c>
      <c r="N682" s="220" t="s">
        <v>639</v>
      </c>
    </row>
    <row r="683" spans="1:14" s="211" customFormat="1" ht="12.65" customHeight="1" x14ac:dyDescent="0.2">
      <c r="A683" s="221">
        <v>7040</v>
      </c>
      <c r="B683" s="220" t="s">
        <v>133</v>
      </c>
      <c r="C683" s="226">
        <f>R85</f>
        <v>1472899.1500000001</v>
      </c>
      <c r="D683" s="226">
        <f>(D615/D612)*R90</f>
        <v>-490.50203323666585</v>
      </c>
      <c r="E683" s="228">
        <f>(E623/E612)*SUM(C683:D683)</f>
        <v>116387.63977176519</v>
      </c>
      <c r="F683" s="228">
        <f>(F624/F612)*R64</f>
        <v>4046.6267025419702</v>
      </c>
      <c r="G683" s="226">
        <f>(G625/G612)*R91</f>
        <v>0</v>
      </c>
      <c r="H683" s="228">
        <f>(H628/H612)*R60</f>
        <v>13328.141623995034</v>
      </c>
      <c r="I683" s="226" t="e">
        <f>(I629/I612)*R92</f>
        <v>#DIV/0!</v>
      </c>
      <c r="J683" s="226" t="e">
        <f>(J630/J612)*R93</f>
        <v>#DIV/0!</v>
      </c>
      <c r="K683" s="226" t="e">
        <f>(K644/K612)*R89</f>
        <v>#DIV/0!</v>
      </c>
      <c r="L683" s="226" t="e">
        <f>(L647/L612)*R94</f>
        <v>#DIV/0!</v>
      </c>
      <c r="M683" s="211" t="e">
        <f t="shared" si="24"/>
        <v>#DIV/0!</v>
      </c>
      <c r="N683" s="220" t="s">
        <v>640</v>
      </c>
    </row>
    <row r="684" spans="1:14" s="211" customFormat="1" ht="12.65" customHeight="1" x14ac:dyDescent="0.2">
      <c r="A684" s="221">
        <v>7050</v>
      </c>
      <c r="B684" s="220" t="s">
        <v>641</v>
      </c>
      <c r="C684" s="226">
        <f>S85</f>
        <v>4352740.25</v>
      </c>
      <c r="D684" s="226">
        <f>(D615/D612)*S90</f>
        <v>-4669.202047156723</v>
      </c>
      <c r="E684" s="228">
        <f>(E623/E612)*SUM(C684:D684)</f>
        <v>343696.51898607996</v>
      </c>
      <c r="F684" s="228">
        <f>(F624/F612)*S64</f>
        <v>292336.676788493</v>
      </c>
      <c r="G684" s="226">
        <f>(G625/G612)*S91</f>
        <v>0</v>
      </c>
      <c r="H684" s="228">
        <f>(H628/H612)*S60</f>
        <v>0</v>
      </c>
      <c r="I684" s="226" t="e">
        <f>(I629/I612)*S92</f>
        <v>#DIV/0!</v>
      </c>
      <c r="J684" s="226" t="e">
        <f>(J630/J612)*S93</f>
        <v>#DIV/0!</v>
      </c>
      <c r="K684" s="226" t="e">
        <f>(K644/K612)*S89</f>
        <v>#DIV/0!</v>
      </c>
      <c r="L684" s="226" t="e">
        <f>(L647/L612)*S94</f>
        <v>#DIV/0!</v>
      </c>
      <c r="M684" s="211" t="e">
        <f t="shared" si="24"/>
        <v>#DIV/0!</v>
      </c>
      <c r="N684" s="220" t="s">
        <v>642</v>
      </c>
    </row>
    <row r="685" spans="1:14" s="211" customFormat="1" ht="12.65" customHeight="1" x14ac:dyDescent="0.2">
      <c r="A685" s="221">
        <v>7060</v>
      </c>
      <c r="B685" s="220" t="s">
        <v>643</v>
      </c>
      <c r="C685" s="226">
        <f>T85</f>
        <v>0</v>
      </c>
      <c r="D685" s="226">
        <f>(D615/D612)*T90</f>
        <v>0</v>
      </c>
      <c r="E685" s="228">
        <f>(E623/E612)*SUM(C685:D685)</f>
        <v>0</v>
      </c>
      <c r="F685" s="228">
        <f>(F624/F612)*T64</f>
        <v>0</v>
      </c>
      <c r="G685" s="226">
        <f>(G625/G612)*T91</f>
        <v>0</v>
      </c>
      <c r="H685" s="228">
        <f>(H628/H612)*T60</f>
        <v>0</v>
      </c>
      <c r="I685" s="226" t="e">
        <f>(I629/I612)*T92</f>
        <v>#DIV/0!</v>
      </c>
      <c r="J685" s="226" t="e">
        <f>(J630/J612)*T93</f>
        <v>#DIV/0!</v>
      </c>
      <c r="K685" s="226" t="e">
        <f>(K644/K612)*T89</f>
        <v>#DIV/0!</v>
      </c>
      <c r="L685" s="226" t="e">
        <f>(L647/L612)*T94</f>
        <v>#DIV/0!</v>
      </c>
      <c r="M685" s="211" t="e">
        <f t="shared" si="24"/>
        <v>#DIV/0!</v>
      </c>
      <c r="N685" s="220" t="s">
        <v>644</v>
      </c>
    </row>
    <row r="686" spans="1:14" s="211" customFormat="1" ht="12.65" customHeight="1" x14ac:dyDescent="0.2">
      <c r="A686" s="221">
        <v>7070</v>
      </c>
      <c r="B686" s="220" t="s">
        <v>136</v>
      </c>
      <c r="C686" s="226">
        <f>U85</f>
        <v>7437124.129999999</v>
      </c>
      <c r="D686" s="226">
        <f>(D615/D612)*U90</f>
        <v>-6906.3315128483109</v>
      </c>
      <c r="E686" s="228">
        <f>(E623/E612)*SUM(C686:D686)</f>
        <v>587327.10769544553</v>
      </c>
      <c r="F686" s="228">
        <f>(F624/F612)*U64</f>
        <v>147384.88726711043</v>
      </c>
      <c r="G686" s="226">
        <f>(G625/G612)*U91</f>
        <v>0</v>
      </c>
      <c r="H686" s="228">
        <f>(H628/H612)*U60</f>
        <v>122499.09471857223</v>
      </c>
      <c r="I686" s="226" t="e">
        <f>(I629/I612)*U92</f>
        <v>#DIV/0!</v>
      </c>
      <c r="J686" s="226" t="e">
        <f>(J630/J612)*U93</f>
        <v>#DIV/0!</v>
      </c>
      <c r="K686" s="226" t="e">
        <f>(K644/K612)*U89</f>
        <v>#DIV/0!</v>
      </c>
      <c r="L686" s="226" t="e">
        <f>(L647/L612)*U94</f>
        <v>#DIV/0!</v>
      </c>
      <c r="M686" s="211" t="e">
        <f t="shared" si="24"/>
        <v>#DIV/0!</v>
      </c>
      <c r="N686" s="220" t="s">
        <v>645</v>
      </c>
    </row>
    <row r="687" spans="1:14" s="211" customFormat="1" ht="12.65" customHeight="1" x14ac:dyDescent="0.2">
      <c r="A687" s="221">
        <v>7110</v>
      </c>
      <c r="B687" s="220" t="s">
        <v>646</v>
      </c>
      <c r="C687" s="226">
        <f>V85</f>
        <v>0</v>
      </c>
      <c r="D687" s="226">
        <f>(D615/D612)*V90</f>
        <v>0</v>
      </c>
      <c r="E687" s="228">
        <f>(E623/E612)*SUM(C687:D687)</f>
        <v>0</v>
      </c>
      <c r="F687" s="228">
        <f>(F624/F612)*V64</f>
        <v>0</v>
      </c>
      <c r="G687" s="226">
        <f>(G625/G612)*V91</f>
        <v>0</v>
      </c>
      <c r="H687" s="228">
        <f>(H628/H612)*V60</f>
        <v>0</v>
      </c>
      <c r="I687" s="226" t="e">
        <f>(I629/I612)*V92</f>
        <v>#DIV/0!</v>
      </c>
      <c r="J687" s="226" t="e">
        <f>(J630/J612)*V93</f>
        <v>#DIV/0!</v>
      </c>
      <c r="K687" s="226" t="e">
        <f>(K644/K612)*V89</f>
        <v>#DIV/0!</v>
      </c>
      <c r="L687" s="226" t="e">
        <f>(L647/L612)*V94</f>
        <v>#DIV/0!</v>
      </c>
      <c r="M687" s="211" t="e">
        <f t="shared" si="24"/>
        <v>#DIV/0!</v>
      </c>
      <c r="N687" s="220" t="s">
        <v>647</v>
      </c>
    </row>
    <row r="688" spans="1:14" s="211" customFormat="1" ht="12.65" customHeight="1" x14ac:dyDescent="0.2">
      <c r="A688" s="221">
        <v>7120</v>
      </c>
      <c r="B688" s="220" t="s">
        <v>648</v>
      </c>
      <c r="C688" s="226">
        <f>W85</f>
        <v>404984.59</v>
      </c>
      <c r="D688" s="226">
        <f>(D615/D612)*W90</f>
        <v>-3359.624503290881</v>
      </c>
      <c r="E688" s="228">
        <f>(E623/E612)*SUM(C688:D688)</f>
        <v>31746.744948915675</v>
      </c>
      <c r="F688" s="228">
        <f>(F624/F612)*W64</f>
        <v>924.05372317155911</v>
      </c>
      <c r="G688" s="226">
        <f>(G625/G612)*W91</f>
        <v>0</v>
      </c>
      <c r="H688" s="228">
        <f>(H628/H612)*W60</f>
        <v>8324.6368460711019</v>
      </c>
      <c r="I688" s="226" t="e">
        <f>(I629/I612)*W92</f>
        <v>#DIV/0!</v>
      </c>
      <c r="J688" s="226" t="e">
        <f>(J630/J612)*W93</f>
        <v>#DIV/0!</v>
      </c>
      <c r="K688" s="226" t="e">
        <f>(K644/K612)*W89</f>
        <v>#DIV/0!</v>
      </c>
      <c r="L688" s="226" t="e">
        <f>(L647/L612)*W94</f>
        <v>#DIV/0!</v>
      </c>
      <c r="M688" s="211" t="e">
        <f t="shared" si="24"/>
        <v>#DIV/0!</v>
      </c>
      <c r="N688" s="220" t="s">
        <v>649</v>
      </c>
    </row>
    <row r="689" spans="1:14" s="211" customFormat="1" ht="12.65" customHeight="1" x14ac:dyDescent="0.2">
      <c r="A689" s="221">
        <v>7130</v>
      </c>
      <c r="B689" s="220" t="s">
        <v>650</v>
      </c>
      <c r="C689" s="226">
        <f>X85</f>
        <v>952443.55</v>
      </c>
      <c r="D689" s="226">
        <f>(D615/D612)*X90</f>
        <v>-1245.1205459084595</v>
      </c>
      <c r="E689" s="228">
        <f>(E623/E612)*SUM(C689:D689)</f>
        <v>75188.189305765743</v>
      </c>
      <c r="F689" s="228">
        <f>(F624/F612)*X64</f>
        <v>9016.0391326438839</v>
      </c>
      <c r="G689" s="226">
        <f>(G625/G612)*X91</f>
        <v>0</v>
      </c>
      <c r="H689" s="228">
        <f>(H628/H612)*X60</f>
        <v>17712.384970122148</v>
      </c>
      <c r="I689" s="226" t="e">
        <f>(I629/I612)*X92</f>
        <v>#DIV/0!</v>
      </c>
      <c r="J689" s="226" t="e">
        <f>(J630/J612)*X93</f>
        <v>#DIV/0!</v>
      </c>
      <c r="K689" s="226" t="e">
        <f>(K644/K612)*X89</f>
        <v>#DIV/0!</v>
      </c>
      <c r="L689" s="226" t="e">
        <f>(L647/L612)*X94</f>
        <v>#DIV/0!</v>
      </c>
      <c r="M689" s="211" t="e">
        <f t="shared" si="24"/>
        <v>#DIV/0!</v>
      </c>
      <c r="N689" s="220" t="s">
        <v>651</v>
      </c>
    </row>
    <row r="690" spans="1:14" s="211" customFormat="1" ht="12.65" customHeight="1" x14ac:dyDescent="0.2">
      <c r="A690" s="221">
        <v>7140</v>
      </c>
      <c r="B690" s="220" t="s">
        <v>652</v>
      </c>
      <c r="C690" s="226">
        <f>Y85</f>
        <v>4095479.32</v>
      </c>
      <c r="D690" s="226">
        <f>(D615/D612)*Y90</f>
        <v>-11602.259632328827</v>
      </c>
      <c r="E690" s="228">
        <f>(E623/E612)*SUM(C690:D690)</f>
        <v>322813.1081888192</v>
      </c>
      <c r="F690" s="228">
        <f>(F624/F612)*Y64</f>
        <v>8458.2454179228444</v>
      </c>
      <c r="G690" s="226">
        <f>(G625/G612)*Y91</f>
        <v>0</v>
      </c>
      <c r="H690" s="228">
        <f>(H628/H612)*Y60</f>
        <v>94224.680551001031</v>
      </c>
      <c r="I690" s="226" t="e">
        <f>(I629/I612)*Y92</f>
        <v>#DIV/0!</v>
      </c>
      <c r="J690" s="226" t="e">
        <f>(J630/J612)*Y93</f>
        <v>#DIV/0!</v>
      </c>
      <c r="K690" s="226" t="e">
        <f>(K644/K612)*Y89</f>
        <v>#DIV/0!</v>
      </c>
      <c r="L690" s="226" t="e">
        <f>(L647/L612)*Y94</f>
        <v>#DIV/0!</v>
      </c>
      <c r="M690" s="211" t="e">
        <f t="shared" si="24"/>
        <v>#DIV/0!</v>
      </c>
      <c r="N690" s="220" t="s">
        <v>653</v>
      </c>
    </row>
    <row r="691" spans="1:14" s="211" customFormat="1" ht="12.65" customHeight="1" x14ac:dyDescent="0.2">
      <c r="A691" s="221">
        <v>7150</v>
      </c>
      <c r="B691" s="220" t="s">
        <v>654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>
        <f>(H628/H612)*Z60</f>
        <v>0</v>
      </c>
      <c r="I691" s="226" t="e">
        <f>(I629/I612)*Z92</f>
        <v>#DIV/0!</v>
      </c>
      <c r="J691" s="226" t="e">
        <f>(J630/J612)*Z93</f>
        <v>#DIV/0!</v>
      </c>
      <c r="K691" s="226" t="e">
        <f>(K644/K612)*Z89</f>
        <v>#DIV/0!</v>
      </c>
      <c r="L691" s="226" t="e">
        <f>(L647/L612)*Z94</f>
        <v>#DIV/0!</v>
      </c>
      <c r="M691" s="211" t="e">
        <f t="shared" si="24"/>
        <v>#DIV/0!</v>
      </c>
      <c r="N691" s="220" t="s">
        <v>655</v>
      </c>
    </row>
    <row r="692" spans="1:14" s="211" customFormat="1" ht="12.65" customHeight="1" x14ac:dyDescent="0.2">
      <c r="A692" s="221">
        <v>7160</v>
      </c>
      <c r="B692" s="220" t="s">
        <v>656</v>
      </c>
      <c r="C692" s="226">
        <f>AA85</f>
        <v>245463.35000000003</v>
      </c>
      <c r="D692" s="226">
        <f>(D615/D612)*AA90</f>
        <v>-1084.7641119657033</v>
      </c>
      <c r="E692" s="228">
        <f>(E623/E612)*SUM(C692:D692)</f>
        <v>19317.087590830255</v>
      </c>
      <c r="F692" s="228">
        <f>(F624/F612)*AA64</f>
        <v>3742.8631587903187</v>
      </c>
      <c r="G692" s="226">
        <f>(G625/G612)*AA91</f>
        <v>0</v>
      </c>
      <c r="H692" s="228">
        <f>(H628/H612)*AA60</f>
        <v>3959.5615805757652</v>
      </c>
      <c r="I692" s="226" t="e">
        <f>(I629/I612)*AA92</f>
        <v>#DIV/0!</v>
      </c>
      <c r="J692" s="226" t="e">
        <f>(J630/J612)*AA93</f>
        <v>#DIV/0!</v>
      </c>
      <c r="K692" s="226" t="e">
        <f>(K644/K612)*AA89</f>
        <v>#DIV/0!</v>
      </c>
      <c r="L692" s="226" t="e">
        <f>(L647/L612)*AA94</f>
        <v>#DIV/0!</v>
      </c>
      <c r="M692" s="211" t="e">
        <f t="shared" si="24"/>
        <v>#DIV/0!</v>
      </c>
      <c r="N692" s="220" t="s">
        <v>657</v>
      </c>
    </row>
    <row r="693" spans="1:14" s="211" customFormat="1" ht="12.65" customHeight="1" x14ac:dyDescent="0.2">
      <c r="A693" s="221">
        <v>7170</v>
      </c>
      <c r="B693" s="220" t="s">
        <v>142</v>
      </c>
      <c r="C693" s="226">
        <f>AB85</f>
        <v>2099588.2600000007</v>
      </c>
      <c r="D693" s="226">
        <f>(D615/D612)*AB90</f>
        <v>-6025.9432480645519</v>
      </c>
      <c r="E693" s="228">
        <f>(E623/E612)*SUM(C693:D693)</f>
        <v>165487.19480718966</v>
      </c>
      <c r="F693" s="228">
        <f>(F624/F612)*AB64</f>
        <v>207016.84229182903</v>
      </c>
      <c r="G693" s="226">
        <f>(G625/G612)*AB91</f>
        <v>0</v>
      </c>
      <c r="H693" s="228">
        <f>(H628/H612)*AB60</f>
        <v>58057.155556719394</v>
      </c>
      <c r="I693" s="226" t="e">
        <f>(I629/I612)*AB92</f>
        <v>#DIV/0!</v>
      </c>
      <c r="J693" s="226" t="e">
        <f>(J630/J612)*AB93</f>
        <v>#DIV/0!</v>
      </c>
      <c r="K693" s="226" t="e">
        <f>(K644/K612)*AB89</f>
        <v>#DIV/0!</v>
      </c>
      <c r="L693" s="226" t="e">
        <f>(L647/L612)*AB94</f>
        <v>#DIV/0!</v>
      </c>
      <c r="M693" s="211" t="e">
        <f t="shared" si="24"/>
        <v>#DIV/0!</v>
      </c>
      <c r="N693" s="220" t="s">
        <v>658</v>
      </c>
    </row>
    <row r="694" spans="1:14" s="211" customFormat="1" ht="12.65" customHeight="1" x14ac:dyDescent="0.2">
      <c r="A694" s="221">
        <v>7180</v>
      </c>
      <c r="B694" s="220" t="s">
        <v>659</v>
      </c>
      <c r="C694" s="226">
        <f>AC85</f>
        <v>1568008.4999999998</v>
      </c>
      <c r="D694" s="226">
        <f>(D615/D612)*AC90</f>
        <v>-1267.1302525280535</v>
      </c>
      <c r="E694" s="228">
        <f>(E623/E612)*SUM(C694:D694)</f>
        <v>123844.24012280513</v>
      </c>
      <c r="F694" s="228">
        <f>(F624/F612)*AC64</f>
        <v>9289.8737882403348</v>
      </c>
      <c r="G694" s="226">
        <f>(G625/G612)*AC91</f>
        <v>0</v>
      </c>
      <c r="H694" s="228">
        <f>(H628/H612)*AC60</f>
        <v>33382.012454457552</v>
      </c>
      <c r="I694" s="226" t="e">
        <f>(I629/I612)*AC92</f>
        <v>#DIV/0!</v>
      </c>
      <c r="J694" s="226" t="e">
        <f>(J630/J612)*AC93</f>
        <v>#DIV/0!</v>
      </c>
      <c r="K694" s="226" t="e">
        <f>(K644/K612)*AC89</f>
        <v>#DIV/0!</v>
      </c>
      <c r="L694" s="226" t="e">
        <f>(L647/L612)*AC94</f>
        <v>#DIV/0!</v>
      </c>
      <c r="M694" s="211" t="e">
        <f t="shared" si="24"/>
        <v>#DIV/0!</v>
      </c>
      <c r="N694" s="220" t="s">
        <v>660</v>
      </c>
    </row>
    <row r="695" spans="1:14" s="211" customFormat="1" ht="12.65" customHeight="1" x14ac:dyDescent="0.2">
      <c r="A695" s="221">
        <v>7190</v>
      </c>
      <c r="B695" s="220" t="s">
        <v>144</v>
      </c>
      <c r="C695" s="226">
        <f>AD85</f>
        <v>0</v>
      </c>
      <c r="D695" s="226">
        <f>(D615/D612)*AD90</f>
        <v>0</v>
      </c>
      <c r="E695" s="228">
        <f>(E623/E612)*SUM(C695:D695)</f>
        <v>0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 t="e">
        <f>(I629/I612)*AD92</f>
        <v>#DIV/0!</v>
      </c>
      <c r="J695" s="226" t="e">
        <f>(J630/J612)*AD93</f>
        <v>#DIV/0!</v>
      </c>
      <c r="K695" s="226" t="e">
        <f>(K644/K612)*AD89</f>
        <v>#DIV/0!</v>
      </c>
      <c r="L695" s="226" t="e">
        <f>(L647/L612)*AD94</f>
        <v>#DIV/0!</v>
      </c>
      <c r="M695" s="211" t="e">
        <f t="shared" si="24"/>
        <v>#DIV/0!</v>
      </c>
      <c r="N695" s="220" t="s">
        <v>661</v>
      </c>
    </row>
    <row r="696" spans="1:14" s="211" customFormat="1" ht="12.65" customHeight="1" x14ac:dyDescent="0.2">
      <c r="A696" s="221">
        <v>7200</v>
      </c>
      <c r="B696" s="220" t="s">
        <v>662</v>
      </c>
      <c r="C696" s="226">
        <f>AE85</f>
        <v>3188611.8999999994</v>
      </c>
      <c r="D696" s="226">
        <f>(D615/D612)*AE90</f>
        <v>-12661.869793872136</v>
      </c>
      <c r="E696" s="228">
        <f>(E623/E612)*SUM(C696:D696)</f>
        <v>251045.33891402502</v>
      </c>
      <c r="F696" s="228">
        <f>(F624/F612)*AE64</f>
        <v>3253.5663574227929</v>
      </c>
      <c r="G696" s="226">
        <f>(G625/G612)*AE91</f>
        <v>0</v>
      </c>
      <c r="H696" s="228">
        <f>(H628/H612)*AE60</f>
        <v>82899.95944858907</v>
      </c>
      <c r="I696" s="226" t="e">
        <f>(I629/I612)*AE92</f>
        <v>#DIV/0!</v>
      </c>
      <c r="J696" s="226" t="e">
        <f>(J630/J612)*AE93</f>
        <v>#DIV/0!</v>
      </c>
      <c r="K696" s="226" t="e">
        <f>(K644/K612)*AE89</f>
        <v>#DIV/0!</v>
      </c>
      <c r="L696" s="226" t="e">
        <f>(L647/L612)*AE94</f>
        <v>#DIV/0!</v>
      </c>
      <c r="M696" s="211" t="e">
        <f t="shared" si="24"/>
        <v>#DIV/0!</v>
      </c>
      <c r="N696" s="220" t="s">
        <v>663</v>
      </c>
    </row>
    <row r="697" spans="1:14" s="211" customFormat="1" ht="12.65" customHeight="1" x14ac:dyDescent="0.2">
      <c r="A697" s="221">
        <v>7220</v>
      </c>
      <c r="B697" s="220" t="s">
        <v>664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 t="e">
        <f>(I629/I612)*AF92</f>
        <v>#DIV/0!</v>
      </c>
      <c r="J697" s="226" t="e">
        <f>(J630/J612)*AF93</f>
        <v>#DIV/0!</v>
      </c>
      <c r="K697" s="226" t="e">
        <f>(K644/K612)*AF89</f>
        <v>#DIV/0!</v>
      </c>
      <c r="L697" s="226" t="e">
        <f>(L647/L612)*AF94</f>
        <v>#DIV/0!</v>
      </c>
      <c r="M697" s="211" t="e">
        <f t="shared" si="24"/>
        <v>#DIV/0!</v>
      </c>
      <c r="N697" s="220" t="s">
        <v>665</v>
      </c>
    </row>
    <row r="698" spans="1:14" s="211" customFormat="1" ht="12.65" customHeight="1" x14ac:dyDescent="0.2">
      <c r="A698" s="221">
        <v>7230</v>
      </c>
      <c r="B698" s="220" t="s">
        <v>666</v>
      </c>
      <c r="C698" s="226">
        <f>AG85</f>
        <v>10298935.840000004</v>
      </c>
      <c r="D698" s="226">
        <f>(D615/D612)*AG90</f>
        <v>-15002.759305056095</v>
      </c>
      <c r="E698" s="228">
        <f>(E623/E612)*SUM(C698:D698)</f>
        <v>812901.1606157592</v>
      </c>
      <c r="F698" s="228">
        <f>(F624/F612)*AG64</f>
        <v>27833.991735964821</v>
      </c>
      <c r="G698" s="226">
        <f>(G625/G612)*AG91</f>
        <v>64691.998460554336</v>
      </c>
      <c r="H698" s="228">
        <f>(H628/H612)*AG60</f>
        <v>121382.77418002633</v>
      </c>
      <c r="I698" s="226" t="e">
        <f>(I629/I612)*AG92</f>
        <v>#DIV/0!</v>
      </c>
      <c r="J698" s="226" t="e">
        <f>(J630/J612)*AG93</f>
        <v>#DIV/0!</v>
      </c>
      <c r="K698" s="226" t="e">
        <f>(K644/K612)*AG89</f>
        <v>#DIV/0!</v>
      </c>
      <c r="L698" s="226" t="e">
        <f>(L647/L612)*AG94</f>
        <v>#DIV/0!</v>
      </c>
      <c r="M698" s="211" t="e">
        <f t="shared" si="24"/>
        <v>#DIV/0!</v>
      </c>
      <c r="N698" s="220" t="s">
        <v>667</v>
      </c>
    </row>
    <row r="699" spans="1:14" s="211" customFormat="1" ht="12.65" customHeight="1" x14ac:dyDescent="0.2">
      <c r="A699" s="221">
        <v>7240</v>
      </c>
      <c r="B699" s="220" t="s">
        <v>146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 t="e">
        <f>(I629/I612)*AH92</f>
        <v>#DIV/0!</v>
      </c>
      <c r="J699" s="226" t="e">
        <f>(J630/J612)*AH93</f>
        <v>#DIV/0!</v>
      </c>
      <c r="K699" s="226" t="e">
        <f>(K644/K612)*AH89</f>
        <v>#DIV/0!</v>
      </c>
      <c r="L699" s="226" t="e">
        <f>(L647/L612)*AH94</f>
        <v>#DIV/0!</v>
      </c>
      <c r="M699" s="211" t="e">
        <f t="shared" si="24"/>
        <v>#DIV/0!</v>
      </c>
      <c r="N699" s="220" t="s">
        <v>668</v>
      </c>
    </row>
    <row r="700" spans="1:14" s="211" customFormat="1" ht="12.65" customHeight="1" x14ac:dyDescent="0.2">
      <c r="A700" s="221">
        <v>7250</v>
      </c>
      <c r="B700" s="220" t="s">
        <v>669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>
        <f>(H628/H612)*AI60</f>
        <v>0</v>
      </c>
      <c r="I700" s="226" t="e">
        <f>(I629/I612)*AI92</f>
        <v>#DIV/0!</v>
      </c>
      <c r="J700" s="226" t="e">
        <f>(J630/J612)*AI93</f>
        <v>#DIV/0!</v>
      </c>
      <c r="K700" s="226" t="e">
        <f>(K644/K612)*AI89</f>
        <v>#DIV/0!</v>
      </c>
      <c r="L700" s="226" t="e">
        <f>(L647/L612)*AI94</f>
        <v>#DIV/0!</v>
      </c>
      <c r="M700" s="211" t="e">
        <f t="shared" si="24"/>
        <v>#DIV/0!</v>
      </c>
      <c r="N700" s="220" t="s">
        <v>670</v>
      </c>
    </row>
    <row r="701" spans="1:14" s="211" customFormat="1" ht="12.65" customHeight="1" x14ac:dyDescent="0.2">
      <c r="A701" s="221">
        <v>7260</v>
      </c>
      <c r="B701" s="220" t="s">
        <v>148</v>
      </c>
      <c r="C701" s="226">
        <f>AJ85</f>
        <v>0</v>
      </c>
      <c r="D701" s="226">
        <f>(D615/D612)*AJ90</f>
        <v>0</v>
      </c>
      <c r="E701" s="228">
        <f>(E623/E612)*SUM(C701:D701)</f>
        <v>0</v>
      </c>
      <c r="F701" s="228">
        <f>(F624/F612)*AJ64</f>
        <v>0</v>
      </c>
      <c r="G701" s="226">
        <f>(G625/G612)*AJ91</f>
        <v>0</v>
      </c>
      <c r="H701" s="228">
        <f>(H628/H612)*AJ60</f>
        <v>0</v>
      </c>
      <c r="I701" s="226" t="e">
        <f>(I629/I612)*AJ92</f>
        <v>#DIV/0!</v>
      </c>
      <c r="J701" s="226" t="e">
        <f>(J630/J612)*AJ93</f>
        <v>#DIV/0!</v>
      </c>
      <c r="K701" s="226" t="e">
        <f>(K644/K612)*AJ89</f>
        <v>#DIV/0!</v>
      </c>
      <c r="L701" s="226" t="e">
        <f>(L647/L612)*AJ94</f>
        <v>#DIV/0!</v>
      </c>
      <c r="M701" s="211" t="e">
        <f t="shared" si="24"/>
        <v>#DIV/0!</v>
      </c>
      <c r="N701" s="220" t="s">
        <v>671</v>
      </c>
    </row>
    <row r="702" spans="1:14" s="211" customFormat="1" ht="12.65" customHeight="1" x14ac:dyDescent="0.2">
      <c r="A702" s="221">
        <v>7310</v>
      </c>
      <c r="B702" s="220" t="s">
        <v>672</v>
      </c>
      <c r="C702" s="226">
        <f>AK85</f>
        <v>0</v>
      </c>
      <c r="D702" s="226">
        <f>(D615/D612)*AK90</f>
        <v>0</v>
      </c>
      <c r="E702" s="228">
        <f>(E623/E612)*SUM(C702:D702)</f>
        <v>0</v>
      </c>
      <c r="F702" s="228">
        <f>(F624/F612)*AK64</f>
        <v>0</v>
      </c>
      <c r="G702" s="226">
        <f>(G625/G612)*AK91</f>
        <v>0</v>
      </c>
      <c r="H702" s="228">
        <f>(H628/H612)*AK60</f>
        <v>0</v>
      </c>
      <c r="I702" s="226" t="e">
        <f>(I629/I612)*AK92</f>
        <v>#DIV/0!</v>
      </c>
      <c r="J702" s="226" t="e">
        <f>(J630/J612)*AK93</f>
        <v>#DIV/0!</v>
      </c>
      <c r="K702" s="226" t="e">
        <f>(K644/K612)*AK89</f>
        <v>#DIV/0!</v>
      </c>
      <c r="L702" s="226" t="e">
        <f>(L647/L612)*AK94</f>
        <v>#DIV/0!</v>
      </c>
      <c r="M702" s="211" t="e">
        <f t="shared" si="24"/>
        <v>#DIV/0!</v>
      </c>
      <c r="N702" s="220" t="s">
        <v>673</v>
      </c>
    </row>
    <row r="703" spans="1:14" s="211" customFormat="1" ht="12.65" customHeight="1" x14ac:dyDescent="0.2">
      <c r="A703" s="221">
        <v>7320</v>
      </c>
      <c r="B703" s="220" t="s">
        <v>674</v>
      </c>
      <c r="C703" s="226">
        <f>AL85</f>
        <v>0</v>
      </c>
      <c r="D703" s="226">
        <f>(D615/D612)*AL90</f>
        <v>0</v>
      </c>
      <c r="E703" s="228">
        <f>(E623/E612)*SUM(C703:D703)</f>
        <v>0</v>
      </c>
      <c r="F703" s="228">
        <f>(F624/F612)*AL64</f>
        <v>0</v>
      </c>
      <c r="G703" s="226">
        <f>(G625/G612)*AL91</f>
        <v>0</v>
      </c>
      <c r="H703" s="228">
        <f>(H628/H612)*AL60</f>
        <v>0</v>
      </c>
      <c r="I703" s="226" t="e">
        <f>(I629/I612)*AL92</f>
        <v>#DIV/0!</v>
      </c>
      <c r="J703" s="226" t="e">
        <f>(J630/J612)*AL93</f>
        <v>#DIV/0!</v>
      </c>
      <c r="K703" s="226" t="e">
        <f>(K644/K612)*AL89</f>
        <v>#DIV/0!</v>
      </c>
      <c r="L703" s="226" t="e">
        <f>(L647/L612)*AL94</f>
        <v>#DIV/0!</v>
      </c>
      <c r="M703" s="211" t="e">
        <f t="shared" si="24"/>
        <v>#DIV/0!</v>
      </c>
      <c r="N703" s="220" t="s">
        <v>675</v>
      </c>
    </row>
    <row r="704" spans="1:14" s="211" customFormat="1" ht="12.65" customHeight="1" x14ac:dyDescent="0.2">
      <c r="A704" s="221">
        <v>7330</v>
      </c>
      <c r="B704" s="220" t="s">
        <v>676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 t="e">
        <f>(I629/I612)*AM92</f>
        <v>#DIV/0!</v>
      </c>
      <c r="J704" s="226" t="e">
        <f>(J630/J612)*AM93</f>
        <v>#DIV/0!</v>
      </c>
      <c r="K704" s="226" t="e">
        <f>(K644/K612)*AM89</f>
        <v>#DIV/0!</v>
      </c>
      <c r="L704" s="226" t="e">
        <f>(L647/L612)*AM94</f>
        <v>#DIV/0!</v>
      </c>
      <c r="M704" s="211" t="e">
        <f t="shared" si="24"/>
        <v>#DIV/0!</v>
      </c>
      <c r="N704" s="220" t="s">
        <v>677</v>
      </c>
    </row>
    <row r="705" spans="1:14" s="211" customFormat="1" ht="12.65" customHeight="1" x14ac:dyDescent="0.2">
      <c r="A705" s="221">
        <v>7340</v>
      </c>
      <c r="B705" s="220" t="s">
        <v>678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 t="e">
        <f>(I629/I612)*AN92</f>
        <v>#DIV/0!</v>
      </c>
      <c r="J705" s="226" t="e">
        <f>(J630/J612)*AN93</f>
        <v>#DIV/0!</v>
      </c>
      <c r="K705" s="226" t="e">
        <f>(K644/K612)*AN89</f>
        <v>#DIV/0!</v>
      </c>
      <c r="L705" s="226" t="e">
        <f>(L647/L612)*AN94</f>
        <v>#DIV/0!</v>
      </c>
      <c r="M705" s="211" t="e">
        <f t="shared" si="24"/>
        <v>#DIV/0!</v>
      </c>
      <c r="N705" s="220" t="s">
        <v>679</v>
      </c>
    </row>
    <row r="706" spans="1:14" s="211" customFormat="1" ht="12.65" customHeight="1" x14ac:dyDescent="0.2">
      <c r="A706" s="221">
        <v>7350</v>
      </c>
      <c r="B706" s="220" t="s">
        <v>680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 t="e">
        <f>(I629/I612)*AO92</f>
        <v>#DIV/0!</v>
      </c>
      <c r="J706" s="226" t="e">
        <f>(J630/J612)*AO93</f>
        <v>#DIV/0!</v>
      </c>
      <c r="K706" s="226" t="e">
        <f>(K644/K612)*AO89</f>
        <v>#DIV/0!</v>
      </c>
      <c r="L706" s="226" t="e">
        <f>(L647/L612)*AO94</f>
        <v>#DIV/0!</v>
      </c>
      <c r="M706" s="211" t="e">
        <f t="shared" si="24"/>
        <v>#DIV/0!</v>
      </c>
      <c r="N706" s="220" t="s">
        <v>681</v>
      </c>
    </row>
    <row r="707" spans="1:14" s="211" customFormat="1" ht="12.65" customHeight="1" x14ac:dyDescent="0.2">
      <c r="A707" s="221">
        <v>7380</v>
      </c>
      <c r="B707" s="220" t="s">
        <v>682</v>
      </c>
      <c r="C707" s="226">
        <f>AP85</f>
        <v>32355482.57</v>
      </c>
      <c r="D707" s="226">
        <f>(D615/D612)*AP90</f>
        <v>-100581.21500774169</v>
      </c>
      <c r="E707" s="228">
        <f>(E623/E612)*SUM(C707:D707)</f>
        <v>2549612.7348631276</v>
      </c>
      <c r="F707" s="228">
        <f>(F624/F612)*AP64</f>
        <v>92701.347643233574</v>
      </c>
      <c r="G707" s="226">
        <f>(G625/G612)*AP91</f>
        <v>0</v>
      </c>
      <c r="H707" s="228">
        <f>(H628/H612)*AP60</f>
        <v>668942.30295781116</v>
      </c>
      <c r="I707" s="226" t="e">
        <f>(I629/I612)*AP92</f>
        <v>#DIV/0!</v>
      </c>
      <c r="J707" s="226" t="e">
        <f>(J630/J612)*AP93</f>
        <v>#DIV/0!</v>
      </c>
      <c r="K707" s="226" t="e">
        <f>(K644/K612)*AP89</f>
        <v>#DIV/0!</v>
      </c>
      <c r="L707" s="226" t="e">
        <f>(L647/L612)*AP94</f>
        <v>#DIV/0!</v>
      </c>
      <c r="M707" s="211" t="e">
        <f t="shared" si="24"/>
        <v>#DIV/0!</v>
      </c>
      <c r="N707" s="220" t="s">
        <v>683</v>
      </c>
    </row>
    <row r="708" spans="1:14" s="211" customFormat="1" ht="12.65" customHeight="1" x14ac:dyDescent="0.2">
      <c r="A708" s="221">
        <v>7390</v>
      </c>
      <c r="B708" s="220" t="s">
        <v>684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 t="e">
        <f>(I629/I612)*AQ92</f>
        <v>#DIV/0!</v>
      </c>
      <c r="J708" s="226" t="e">
        <f>(J630/J612)*AQ93</f>
        <v>#DIV/0!</v>
      </c>
      <c r="K708" s="226" t="e">
        <f>(K644/K612)*AQ89</f>
        <v>#DIV/0!</v>
      </c>
      <c r="L708" s="226" t="e">
        <f>(L647/L612)*AQ94</f>
        <v>#DIV/0!</v>
      </c>
      <c r="M708" s="211" t="e">
        <f t="shared" si="24"/>
        <v>#DIV/0!</v>
      </c>
      <c r="N708" s="220" t="s">
        <v>685</v>
      </c>
    </row>
    <row r="709" spans="1:14" s="211" customFormat="1" ht="12.65" customHeight="1" x14ac:dyDescent="0.2">
      <c r="A709" s="221">
        <v>7400</v>
      </c>
      <c r="B709" s="220" t="s">
        <v>686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>
        <f>(H628/H612)*AR60</f>
        <v>0</v>
      </c>
      <c r="I709" s="226" t="e">
        <f>(I629/I612)*AR92</f>
        <v>#DIV/0!</v>
      </c>
      <c r="J709" s="226" t="e">
        <f>(J630/J612)*AR93</f>
        <v>#DIV/0!</v>
      </c>
      <c r="K709" s="226" t="e">
        <f>(K644/K612)*AR89</f>
        <v>#DIV/0!</v>
      </c>
      <c r="L709" s="226" t="e">
        <f>(L647/L612)*AR94</f>
        <v>#DIV/0!</v>
      </c>
      <c r="M709" s="211" t="e">
        <f t="shared" si="24"/>
        <v>#DIV/0!</v>
      </c>
      <c r="N709" s="220" t="s">
        <v>687</v>
      </c>
    </row>
    <row r="710" spans="1:14" s="211" customFormat="1" ht="12.65" customHeight="1" x14ac:dyDescent="0.2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 t="e">
        <f>(I629/I612)*AS92</f>
        <v>#DIV/0!</v>
      </c>
      <c r="J710" s="226" t="e">
        <f>(J630/J612)*AS93</f>
        <v>#DIV/0!</v>
      </c>
      <c r="K710" s="226" t="e">
        <f>(K644/K612)*AS89</f>
        <v>#DIV/0!</v>
      </c>
      <c r="L710" s="226" t="e">
        <f>(L647/L612)*AS94</f>
        <v>#DIV/0!</v>
      </c>
      <c r="M710" s="211" t="e">
        <f t="shared" si="24"/>
        <v>#DIV/0!</v>
      </c>
      <c r="N710" s="220" t="s">
        <v>688</v>
      </c>
    </row>
    <row r="711" spans="1:14" s="211" customFormat="1" ht="12.65" customHeight="1" x14ac:dyDescent="0.2">
      <c r="A711" s="221">
        <v>7420</v>
      </c>
      <c r="B711" s="220" t="s">
        <v>689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 t="e">
        <f>(I629/I612)*AT92</f>
        <v>#DIV/0!</v>
      </c>
      <c r="J711" s="226" t="e">
        <f>(J630/J612)*AT93</f>
        <v>#DIV/0!</v>
      </c>
      <c r="K711" s="226" t="e">
        <f>(K644/K612)*AT89</f>
        <v>#DIV/0!</v>
      </c>
      <c r="L711" s="226" t="e">
        <f>(L647/L612)*AT94</f>
        <v>#DIV/0!</v>
      </c>
      <c r="M711" s="211" t="e">
        <f t="shared" si="24"/>
        <v>#DIV/0!</v>
      </c>
      <c r="N711" s="220" t="s">
        <v>690</v>
      </c>
    </row>
    <row r="712" spans="1:14" s="211" customFormat="1" ht="12.65" customHeight="1" x14ac:dyDescent="0.2">
      <c r="A712" s="221">
        <v>7430</v>
      </c>
      <c r="B712" s="220" t="s">
        <v>691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 t="e">
        <f>(I629/I612)*AU92</f>
        <v>#DIV/0!</v>
      </c>
      <c r="J712" s="226" t="e">
        <f>(J630/J612)*AU93</f>
        <v>#DIV/0!</v>
      </c>
      <c r="K712" s="226" t="e">
        <f>(K644/K612)*AU89</f>
        <v>#DIV/0!</v>
      </c>
      <c r="L712" s="226" t="e">
        <f>(L647/L612)*AU94</f>
        <v>#DIV/0!</v>
      </c>
      <c r="M712" s="211" t="e">
        <f t="shared" si="24"/>
        <v>#DIV/0!</v>
      </c>
      <c r="N712" s="220" t="s">
        <v>692</v>
      </c>
    </row>
    <row r="713" spans="1:14" s="211" customFormat="1" ht="12.65" customHeight="1" x14ac:dyDescent="0.2">
      <c r="A713" s="221">
        <v>7490</v>
      </c>
      <c r="B713" s="220" t="s">
        <v>693</v>
      </c>
      <c r="C713" s="226">
        <f>AV85</f>
        <v>582896.54000000015</v>
      </c>
      <c r="D713" s="226">
        <f>(D615/D612)*AV90</f>
        <v>-421.32866957508475</v>
      </c>
      <c r="E713" s="228">
        <f>(E623/E612)*SUM(C713:D713)</f>
        <v>46042.187517658887</v>
      </c>
      <c r="F713" s="228">
        <f>(F624/F612)*AV64</f>
        <v>753.82932937792759</v>
      </c>
      <c r="G713" s="226">
        <f>(G625/G612)*AV91</f>
        <v>0</v>
      </c>
      <c r="H713" s="228">
        <f>(H628/H612)*AV60</f>
        <v>16034.454378162045</v>
      </c>
      <c r="I713" s="226" t="e">
        <f>(I629/I612)*AV92</f>
        <v>#DIV/0!</v>
      </c>
      <c r="J713" s="226" t="e">
        <f>(J630/J612)*AV93</f>
        <v>#DIV/0!</v>
      </c>
      <c r="K713" s="226" t="e">
        <f>(K644/K612)*AV89</f>
        <v>#DIV/0!</v>
      </c>
      <c r="L713" s="226" t="e">
        <f>(L647/L612)*AV94</f>
        <v>#DIV/0!</v>
      </c>
      <c r="M713" s="211" t="e">
        <f t="shared" si="24"/>
        <v>#DIV/0!</v>
      </c>
      <c r="N713" s="222" t="s">
        <v>694</v>
      </c>
    </row>
    <row r="714" spans="1:14" s="211" customFormat="1" ht="12.65" customHeight="1" x14ac:dyDescent="0.2"/>
    <row r="715" spans="1:14" s="211" customFormat="1" ht="12.65" customHeight="1" x14ac:dyDescent="0.2">
      <c r="C715" s="223">
        <f>SUM(C614:C647)+SUM(C668:C713)</f>
        <v>128254399.52000001</v>
      </c>
      <c r="D715" s="211">
        <f>SUM(D616:D647)+SUM(D668:D713)</f>
        <v>-311712.46999999968</v>
      </c>
      <c r="E715" s="211">
        <f>SUM(E624:E647)+SUM(E668:E713)</f>
        <v>9395305.7202349268</v>
      </c>
      <c r="F715" s="211">
        <f>SUM(F625:F648)+SUM(F668:F713)</f>
        <v>1042055.0987232613</v>
      </c>
      <c r="G715" s="211">
        <f>SUM(G626:G647)+SUM(G668:G713)</f>
        <v>2072632.1045246834</v>
      </c>
      <c r="H715" s="211">
        <f>SUM(H629:H647)+SUM(H668:H713)</f>
        <v>2088452.9968592857</v>
      </c>
      <c r="I715" s="211" t="e">
        <f>SUM(I630:I647)+SUM(I668:I713)</f>
        <v>#DIV/0!</v>
      </c>
      <c r="J715" s="211" t="e">
        <f>SUM(J631:J647)+SUM(J668:J713)</f>
        <v>#DIV/0!</v>
      </c>
      <c r="K715" s="211" t="e">
        <f>SUM(K668:K713)</f>
        <v>#DIV/0!</v>
      </c>
      <c r="L715" s="211" t="e">
        <f>SUM(L668:L713)</f>
        <v>#DIV/0!</v>
      </c>
      <c r="M715" s="211" t="e">
        <f>SUM(M668:M713)</f>
        <v>#DIV/0!</v>
      </c>
      <c r="N715" s="220" t="s">
        <v>695</v>
      </c>
    </row>
    <row r="716" spans="1:14" s="211" customFormat="1" ht="12.65" customHeight="1" x14ac:dyDescent="0.2">
      <c r="C716" s="223">
        <f>CE85</f>
        <v>128254399.51999998</v>
      </c>
      <c r="D716" s="211">
        <f>D615</f>
        <v>-311712.46999999974</v>
      </c>
      <c r="E716" s="211">
        <f>E623</f>
        <v>9395305.7202349268</v>
      </c>
      <c r="F716" s="211">
        <f>F624</f>
        <v>1042055.0987232609</v>
      </c>
      <c r="G716" s="211">
        <f>G625</f>
        <v>2072632.1045246834</v>
      </c>
      <c r="H716" s="211">
        <f>H628</f>
        <v>2088452.996859286</v>
      </c>
      <c r="I716" s="211">
        <f>I629</f>
        <v>3267392.1444972213</v>
      </c>
      <c r="J716" s="211" t="e">
        <f>J630</f>
        <v>#DIV/0!</v>
      </c>
      <c r="K716" s="211" t="e">
        <f>K644</f>
        <v>#DIV/0!</v>
      </c>
      <c r="L716" s="211" t="e">
        <f>L647</f>
        <v>#DIV/0!</v>
      </c>
      <c r="M716" s="211">
        <f>C648</f>
        <v>39386783.280000009</v>
      </c>
      <c r="N716" s="220" t="s">
        <v>696</v>
      </c>
    </row>
  </sheetData>
  <sheetProtection algorithmName="SHA-512" hashValue="M5M9FPDaTM8UCXuimwJanDfCKWDZ2hwKSM6ebqo6w3wG4H/ZsFUbo9PiFpq8nXxSbFHI/4nTpeRxkBw0DErGtw==" saltValue="SdiVRIYqihJ9B3fXOPAbpQ==" spinCount="100000" sheet="1"/>
  <mergeCells count="2">
    <mergeCell ref="B236:C236"/>
    <mergeCell ref="A426:E427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86" fitToHeight="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133F-B8A7-4988-965A-A78826E04863}">
  <sheetPr codeName="Sheet8"/>
  <dimension ref="A1:C179"/>
  <sheetViews>
    <sheetView view="pageBreakPreview" topLeftCell="A39" zoomScale="60" zoomScaleNormal="100" workbookViewId="0">
      <selection activeCell="C45" sqref="C45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892</v>
      </c>
      <c r="B1" s="178"/>
      <c r="C1" s="178"/>
    </row>
    <row r="2" spans="1:3" ht="20.149999999999999" customHeight="1" x14ac:dyDescent="0.35">
      <c r="A2" s="177"/>
      <c r="B2" s="178"/>
      <c r="C2" s="103" t="s">
        <v>893</v>
      </c>
    </row>
    <row r="3" spans="1:3" ht="20.149999999999999" customHeight="1" x14ac:dyDescent="0.35">
      <c r="A3" s="129" t="str">
        <f>"Hospital: "&amp;data!C98</f>
        <v>Hospital: Public Hospital District No 1 of Mason County, WA, DBA Mason Health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894</v>
      </c>
      <c r="C4" s="182"/>
    </row>
    <row r="5" spans="1:3" ht="20.149999999999999" customHeight="1" x14ac:dyDescent="0.35">
      <c r="A5" s="183">
        <v>1</v>
      </c>
      <c r="B5" s="184" t="s">
        <v>422</v>
      </c>
      <c r="C5" s="184"/>
    </row>
    <row r="6" spans="1:3" ht="20.149999999999999" customHeight="1" x14ac:dyDescent="0.35">
      <c r="A6" s="183">
        <v>2</v>
      </c>
      <c r="B6" s="185" t="s">
        <v>423</v>
      </c>
      <c r="C6" s="185">
        <f>data!C266</f>
        <v>99584319.890000001</v>
      </c>
    </row>
    <row r="7" spans="1:3" ht="20.149999999999999" customHeight="1" x14ac:dyDescent="0.35">
      <c r="A7" s="183">
        <v>3</v>
      </c>
      <c r="B7" s="185" t="s">
        <v>424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425</v>
      </c>
      <c r="C8" s="185">
        <f>data!C268</f>
        <v>45587003.270000003</v>
      </c>
    </row>
    <row r="9" spans="1:3" ht="20.149999999999999" customHeight="1" x14ac:dyDescent="0.35">
      <c r="A9" s="183">
        <v>5</v>
      </c>
      <c r="B9" s="185" t="s">
        <v>895</v>
      </c>
      <c r="C9" s="185">
        <f>data!C269</f>
        <v>27766671.010000002</v>
      </c>
    </row>
    <row r="10" spans="1:3" ht="20.149999999999999" customHeight="1" x14ac:dyDescent="0.35">
      <c r="A10" s="183">
        <v>6</v>
      </c>
      <c r="B10" s="185" t="s">
        <v>896</v>
      </c>
      <c r="C10" s="185" t="str">
        <f>data!C270</f>
        <v/>
      </c>
    </row>
    <row r="11" spans="1:3" ht="20.149999999999999" customHeight="1" x14ac:dyDescent="0.35">
      <c r="A11" s="183">
        <v>7</v>
      </c>
      <c r="B11" s="185" t="s">
        <v>897</v>
      </c>
      <c r="C11" s="185">
        <f>data!C271</f>
        <v>603187.49</v>
      </c>
    </row>
    <row r="12" spans="1:3" ht="20.149999999999999" customHeight="1" x14ac:dyDescent="0.35">
      <c r="A12" s="183">
        <v>8</v>
      </c>
      <c r="B12" s="185" t="s">
        <v>429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430</v>
      </c>
      <c r="C13" s="185">
        <f>data!C273</f>
        <v>2096970.79</v>
      </c>
    </row>
    <row r="14" spans="1:3" ht="20.149999999999999" customHeight="1" x14ac:dyDescent="0.35">
      <c r="A14" s="183">
        <v>10</v>
      </c>
      <c r="B14" s="185" t="s">
        <v>431</v>
      </c>
      <c r="C14" s="185">
        <f>data!C274</f>
        <v>2332512.87</v>
      </c>
    </row>
    <row r="15" spans="1:3" ht="20.149999999999999" customHeight="1" x14ac:dyDescent="0.35">
      <c r="A15" s="183">
        <v>11</v>
      </c>
      <c r="B15" s="185" t="s">
        <v>898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899</v>
      </c>
      <c r="C16" s="185">
        <f>data!D276</f>
        <v>122437323.3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900</v>
      </c>
      <c r="C18" s="184"/>
    </row>
    <row r="19" spans="1:3" ht="20.149999999999999" customHeight="1" x14ac:dyDescent="0.35">
      <c r="A19" s="183">
        <v>15</v>
      </c>
      <c r="B19" s="185" t="s">
        <v>423</v>
      </c>
      <c r="C19" s="185">
        <f>data!C278</f>
        <v>84131.139999999854</v>
      </c>
    </row>
    <row r="20" spans="1:3" ht="20.149999999999999" customHeight="1" x14ac:dyDescent="0.35">
      <c r="A20" s="183">
        <v>16</v>
      </c>
      <c r="B20" s="185" t="s">
        <v>424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435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901</v>
      </c>
      <c r="C22" s="185">
        <f>data!D281</f>
        <v>84131.139999999854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902</v>
      </c>
      <c r="C24" s="184"/>
    </row>
    <row r="25" spans="1:3" ht="20.149999999999999" customHeight="1" x14ac:dyDescent="0.35">
      <c r="A25" s="183">
        <v>21</v>
      </c>
      <c r="B25" s="185" t="s">
        <v>392</v>
      </c>
      <c r="C25" s="185">
        <f>data!C283</f>
        <v>2817552.07</v>
      </c>
    </row>
    <row r="26" spans="1:3" ht="20.149999999999999" customHeight="1" x14ac:dyDescent="0.35">
      <c r="A26" s="183">
        <v>22</v>
      </c>
      <c r="B26" s="185" t="s">
        <v>393</v>
      </c>
      <c r="C26" s="185">
        <f>data!C284</f>
        <v>11111246.33</v>
      </c>
    </row>
    <row r="27" spans="1:3" ht="20.149999999999999" customHeight="1" x14ac:dyDescent="0.35">
      <c r="A27" s="183">
        <v>23</v>
      </c>
      <c r="B27" s="185" t="s">
        <v>394</v>
      </c>
      <c r="C27" s="185">
        <f>data!C285</f>
        <v>60196294.75</v>
      </c>
    </row>
    <row r="28" spans="1:3" ht="20.149999999999999" customHeight="1" x14ac:dyDescent="0.35">
      <c r="A28" s="183">
        <v>24</v>
      </c>
      <c r="B28" s="185" t="s">
        <v>903</v>
      </c>
      <c r="C28" s="185">
        <f>data!C286</f>
        <v>34490584.100000001</v>
      </c>
    </row>
    <row r="29" spans="1:3" ht="20.149999999999999" customHeight="1" x14ac:dyDescent="0.35">
      <c r="A29" s="183">
        <v>25</v>
      </c>
      <c r="B29" s="185" t="s">
        <v>396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440</v>
      </c>
      <c r="C30" s="185">
        <f>data!C288</f>
        <v>104296835.83</v>
      </c>
    </row>
    <row r="31" spans="1:3" ht="20.149999999999999" customHeight="1" x14ac:dyDescent="0.35">
      <c r="A31" s="183">
        <v>27</v>
      </c>
      <c r="B31" s="185" t="s">
        <v>399</v>
      </c>
      <c r="C31" s="185">
        <f>data!C289</f>
        <v>1174052.3700000001</v>
      </c>
    </row>
    <row r="32" spans="1:3" ht="20.149999999999999" customHeight="1" x14ac:dyDescent="0.35">
      <c r="A32" s="183">
        <v>28</v>
      </c>
      <c r="B32" s="185" t="s">
        <v>400</v>
      </c>
      <c r="C32" s="185">
        <f>data!C290</f>
        <v>3349965.08</v>
      </c>
    </row>
    <row r="33" spans="1:3" ht="20.149999999999999" customHeight="1" x14ac:dyDescent="0.35">
      <c r="A33" s="183">
        <v>29</v>
      </c>
      <c r="B33" s="185" t="s">
        <v>613</v>
      </c>
      <c r="C33" s="185">
        <f>SUM(C25:C32)</f>
        <v>217436530.53</v>
      </c>
    </row>
    <row r="34" spans="1:3" ht="20.149999999999999" customHeight="1" x14ac:dyDescent="0.35">
      <c r="A34" s="183">
        <v>30</v>
      </c>
      <c r="B34" s="185" t="s">
        <v>904</v>
      </c>
      <c r="C34" s="185">
        <f>data!C292</f>
        <v>107674286.33</v>
      </c>
    </row>
    <row r="35" spans="1:3" ht="20.149999999999999" customHeight="1" x14ac:dyDescent="0.35">
      <c r="A35" s="183">
        <v>31</v>
      </c>
      <c r="B35" s="185" t="s">
        <v>905</v>
      </c>
      <c r="C35" s="185">
        <f>+C33-C34</f>
        <v>109762244.2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906</v>
      </c>
      <c r="C37" s="184"/>
    </row>
    <row r="38" spans="1:3" ht="20.149999999999999" customHeight="1" x14ac:dyDescent="0.35">
      <c r="A38" s="183">
        <v>34</v>
      </c>
      <c r="B38" s="185" t="s">
        <v>907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908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447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435</v>
      </c>
      <c r="C41" s="185">
        <f>data!C298</f>
        <v>0</v>
      </c>
    </row>
    <row r="42" spans="1:3" ht="20.149999999999999" customHeight="1" x14ac:dyDescent="0.35">
      <c r="A42" s="183">
        <v>38</v>
      </c>
      <c r="B42" s="185" t="s">
        <v>909</v>
      </c>
      <c r="C42" s="185">
        <f>data!D299</f>
        <v>0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910</v>
      </c>
      <c r="C44" s="184"/>
    </row>
    <row r="45" spans="1:3" ht="20.149999999999999" customHeight="1" x14ac:dyDescent="0.35">
      <c r="A45" s="183">
        <v>41</v>
      </c>
      <c r="B45" s="185" t="s">
        <v>450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451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911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453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912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913</v>
      </c>
      <c r="C50" s="185">
        <f>data!D308</f>
        <v>232283698.63999999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914</v>
      </c>
      <c r="B53" s="178"/>
      <c r="C53" s="178"/>
    </row>
    <row r="54" spans="1:3" ht="20.149999999999999" customHeight="1" x14ac:dyDescent="0.35">
      <c r="A54" s="177"/>
      <c r="B54" s="178"/>
      <c r="C54" s="103" t="s">
        <v>915</v>
      </c>
    </row>
    <row r="55" spans="1:3" ht="20.149999999999999" customHeight="1" x14ac:dyDescent="0.35">
      <c r="A55" s="129" t="str">
        <f>"Hospital: "&amp;data!C98</f>
        <v>Hospital: Public Hospital District No 1 of Mason County, WA, DBA Mason Health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916</v>
      </c>
      <c r="C56" s="182"/>
    </row>
    <row r="57" spans="1:3" ht="20.149999999999999" customHeight="1" x14ac:dyDescent="0.35">
      <c r="A57" s="192">
        <v>1</v>
      </c>
      <c r="B57" s="177" t="s">
        <v>457</v>
      </c>
      <c r="C57" s="193"/>
    </row>
    <row r="58" spans="1:3" ht="20.149999999999999" customHeight="1" x14ac:dyDescent="0.35">
      <c r="A58" s="183">
        <v>2</v>
      </c>
      <c r="B58" s="185" t="s">
        <v>458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917</v>
      </c>
      <c r="C59" s="185">
        <f>data!C315</f>
        <v>5034244.93</v>
      </c>
    </row>
    <row r="60" spans="1:3" ht="20.149999999999999" customHeight="1" x14ac:dyDescent="0.35">
      <c r="A60" s="183">
        <v>4</v>
      </c>
      <c r="B60" s="185" t="s">
        <v>918</v>
      </c>
      <c r="C60" s="185">
        <f>data!C316</f>
        <v>10254973.85</v>
      </c>
    </row>
    <row r="61" spans="1:3" ht="20.149999999999999" customHeight="1" x14ac:dyDescent="0.35">
      <c r="A61" s="183">
        <v>5</v>
      </c>
      <c r="B61" s="185" t="s">
        <v>461</v>
      </c>
      <c r="C61" s="185">
        <f>data!C317</f>
        <v>98071.65</v>
      </c>
    </row>
    <row r="62" spans="1:3" ht="20.149999999999999" customHeight="1" x14ac:dyDescent="0.35">
      <c r="A62" s="183">
        <v>6</v>
      </c>
      <c r="B62" s="185" t="s">
        <v>919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920</v>
      </c>
      <c r="C63" s="185">
        <f>data!C319</f>
        <v>2272612.7199999997</v>
      </c>
    </row>
    <row r="64" spans="1:3" ht="20.149999999999999" customHeight="1" x14ac:dyDescent="0.35">
      <c r="A64" s="183">
        <v>8</v>
      </c>
      <c r="B64" s="185" t="s">
        <v>464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465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466</v>
      </c>
      <c r="C66" s="185">
        <f>data!C322</f>
        <v>204997.23</v>
      </c>
    </row>
    <row r="67" spans="1:3" ht="20.149999999999999" customHeight="1" x14ac:dyDescent="0.35">
      <c r="A67" s="183">
        <v>11</v>
      </c>
      <c r="B67" s="185" t="s">
        <v>921</v>
      </c>
      <c r="C67" s="185">
        <f>data!C323</f>
        <v>6600928.2200000007</v>
      </c>
    </row>
    <row r="68" spans="1:3" ht="20.149999999999999" customHeight="1" x14ac:dyDescent="0.35">
      <c r="A68" s="183">
        <v>12</v>
      </c>
      <c r="B68" s="185" t="s">
        <v>922</v>
      </c>
      <c r="C68" s="185">
        <f>data!D324</f>
        <v>24465828.600000001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923</v>
      </c>
      <c r="C70" s="184"/>
    </row>
    <row r="71" spans="1:3" ht="20.149999999999999" customHeight="1" x14ac:dyDescent="0.35">
      <c r="A71" s="183">
        <v>15</v>
      </c>
      <c r="B71" s="185" t="s">
        <v>470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924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472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925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474</v>
      </c>
      <c r="C76" s="184"/>
    </row>
    <row r="77" spans="1:3" ht="20.149999999999999" customHeight="1" x14ac:dyDescent="0.35">
      <c r="A77" s="183">
        <v>21</v>
      </c>
      <c r="B77" s="185" t="s">
        <v>475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926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477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927</v>
      </c>
      <c r="C80" s="185">
        <f>data!C334</f>
        <v>37092186.359999999</v>
      </c>
    </row>
    <row r="81" spans="1:3" ht="20.149999999999999" customHeight="1" x14ac:dyDescent="0.35">
      <c r="A81" s="183">
        <v>25</v>
      </c>
      <c r="B81" s="185" t="s">
        <v>479</v>
      </c>
      <c r="C81" s="185">
        <f>data!C335</f>
        <v>62378791.049999997</v>
      </c>
    </row>
    <row r="82" spans="1:3" ht="20.149999999999999" customHeight="1" x14ac:dyDescent="0.35">
      <c r="A82" s="183">
        <v>26</v>
      </c>
      <c r="B82" s="185" t="s">
        <v>928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481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482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613</v>
      </c>
      <c r="C85" s="185">
        <f>data!D339</f>
        <v>99470977.409999996</v>
      </c>
    </row>
    <row r="86" spans="1:3" ht="20.149999999999999" customHeight="1" x14ac:dyDescent="0.35">
      <c r="A86" s="183">
        <v>30</v>
      </c>
      <c r="B86" s="185" t="s">
        <v>929</v>
      </c>
      <c r="C86" s="185">
        <f>data!D340</f>
        <v>6600928.2200000007</v>
      </c>
    </row>
    <row r="87" spans="1:3" ht="20.149999999999999" customHeight="1" x14ac:dyDescent="0.35">
      <c r="A87" s="183">
        <v>31</v>
      </c>
      <c r="B87" s="185" t="s">
        <v>930</v>
      </c>
      <c r="C87" s="185">
        <f>data!D341</f>
        <v>92870049.189999998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931</v>
      </c>
      <c r="C89" s="185">
        <f>data!C343</f>
        <v>114947820.8499999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932</v>
      </c>
      <c r="C91" s="184"/>
    </row>
    <row r="92" spans="1:3" ht="20.149999999999999" customHeight="1" x14ac:dyDescent="0.35">
      <c r="A92" s="183">
        <v>36</v>
      </c>
      <c r="B92" s="185" t="s">
        <v>486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487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933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934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935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936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937</v>
      </c>
      <c r="C102" s="185">
        <f>data!C343+data!C345+data!C346+data!C347+data!C348-data!C349</f>
        <v>114947820.8499999</v>
      </c>
    </row>
    <row r="103" spans="1:3" ht="20.149999999999999" customHeight="1" x14ac:dyDescent="0.35">
      <c r="A103" s="183">
        <v>47</v>
      </c>
      <c r="B103" s="185" t="s">
        <v>938</v>
      </c>
      <c r="C103" s="185">
        <f>data!D352</f>
        <v>232283698.63999999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939</v>
      </c>
      <c r="B106" s="178"/>
      <c r="C106" s="178"/>
    </row>
    <row r="107" spans="1:3" ht="20.149999999999999" customHeight="1" x14ac:dyDescent="0.35">
      <c r="A107" s="179"/>
      <c r="C107" s="103" t="s">
        <v>940</v>
      </c>
    </row>
    <row r="108" spans="1:3" ht="20.149999999999999" customHeight="1" x14ac:dyDescent="0.35">
      <c r="A108" s="129" t="str">
        <f>"Hospital: "&amp;data!C98</f>
        <v>Hospital: Public Hospital District No 1 of Mason County, WA, DBA Mason Health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941</v>
      </c>
      <c r="C110" s="184"/>
    </row>
    <row r="111" spans="1:3" ht="20.149999999999999" customHeight="1" x14ac:dyDescent="0.35">
      <c r="A111" s="183">
        <v>2</v>
      </c>
      <c r="B111" s="185" t="s">
        <v>495</v>
      </c>
      <c r="C111" s="185">
        <f>data!C358</f>
        <v>69086651.879999995</v>
      </c>
    </row>
    <row r="112" spans="1:3" ht="20.149999999999999" customHeight="1" x14ac:dyDescent="0.35">
      <c r="A112" s="183">
        <v>3</v>
      </c>
      <c r="B112" s="185" t="s">
        <v>496</v>
      </c>
      <c r="C112" s="185">
        <f>data!C359</f>
        <v>266733237.40000001</v>
      </c>
    </row>
    <row r="113" spans="1:3" ht="20.149999999999999" customHeight="1" x14ac:dyDescent="0.35">
      <c r="A113" s="183">
        <v>4</v>
      </c>
      <c r="B113" s="185" t="s">
        <v>942</v>
      </c>
      <c r="C113" s="185">
        <f>SUM(C111:C112)</f>
        <v>335819889.27999997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943</v>
      </c>
      <c r="C115" s="184"/>
    </row>
    <row r="116" spans="1:3" ht="20.149999999999999" customHeight="1" x14ac:dyDescent="0.35">
      <c r="A116" s="183">
        <v>7</v>
      </c>
      <c r="B116" s="197" t="s">
        <v>944</v>
      </c>
      <c r="C116" s="198">
        <f>data!C362</f>
        <v>2040032.9900000002</v>
      </c>
    </row>
    <row r="117" spans="1:3" ht="20.149999999999999" customHeight="1" x14ac:dyDescent="0.35">
      <c r="A117" s="183">
        <v>8</v>
      </c>
      <c r="B117" s="185" t="s">
        <v>499</v>
      </c>
      <c r="C117" s="198">
        <f>data!C363</f>
        <v>185921079.64000002</v>
      </c>
    </row>
    <row r="118" spans="1:3" ht="20.149999999999999" customHeight="1" x14ac:dyDescent="0.35">
      <c r="A118" s="183">
        <v>9</v>
      </c>
      <c r="B118" s="185" t="s">
        <v>945</v>
      </c>
      <c r="C118" s="198">
        <f>data!C364</f>
        <v>4897833.38</v>
      </c>
    </row>
    <row r="119" spans="1:3" ht="20.149999999999999" customHeight="1" x14ac:dyDescent="0.35">
      <c r="A119" s="183">
        <v>10</v>
      </c>
      <c r="B119" s="185" t="s">
        <v>946</v>
      </c>
      <c r="C119" s="198">
        <f>data!C365</f>
        <v>5769987.7800000003</v>
      </c>
    </row>
    <row r="120" spans="1:3" ht="20.149999999999999" customHeight="1" x14ac:dyDescent="0.35">
      <c r="A120" s="183">
        <v>11</v>
      </c>
      <c r="B120" s="185" t="s">
        <v>890</v>
      </c>
      <c r="C120" s="198">
        <f>SUM(C116:C119)</f>
        <v>198628933.79000002</v>
      </c>
    </row>
    <row r="121" spans="1:3" ht="20.149999999999999" customHeight="1" x14ac:dyDescent="0.35">
      <c r="A121" s="183">
        <v>12</v>
      </c>
      <c r="B121" s="185" t="s">
        <v>947</v>
      </c>
      <c r="C121" s="198">
        <f>+C113-C120</f>
        <v>137190955.48999995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503</v>
      </c>
      <c r="C123" s="184"/>
    </row>
    <row r="124" spans="1:3" ht="20.149999999999999" customHeight="1" x14ac:dyDescent="0.35">
      <c r="A124" s="183">
        <v>15</v>
      </c>
      <c r="B124" s="199" t="s">
        <v>504</v>
      </c>
      <c r="C124" s="200"/>
    </row>
    <row r="125" spans="1:3" ht="20.149999999999999" customHeight="1" x14ac:dyDescent="0.35">
      <c r="A125" s="204" t="s">
        <v>948</v>
      </c>
      <c r="B125" s="201" t="s">
        <v>505</v>
      </c>
      <c r="C125" s="200">
        <f>data!C370</f>
        <v>0</v>
      </c>
    </row>
    <row r="126" spans="1:3" ht="20.149999999999999" customHeight="1" x14ac:dyDescent="0.35">
      <c r="A126" s="204" t="s">
        <v>949</v>
      </c>
      <c r="B126" s="201" t="s">
        <v>506</v>
      </c>
      <c r="C126" s="200">
        <f>data!C371</f>
        <v>0</v>
      </c>
    </row>
    <row r="127" spans="1:3" ht="20.149999999999999" customHeight="1" x14ac:dyDescent="0.35">
      <c r="A127" s="204" t="s">
        <v>950</v>
      </c>
      <c r="B127" s="201" t="s">
        <v>507</v>
      </c>
      <c r="C127" s="200">
        <f>data!C372</f>
        <v>0</v>
      </c>
    </row>
    <row r="128" spans="1:3" ht="20.149999999999999" customHeight="1" x14ac:dyDescent="0.35">
      <c r="A128" s="204" t="s">
        <v>951</v>
      </c>
      <c r="B128" s="201" t="s">
        <v>508</v>
      </c>
      <c r="C128" s="200">
        <f>data!C373</f>
        <v>0</v>
      </c>
    </row>
    <row r="129" spans="1:3" ht="20.149999999999999" customHeight="1" x14ac:dyDescent="0.35">
      <c r="A129" s="204" t="s">
        <v>952</v>
      </c>
      <c r="B129" s="201" t="s">
        <v>509</v>
      </c>
      <c r="C129" s="200">
        <f>data!C374</f>
        <v>0</v>
      </c>
    </row>
    <row r="130" spans="1:3" ht="20.149999999999999" customHeight="1" x14ac:dyDescent="0.35">
      <c r="A130" s="204" t="s">
        <v>953</v>
      </c>
      <c r="B130" s="201" t="s">
        <v>510</v>
      </c>
      <c r="C130" s="200">
        <f>data!C375</f>
        <v>0</v>
      </c>
    </row>
    <row r="131" spans="1:3" ht="20.149999999999999" customHeight="1" x14ac:dyDescent="0.35">
      <c r="A131" s="204" t="s">
        <v>954</v>
      </c>
      <c r="B131" s="201" t="s">
        <v>511</v>
      </c>
      <c r="C131" s="200">
        <f>data!C376</f>
        <v>0</v>
      </c>
    </row>
    <row r="132" spans="1:3" ht="20.149999999999999" customHeight="1" x14ac:dyDescent="0.35">
      <c r="A132" s="204" t="s">
        <v>955</v>
      </c>
      <c r="B132" s="201" t="s">
        <v>512</v>
      </c>
      <c r="C132" s="200">
        <f>data!C377</f>
        <v>0</v>
      </c>
    </row>
    <row r="133" spans="1:3" ht="20.149999999999999" customHeight="1" x14ac:dyDescent="0.35">
      <c r="A133" s="204" t="s">
        <v>956</v>
      </c>
      <c r="B133" s="201" t="s">
        <v>513</v>
      </c>
      <c r="C133" s="200">
        <f>data!C378</f>
        <v>0</v>
      </c>
    </row>
    <row r="134" spans="1:3" ht="20.149999999999999" customHeight="1" x14ac:dyDescent="0.35">
      <c r="A134" s="204" t="s">
        <v>957</v>
      </c>
      <c r="B134" s="201" t="s">
        <v>514</v>
      </c>
      <c r="C134" s="200">
        <f>data!C379</f>
        <v>0</v>
      </c>
    </row>
    <row r="135" spans="1:3" ht="20.149999999999999" customHeight="1" x14ac:dyDescent="0.35">
      <c r="A135" s="204" t="s">
        <v>958</v>
      </c>
      <c r="B135" s="201" t="s">
        <v>515</v>
      </c>
      <c r="C135" s="200">
        <f>data!C380</f>
        <v>4690606.6399999997</v>
      </c>
    </row>
    <row r="136" spans="1:3" ht="20.149999999999999" customHeight="1" x14ac:dyDescent="0.35">
      <c r="A136" s="183">
        <v>16</v>
      </c>
      <c r="B136" s="185" t="s">
        <v>517</v>
      </c>
      <c r="C136" s="200">
        <f>+data!C382</f>
        <v>2444827.8200000003</v>
      </c>
    </row>
    <row r="137" spans="1:3" ht="20.149999999999999" customHeight="1" x14ac:dyDescent="0.35">
      <c r="A137" s="183">
        <v>17</v>
      </c>
      <c r="B137" s="185" t="s">
        <v>959</v>
      </c>
      <c r="C137" s="198">
        <f>SUM(C125:C136)</f>
        <v>7135434.46</v>
      </c>
    </row>
    <row r="138" spans="1:3" ht="20.149999999999999" customHeight="1" x14ac:dyDescent="0.35">
      <c r="A138" s="183">
        <v>18</v>
      </c>
      <c r="B138" s="185" t="s">
        <v>960</v>
      </c>
      <c r="C138" s="198">
        <f>+C121+C137</f>
        <v>144326389.94999996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961</v>
      </c>
      <c r="C140" s="184"/>
    </row>
    <row r="141" spans="1:3" ht="20.149999999999999" customHeight="1" x14ac:dyDescent="0.35">
      <c r="A141" s="183">
        <v>21</v>
      </c>
      <c r="B141" s="185" t="s">
        <v>521</v>
      </c>
      <c r="C141" s="198">
        <f>data!C389</f>
        <v>60854332.469999999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18816586.150000002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11313643.48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15201655.91</v>
      </c>
    </row>
    <row r="145" spans="1:3" ht="20.149999999999999" customHeight="1" x14ac:dyDescent="0.35">
      <c r="A145" s="183">
        <v>25</v>
      </c>
      <c r="B145" s="185" t="s">
        <v>962</v>
      </c>
      <c r="C145" s="198">
        <f>data!C393</f>
        <v>1314812.7</v>
      </c>
    </row>
    <row r="146" spans="1:3" ht="20.149999999999999" customHeight="1" x14ac:dyDescent="0.35">
      <c r="A146" s="183">
        <v>26</v>
      </c>
      <c r="B146" s="185" t="s">
        <v>963</v>
      </c>
      <c r="C146" s="198">
        <f>data!C394</f>
        <v>13049019.969999999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12671902.43</v>
      </c>
    </row>
    <row r="148" spans="1:3" ht="20.149999999999999" customHeight="1" x14ac:dyDescent="0.35">
      <c r="A148" s="183">
        <v>28</v>
      </c>
      <c r="B148" s="185" t="s">
        <v>964</v>
      </c>
      <c r="C148" s="198">
        <f>data!C396</f>
        <v>324369.43000000005</v>
      </c>
    </row>
    <row r="149" spans="1:3" ht="20.149999999999999" customHeight="1" x14ac:dyDescent="0.35">
      <c r="A149" s="183">
        <v>29</v>
      </c>
      <c r="B149" s="185" t="s">
        <v>526</v>
      </c>
      <c r="C149" s="198">
        <f>data!C397</f>
        <v>1262762.68</v>
      </c>
    </row>
    <row r="150" spans="1:3" ht="20.149999999999999" customHeight="1" x14ac:dyDescent="0.35">
      <c r="A150" s="183">
        <v>30</v>
      </c>
      <c r="B150" s="185" t="s">
        <v>965</v>
      </c>
      <c r="C150" s="198">
        <f>data!C398</f>
        <v>683332.67999999993</v>
      </c>
    </row>
    <row r="151" spans="1:3" ht="20.149999999999999" customHeight="1" x14ac:dyDescent="0.35">
      <c r="A151" s="183">
        <v>31</v>
      </c>
      <c r="B151" s="185" t="s">
        <v>528</v>
      </c>
      <c r="C151" s="198">
        <f>data!C399</f>
        <v>3187322.12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966</v>
      </c>
      <c r="B153" s="202" t="s">
        <v>270</v>
      </c>
      <c r="C153" s="198">
        <f>data!C401</f>
        <v>0</v>
      </c>
    </row>
    <row r="154" spans="1:3" ht="20.149999999999999" customHeight="1" x14ac:dyDescent="0.35">
      <c r="A154" s="204" t="s">
        <v>967</v>
      </c>
      <c r="B154" s="202" t="s">
        <v>271</v>
      </c>
      <c r="C154" s="198">
        <f>data!C402</f>
        <v>0</v>
      </c>
    </row>
    <row r="155" spans="1:3" ht="20.149999999999999" customHeight="1" x14ac:dyDescent="0.35">
      <c r="A155" s="204" t="s">
        <v>968</v>
      </c>
      <c r="B155" s="202" t="s">
        <v>969</v>
      </c>
      <c r="C155" s="198">
        <f>data!C403</f>
        <v>0</v>
      </c>
    </row>
    <row r="156" spans="1:3" ht="20.149999999999999" customHeight="1" x14ac:dyDescent="0.35">
      <c r="A156" s="204" t="s">
        <v>970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971</v>
      </c>
      <c r="B157" s="202" t="s">
        <v>274</v>
      </c>
      <c r="C157" s="198">
        <f>data!C405</f>
        <v>0</v>
      </c>
    </row>
    <row r="158" spans="1:3" ht="20.149999999999999" customHeight="1" x14ac:dyDescent="0.35">
      <c r="A158" s="204" t="s">
        <v>972</v>
      </c>
      <c r="B158" s="202" t="s">
        <v>275</v>
      </c>
      <c r="C158" s="198">
        <f>data!C406</f>
        <v>0</v>
      </c>
    </row>
    <row r="159" spans="1:3" ht="20.149999999999999" customHeight="1" x14ac:dyDescent="0.35">
      <c r="A159" s="204" t="s">
        <v>973</v>
      </c>
      <c r="B159" s="202" t="s">
        <v>276</v>
      </c>
      <c r="C159" s="198">
        <f>data!C407</f>
        <v>0</v>
      </c>
    </row>
    <row r="160" spans="1:3" ht="20.149999999999999" customHeight="1" x14ac:dyDescent="0.35">
      <c r="A160" s="204" t="s">
        <v>974</v>
      </c>
      <c r="B160" s="202" t="s">
        <v>277</v>
      </c>
      <c r="C160" s="198">
        <f>data!C408</f>
        <v>0</v>
      </c>
    </row>
    <row r="161" spans="1:3" ht="20.149999999999999" customHeight="1" x14ac:dyDescent="0.35">
      <c r="A161" s="204" t="s">
        <v>975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976</v>
      </c>
      <c r="B162" s="202" t="s">
        <v>279</v>
      </c>
      <c r="C162" s="198">
        <f>data!C410</f>
        <v>0</v>
      </c>
    </row>
    <row r="163" spans="1:3" ht="20.149999999999999" customHeight="1" x14ac:dyDescent="0.35">
      <c r="A163" s="204" t="s">
        <v>977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978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979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980</v>
      </c>
      <c r="B166" s="202" t="s">
        <v>981</v>
      </c>
      <c r="C166" s="198">
        <f>data!C414</f>
        <v>1625825.3</v>
      </c>
    </row>
    <row r="167" spans="1:3" ht="20.149999999999999" customHeight="1" x14ac:dyDescent="0.35">
      <c r="A167" s="183">
        <v>34</v>
      </c>
      <c r="B167" s="185" t="s">
        <v>982</v>
      </c>
      <c r="C167" s="198">
        <f>SUM(C141:C166)</f>
        <v>140305565.32000005</v>
      </c>
    </row>
    <row r="168" spans="1:3" ht="20.149999999999999" customHeight="1" x14ac:dyDescent="0.35">
      <c r="A168" s="183">
        <v>35</v>
      </c>
      <c r="B168" s="185" t="s">
        <v>983</v>
      </c>
      <c r="C168" s="198">
        <f>+C138-C167</f>
        <v>4020824.6299999058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984</v>
      </c>
      <c r="C170" s="198">
        <f>data!D420</f>
        <v>7360559.2899999991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985</v>
      </c>
      <c r="C172" s="185">
        <f>+C170+C168</f>
        <v>11381383.919999905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986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987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988</v>
      </c>
      <c r="C177" s="198">
        <f>SUM(C172:C176)</f>
        <v>11381383.919999905</v>
      </c>
    </row>
    <row r="178" spans="1:3" ht="20.149999999999999" customHeight="1" x14ac:dyDescent="0.35">
      <c r="A178" s="188">
        <v>45</v>
      </c>
      <c r="B178" s="187" t="s">
        <v>989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gridLines="1" gridLinesSet="0"/>
  <pageMargins left="0" right="0" top="0" bottom="0" header="0" footer="0"/>
  <pageSetup scale="61" fitToHeight="3" orientation="portrait" r:id="rId1"/>
  <headerFooter alignWithMargins="0"/>
  <rowBreaks count="3" manualBreakCount="3">
    <brk id="52" max="1048575" man="1"/>
    <brk id="105" max="1048575" man="1"/>
    <brk id="139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9CE6-3DD7-4163-89F9-F7F2DDFA68D7}">
  <sheetPr codeName="Sheet11"/>
  <dimension ref="A1:N410"/>
  <sheetViews>
    <sheetView showGridLines="0" topLeftCell="A34" zoomScale="65" workbookViewId="0">
      <selection activeCell="A34" sqref="A34"/>
    </sheetView>
  </sheetViews>
  <sheetFormatPr defaultColWidth="8.9140625" defaultRowHeight="20.149999999999999" customHeight="1" x14ac:dyDescent="0.35"/>
  <cols>
    <col min="1" max="1" width="5.75" style="243" customWidth="1"/>
    <col min="2" max="2" width="22.4140625" style="243" customWidth="1"/>
    <col min="3" max="8" width="13.75" style="243" customWidth="1"/>
    <col min="9" max="9" width="15.75" style="243" customWidth="1"/>
    <col min="10" max="11" width="8.9140625" style="243" customWidth="1"/>
    <col min="12" max="16384" width="8.9140625" style="243"/>
  </cols>
  <sheetData>
    <row r="1" spans="1:9" ht="20.149999999999999" customHeight="1" x14ac:dyDescent="0.35">
      <c r="A1" s="241" t="s">
        <v>990</v>
      </c>
      <c r="B1" s="242"/>
      <c r="C1" s="242"/>
      <c r="D1" s="242"/>
      <c r="E1" s="242"/>
      <c r="F1" s="242"/>
      <c r="G1" s="242"/>
      <c r="H1" s="242"/>
    </row>
    <row r="2" spans="1:9" ht="20.149999999999999" customHeight="1" x14ac:dyDescent="0.35">
      <c r="A2" s="244"/>
      <c r="I2" s="245" t="s">
        <v>991</v>
      </c>
    </row>
    <row r="3" spans="1:9" ht="20.149999999999999" customHeight="1" x14ac:dyDescent="0.35">
      <c r="A3" s="244"/>
      <c r="I3" s="244"/>
    </row>
    <row r="4" spans="1:9" ht="20.149999999999999" customHeight="1" x14ac:dyDescent="0.35">
      <c r="A4" s="246" t="str">
        <f>"Hospital: "&amp;data!C98</f>
        <v>Hospital: Public Hospital District No 1 of Mason County, WA, DBA Mason Health</v>
      </c>
      <c r="G4" s="247"/>
      <c r="H4" s="246" t="str">
        <f>"FYE: "&amp;data!C96</f>
        <v>FYE: 12/31/2023</v>
      </c>
    </row>
    <row r="5" spans="1:9" ht="20.149999999999999" customHeight="1" x14ac:dyDescent="0.35">
      <c r="A5" s="240">
        <v>1</v>
      </c>
      <c r="B5" s="248" t="s">
        <v>236</v>
      </c>
      <c r="C5" s="249" t="s">
        <v>36</v>
      </c>
      <c r="D5" s="250" t="s">
        <v>37</v>
      </c>
      <c r="E5" s="250" t="s">
        <v>38</v>
      </c>
      <c r="F5" s="250" t="s">
        <v>39</v>
      </c>
      <c r="G5" s="250" t="s">
        <v>40</v>
      </c>
      <c r="H5" s="250" t="s">
        <v>41</v>
      </c>
      <c r="I5" s="250" t="s">
        <v>42</v>
      </c>
    </row>
    <row r="6" spans="1:9" ht="20.149999999999999" customHeight="1" x14ac:dyDescent="0.35">
      <c r="A6" s="251">
        <v>2</v>
      </c>
      <c r="B6" s="252" t="s">
        <v>992</v>
      </c>
      <c r="C6" s="253" t="s">
        <v>118</v>
      </c>
      <c r="D6" s="254" t="s">
        <v>993</v>
      </c>
      <c r="E6" s="254" t="s">
        <v>120</v>
      </c>
      <c r="F6" s="254" t="s">
        <v>121</v>
      </c>
      <c r="G6" s="254" t="s">
        <v>122</v>
      </c>
      <c r="H6" s="254" t="s">
        <v>123</v>
      </c>
      <c r="I6" s="254" t="s">
        <v>124</v>
      </c>
    </row>
    <row r="7" spans="1:9" ht="20.149999999999999" customHeight="1" x14ac:dyDescent="0.35">
      <c r="A7" s="251"/>
      <c r="B7" s="252"/>
      <c r="C7" s="254" t="s">
        <v>190</v>
      </c>
      <c r="D7" s="254" t="s">
        <v>994</v>
      </c>
      <c r="E7" s="254" t="s">
        <v>190</v>
      </c>
      <c r="F7" s="254" t="s">
        <v>995</v>
      </c>
      <c r="G7" s="254" t="s">
        <v>192</v>
      </c>
      <c r="H7" s="254" t="s">
        <v>190</v>
      </c>
      <c r="I7" s="254" t="s">
        <v>193</v>
      </c>
    </row>
    <row r="8" spans="1:9" ht="20.149999999999999" customHeight="1" x14ac:dyDescent="0.35">
      <c r="A8" s="240">
        <v>3</v>
      </c>
      <c r="B8" s="248" t="s">
        <v>996</v>
      </c>
      <c r="C8" s="250" t="s">
        <v>242</v>
      </c>
      <c r="D8" s="250" t="s">
        <v>242</v>
      </c>
      <c r="E8" s="250" t="s">
        <v>242</v>
      </c>
      <c r="F8" s="250" t="s">
        <v>242</v>
      </c>
      <c r="G8" s="250" t="s">
        <v>242</v>
      </c>
      <c r="H8" s="250" t="s">
        <v>242</v>
      </c>
      <c r="I8" s="250" t="s">
        <v>242</v>
      </c>
    </row>
    <row r="9" spans="1:9" ht="20.149999999999999" customHeight="1" x14ac:dyDescent="0.35">
      <c r="A9" s="240">
        <v>4</v>
      </c>
      <c r="B9" s="248" t="s">
        <v>261</v>
      </c>
      <c r="C9" s="248">
        <f>data!C59</f>
        <v>711</v>
      </c>
      <c r="D9" s="248">
        <f>data!D59</f>
        <v>0</v>
      </c>
      <c r="E9" s="248">
        <f>data!E59</f>
        <v>4445</v>
      </c>
      <c r="F9" s="248">
        <f>data!F59</f>
        <v>0</v>
      </c>
      <c r="G9" s="248">
        <f>data!G59</f>
        <v>0</v>
      </c>
      <c r="H9" s="248">
        <f>data!H59</f>
        <v>0</v>
      </c>
      <c r="I9" s="248">
        <f>data!I59</f>
        <v>0</v>
      </c>
    </row>
    <row r="10" spans="1:9" ht="20.149999999999999" customHeight="1" x14ac:dyDescent="0.35">
      <c r="A10" s="240">
        <v>5</v>
      </c>
      <c r="B10" s="248" t="s">
        <v>262</v>
      </c>
      <c r="C10" s="255">
        <f>data!C60</f>
        <v>20.933825525240383</v>
      </c>
      <c r="D10" s="255">
        <f>data!D60</f>
        <v>0</v>
      </c>
      <c r="E10" s="255">
        <f>data!E60</f>
        <v>44.94</v>
      </c>
      <c r="F10" s="255">
        <f>data!F60</f>
        <v>0</v>
      </c>
      <c r="G10" s="255">
        <f>data!G60</f>
        <v>0</v>
      </c>
      <c r="H10" s="255">
        <f>data!H60</f>
        <v>0</v>
      </c>
      <c r="I10" s="255">
        <f>data!I60</f>
        <v>0</v>
      </c>
    </row>
    <row r="11" spans="1:9" ht="20.149999999999999" customHeight="1" x14ac:dyDescent="0.35">
      <c r="A11" s="240">
        <v>6</v>
      </c>
      <c r="B11" s="248" t="s">
        <v>263</v>
      </c>
      <c r="C11" s="248">
        <f>data!C61</f>
        <v>2333543.34</v>
      </c>
      <c r="D11" s="248">
        <f>data!D61</f>
        <v>0</v>
      </c>
      <c r="E11" s="248">
        <f>data!E61</f>
        <v>5015175</v>
      </c>
      <c r="F11" s="248">
        <f>data!F61</f>
        <v>0</v>
      </c>
      <c r="G11" s="248">
        <f>data!G61</f>
        <v>0</v>
      </c>
      <c r="H11" s="248">
        <f>data!H61</f>
        <v>0</v>
      </c>
      <c r="I11" s="248">
        <f>data!I61</f>
        <v>0</v>
      </c>
    </row>
    <row r="12" spans="1:9" ht="20.149999999999999" customHeight="1" x14ac:dyDescent="0.35">
      <c r="A12" s="240">
        <v>7</v>
      </c>
      <c r="B12" s="248" t="s">
        <v>11</v>
      </c>
      <c r="C12" s="248">
        <f>data!C62</f>
        <v>707429</v>
      </c>
      <c r="D12" s="248">
        <f>data!D62</f>
        <v>0</v>
      </c>
      <c r="E12" s="248">
        <f>data!E62</f>
        <v>1446107</v>
      </c>
      <c r="F12" s="248">
        <f>data!F62</f>
        <v>0</v>
      </c>
      <c r="G12" s="248">
        <f>data!G62</f>
        <v>0</v>
      </c>
      <c r="H12" s="248">
        <f>data!H62</f>
        <v>0</v>
      </c>
      <c r="I12" s="248">
        <f>data!I62</f>
        <v>0</v>
      </c>
    </row>
    <row r="13" spans="1:9" ht="20.149999999999999" customHeight="1" x14ac:dyDescent="0.35">
      <c r="A13" s="240">
        <v>8</v>
      </c>
      <c r="B13" s="248" t="s">
        <v>264</v>
      </c>
      <c r="C13" s="248">
        <f>data!C63</f>
        <v>327918.51999999996</v>
      </c>
      <c r="D13" s="248">
        <f>data!D63</f>
        <v>0</v>
      </c>
      <c r="E13" s="248">
        <f>data!E63</f>
        <v>1744557.55</v>
      </c>
      <c r="F13" s="248">
        <f>data!F63</f>
        <v>0</v>
      </c>
      <c r="G13" s="248">
        <f>data!G63</f>
        <v>0</v>
      </c>
      <c r="H13" s="248">
        <f>data!H63</f>
        <v>0</v>
      </c>
      <c r="I13" s="248">
        <f>data!I63</f>
        <v>0</v>
      </c>
    </row>
    <row r="14" spans="1:9" ht="20.149999999999999" customHeight="1" x14ac:dyDescent="0.35">
      <c r="A14" s="240">
        <v>9</v>
      </c>
      <c r="B14" s="248" t="s">
        <v>265</v>
      </c>
      <c r="C14" s="248">
        <f>data!C64</f>
        <v>228042.65000000002</v>
      </c>
      <c r="D14" s="248">
        <f>data!D64</f>
        <v>0</v>
      </c>
      <c r="E14" s="248">
        <f>data!E64</f>
        <v>241435.65</v>
      </c>
      <c r="F14" s="248">
        <f>data!F64</f>
        <v>0</v>
      </c>
      <c r="G14" s="248">
        <f>data!G64</f>
        <v>0</v>
      </c>
      <c r="H14" s="248">
        <f>data!H64</f>
        <v>0</v>
      </c>
      <c r="I14" s="248">
        <f>data!I64</f>
        <v>0</v>
      </c>
    </row>
    <row r="15" spans="1:9" ht="20.149999999999999" customHeight="1" x14ac:dyDescent="0.35">
      <c r="A15" s="240">
        <v>10</v>
      </c>
      <c r="B15" s="248" t="s">
        <v>523</v>
      </c>
      <c r="C15" s="248">
        <f>data!C65</f>
        <v>616.11999999999989</v>
      </c>
      <c r="D15" s="248">
        <f>data!D65</f>
        <v>0</v>
      </c>
      <c r="E15" s="248">
        <f>data!E65</f>
        <v>1040.21</v>
      </c>
      <c r="F15" s="248">
        <f>data!F65</f>
        <v>0</v>
      </c>
      <c r="G15" s="248">
        <f>data!G65</f>
        <v>0</v>
      </c>
      <c r="H15" s="248">
        <f>data!H65</f>
        <v>0</v>
      </c>
      <c r="I15" s="248">
        <f>data!I65</f>
        <v>0</v>
      </c>
    </row>
    <row r="16" spans="1:9" ht="20.149999999999999" customHeight="1" x14ac:dyDescent="0.35">
      <c r="A16" s="240">
        <v>11</v>
      </c>
      <c r="B16" s="248" t="s">
        <v>524</v>
      </c>
      <c r="C16" s="248">
        <f>data!C66</f>
        <v>15724.69</v>
      </c>
      <c r="D16" s="248">
        <f>data!D66</f>
        <v>0</v>
      </c>
      <c r="E16" s="248">
        <f>data!E66</f>
        <v>59728.22</v>
      </c>
      <c r="F16" s="248">
        <f>data!F66</f>
        <v>0</v>
      </c>
      <c r="G16" s="248">
        <f>data!G66</f>
        <v>0</v>
      </c>
      <c r="H16" s="248">
        <f>data!H66</f>
        <v>0</v>
      </c>
      <c r="I16" s="248">
        <f>data!I66</f>
        <v>0</v>
      </c>
    </row>
    <row r="17" spans="1:9" ht="20.149999999999999" customHeight="1" x14ac:dyDescent="0.35">
      <c r="A17" s="240">
        <v>12</v>
      </c>
      <c r="B17" s="248" t="s">
        <v>16</v>
      </c>
      <c r="C17" s="248">
        <f>data!C67</f>
        <v>204620</v>
      </c>
      <c r="D17" s="248">
        <f>data!D67</f>
        <v>0</v>
      </c>
      <c r="E17" s="248">
        <f>data!E67</f>
        <v>604422</v>
      </c>
      <c r="F17" s="248">
        <f>data!F67</f>
        <v>0</v>
      </c>
      <c r="G17" s="248">
        <f>data!G67</f>
        <v>0</v>
      </c>
      <c r="H17" s="248">
        <f>data!H67</f>
        <v>0</v>
      </c>
      <c r="I17" s="248">
        <f>data!I67</f>
        <v>0</v>
      </c>
    </row>
    <row r="18" spans="1:9" ht="20.149999999999999" customHeight="1" x14ac:dyDescent="0.35">
      <c r="A18" s="240">
        <v>13</v>
      </c>
      <c r="B18" s="248" t="s">
        <v>997</v>
      </c>
      <c r="C18" s="248">
        <f>data!C68</f>
        <v>10835.26</v>
      </c>
      <c r="D18" s="248">
        <f>data!D68</f>
        <v>0</v>
      </c>
      <c r="E18" s="248">
        <f>data!E68</f>
        <v>9651</v>
      </c>
      <c r="F18" s="248">
        <f>data!F68</f>
        <v>0</v>
      </c>
      <c r="G18" s="248">
        <f>data!G68</f>
        <v>0</v>
      </c>
      <c r="H18" s="248">
        <f>data!H68</f>
        <v>0</v>
      </c>
      <c r="I18" s="248">
        <f>data!I68</f>
        <v>0</v>
      </c>
    </row>
    <row r="19" spans="1:9" ht="20.149999999999999" customHeight="1" x14ac:dyDescent="0.35">
      <c r="A19" s="240">
        <v>14</v>
      </c>
      <c r="B19" s="248" t="s">
        <v>998</v>
      </c>
      <c r="C19" s="248">
        <f>data!C69</f>
        <v>648</v>
      </c>
      <c r="D19" s="248">
        <f>data!D69</f>
        <v>0</v>
      </c>
      <c r="E19" s="248">
        <f>data!E69</f>
        <v>4867</v>
      </c>
      <c r="F19" s="248">
        <f>data!F69</f>
        <v>0</v>
      </c>
      <c r="G19" s="248">
        <f>data!G69</f>
        <v>0</v>
      </c>
      <c r="H19" s="248">
        <f>data!H69</f>
        <v>0</v>
      </c>
      <c r="I19" s="248">
        <f>data!I69</f>
        <v>0</v>
      </c>
    </row>
    <row r="20" spans="1:9" ht="20.149999999999999" customHeight="1" x14ac:dyDescent="0.35">
      <c r="A20" s="240">
        <v>15</v>
      </c>
      <c r="B20" s="248" t="s">
        <v>284</v>
      </c>
      <c r="C20" s="248">
        <f>-data!C84</f>
        <v>0</v>
      </c>
      <c r="D20" s="248">
        <f>-data!D84</f>
        <v>0</v>
      </c>
      <c r="E20" s="248">
        <f>-data!E84</f>
        <v>0</v>
      </c>
      <c r="F20" s="248">
        <f>-data!F84</f>
        <v>0</v>
      </c>
      <c r="G20" s="248">
        <f>-data!G84</f>
        <v>0</v>
      </c>
      <c r="H20" s="248">
        <f>-data!H84</f>
        <v>0</v>
      </c>
      <c r="I20" s="248">
        <f>-data!I84</f>
        <v>0</v>
      </c>
    </row>
    <row r="21" spans="1:9" ht="20.149999999999999" customHeight="1" x14ac:dyDescent="0.35">
      <c r="A21" s="240">
        <v>16</v>
      </c>
      <c r="B21" s="256" t="s">
        <v>999</v>
      </c>
      <c r="C21" s="248">
        <f>data!C85</f>
        <v>3829377.5799999996</v>
      </c>
      <c r="D21" s="248">
        <f>data!D85</f>
        <v>0</v>
      </c>
      <c r="E21" s="248">
        <f>data!E85</f>
        <v>9126983.6300000008</v>
      </c>
      <c r="F21" s="248">
        <f>data!F85</f>
        <v>0</v>
      </c>
      <c r="G21" s="248">
        <f>data!G85</f>
        <v>0</v>
      </c>
      <c r="H21" s="248">
        <f>data!H85</f>
        <v>0</v>
      </c>
      <c r="I21" s="248">
        <f>data!I85</f>
        <v>0</v>
      </c>
    </row>
    <row r="22" spans="1:9" ht="20.149999999999999" customHeight="1" x14ac:dyDescent="0.35">
      <c r="A22" s="240">
        <v>17</v>
      </c>
      <c r="B22" s="248" t="s">
        <v>286</v>
      </c>
      <c r="C22" s="257"/>
      <c r="D22" s="258"/>
      <c r="E22" s="258"/>
      <c r="F22" s="258"/>
      <c r="G22" s="258"/>
      <c r="H22" s="258"/>
      <c r="I22" s="258"/>
    </row>
    <row r="23" spans="1:9" ht="20.149999999999999" customHeight="1" x14ac:dyDescent="0.35">
      <c r="A23" s="240">
        <v>18</v>
      </c>
      <c r="B23" s="248" t="s">
        <v>1000</v>
      </c>
      <c r="C23" s="256" t="e">
        <f>+data!M668</f>
        <v>#DIV/0!</v>
      </c>
      <c r="D23" s="256" t="e">
        <f>+data!M669</f>
        <v>#DIV/0!</v>
      </c>
      <c r="E23" s="256" t="e">
        <f>+data!M670</f>
        <v>#DIV/0!</v>
      </c>
      <c r="F23" s="256" t="e">
        <f>+data!M671</f>
        <v>#DIV/0!</v>
      </c>
      <c r="G23" s="256" t="e">
        <f>+data!M672</f>
        <v>#DIV/0!</v>
      </c>
      <c r="H23" s="256" t="e">
        <f>+data!M673</f>
        <v>#DIV/0!</v>
      </c>
      <c r="I23" s="256" t="e">
        <f>+data!M674</f>
        <v>#DIV/0!</v>
      </c>
    </row>
    <row r="24" spans="1:9" ht="20.149999999999999" customHeight="1" x14ac:dyDescent="0.35">
      <c r="A24" s="240">
        <v>19</v>
      </c>
      <c r="B24" s="256" t="s">
        <v>1001</v>
      </c>
      <c r="C24" s="248">
        <f>data!C87</f>
        <v>11249462.200000001</v>
      </c>
      <c r="D24" s="248">
        <f>data!D87</f>
        <v>0</v>
      </c>
      <c r="E24" s="248">
        <f>data!E87</f>
        <v>23379608.43</v>
      </c>
      <c r="F24" s="248">
        <f>data!F87</f>
        <v>0</v>
      </c>
      <c r="G24" s="248">
        <f>data!G87</f>
        <v>0</v>
      </c>
      <c r="H24" s="248">
        <f>data!H87</f>
        <v>0</v>
      </c>
      <c r="I24" s="248">
        <f>data!I87</f>
        <v>0</v>
      </c>
    </row>
    <row r="25" spans="1:9" ht="20.149999999999999" customHeight="1" x14ac:dyDescent="0.35">
      <c r="A25" s="240">
        <v>20</v>
      </c>
      <c r="B25" s="256" t="s">
        <v>1002</v>
      </c>
      <c r="C25" s="248">
        <f>data!C88</f>
        <v>2444017.4</v>
      </c>
      <c r="D25" s="248">
        <f>data!D88</f>
        <v>0</v>
      </c>
      <c r="E25" s="248">
        <f>data!E88</f>
        <v>11680232.899999999</v>
      </c>
      <c r="F25" s="248">
        <f>data!F88</f>
        <v>0</v>
      </c>
      <c r="G25" s="248">
        <f>data!G88</f>
        <v>0</v>
      </c>
      <c r="H25" s="248">
        <f>data!H88</f>
        <v>0</v>
      </c>
      <c r="I25" s="248">
        <f>data!I88</f>
        <v>0</v>
      </c>
    </row>
    <row r="26" spans="1:9" ht="18" customHeight="1" x14ac:dyDescent="0.35">
      <c r="A26" s="240">
        <v>21</v>
      </c>
      <c r="B26" s="256" t="s">
        <v>1003</v>
      </c>
      <c r="C26" s="248">
        <f>data!C89</f>
        <v>13693479.600000001</v>
      </c>
      <c r="D26" s="248">
        <f>data!D89</f>
        <v>0</v>
      </c>
      <c r="E26" s="248">
        <f>data!E89</f>
        <v>35059841.329999998</v>
      </c>
      <c r="F26" s="248">
        <f>data!F89</f>
        <v>0</v>
      </c>
      <c r="G26" s="248">
        <f>data!G89</f>
        <v>0</v>
      </c>
      <c r="H26" s="248">
        <f>data!H89</f>
        <v>0</v>
      </c>
      <c r="I26" s="248">
        <f>data!I89</f>
        <v>0</v>
      </c>
    </row>
    <row r="27" spans="1:9" ht="20.149999999999999" customHeight="1" x14ac:dyDescent="0.35">
      <c r="A27" s="240" t="s">
        <v>1004</v>
      </c>
      <c r="B27" s="248"/>
      <c r="C27" s="258"/>
      <c r="D27" s="258"/>
      <c r="E27" s="258"/>
      <c r="F27" s="258"/>
      <c r="G27" s="258"/>
      <c r="H27" s="258"/>
      <c r="I27" s="258"/>
    </row>
    <row r="28" spans="1:9" ht="20.149999999999999" customHeight="1" x14ac:dyDescent="0.35">
      <c r="A28" s="240">
        <v>22</v>
      </c>
      <c r="B28" s="248" t="s">
        <v>1005</v>
      </c>
      <c r="C28" s="248">
        <f>data!C90</f>
        <v>6518</v>
      </c>
      <c r="D28" s="248">
        <f>data!D90</f>
        <v>0</v>
      </c>
      <c r="E28" s="248">
        <f>data!E90</f>
        <v>19104</v>
      </c>
      <c r="F28" s="248">
        <f>data!F90</f>
        <v>0</v>
      </c>
      <c r="G28" s="248">
        <f>data!G90</f>
        <v>0</v>
      </c>
      <c r="H28" s="248">
        <f>data!H90</f>
        <v>0</v>
      </c>
      <c r="I28" s="248">
        <f>data!I90</f>
        <v>0</v>
      </c>
    </row>
    <row r="29" spans="1:9" ht="20.149999999999999" customHeight="1" x14ac:dyDescent="0.35">
      <c r="A29" s="240">
        <v>23</v>
      </c>
      <c r="B29" s="248" t="s">
        <v>1006</v>
      </c>
      <c r="C29" s="248">
        <f>data!C91</f>
        <v>5444.763328209513</v>
      </c>
      <c r="D29" s="248">
        <f>data!D91</f>
        <v>0</v>
      </c>
      <c r="E29" s="248">
        <f>data!E91</f>
        <v>26616.799107835017</v>
      </c>
      <c r="F29" s="248">
        <f>data!F91</f>
        <v>0</v>
      </c>
      <c r="G29" s="248">
        <f>data!G91</f>
        <v>0</v>
      </c>
      <c r="H29" s="248">
        <f>data!H91</f>
        <v>0</v>
      </c>
      <c r="I29" s="248">
        <f>data!I91</f>
        <v>0</v>
      </c>
    </row>
    <row r="30" spans="1:9" ht="20.149999999999999" customHeight="1" x14ac:dyDescent="0.35">
      <c r="A30" s="240">
        <v>24</v>
      </c>
      <c r="B30" s="248" t="s">
        <v>1007</v>
      </c>
      <c r="C30" s="248">
        <f>data!C92</f>
        <v>0</v>
      </c>
      <c r="D30" s="248">
        <f>data!D92</f>
        <v>0</v>
      </c>
      <c r="E30" s="248">
        <f>data!E92</f>
        <v>0</v>
      </c>
      <c r="F30" s="248">
        <f>data!F92</f>
        <v>0</v>
      </c>
      <c r="G30" s="248">
        <f>data!G92</f>
        <v>0</v>
      </c>
      <c r="H30" s="248">
        <f>data!H92</f>
        <v>0</v>
      </c>
      <c r="I30" s="248">
        <f>data!I92</f>
        <v>0</v>
      </c>
    </row>
    <row r="31" spans="1:9" ht="20.149999999999999" customHeight="1" x14ac:dyDescent="0.35">
      <c r="A31" s="240">
        <v>25</v>
      </c>
      <c r="B31" s="248" t="s">
        <v>1008</v>
      </c>
      <c r="C31" s="248">
        <f>data!C93</f>
        <v>21528</v>
      </c>
      <c r="D31" s="248">
        <f>data!D93</f>
        <v>0</v>
      </c>
      <c r="E31" s="248">
        <f>data!E93</f>
        <v>46731</v>
      </c>
      <c r="F31" s="248">
        <f>data!F93</f>
        <v>0</v>
      </c>
      <c r="G31" s="248">
        <f>data!G93</f>
        <v>0</v>
      </c>
      <c r="H31" s="248">
        <f>data!H93</f>
        <v>0</v>
      </c>
      <c r="I31" s="248">
        <f>data!I93</f>
        <v>0</v>
      </c>
    </row>
    <row r="32" spans="1:9" ht="20.149999999999999" customHeight="1" x14ac:dyDescent="0.35">
      <c r="A32" s="240">
        <v>26</v>
      </c>
      <c r="B32" s="248" t="s">
        <v>294</v>
      </c>
      <c r="C32" s="255">
        <f>data!C94</f>
        <v>20.933825525240383</v>
      </c>
      <c r="D32" s="255">
        <f>data!D94</f>
        <v>0</v>
      </c>
      <c r="E32" s="255">
        <f>data!E94</f>
        <v>44.935095931490387</v>
      </c>
      <c r="F32" s="255">
        <f>data!F94</f>
        <v>0</v>
      </c>
      <c r="G32" s="255">
        <f>data!G94</f>
        <v>0</v>
      </c>
      <c r="H32" s="255">
        <f>data!H94</f>
        <v>0</v>
      </c>
      <c r="I32" s="255">
        <f>data!I94</f>
        <v>0</v>
      </c>
    </row>
    <row r="33" spans="1:9" ht="20.149999999999999" customHeight="1" x14ac:dyDescent="0.35">
      <c r="A33" s="241" t="s">
        <v>990</v>
      </c>
      <c r="B33" s="242"/>
      <c r="C33" s="242"/>
      <c r="D33" s="242"/>
      <c r="E33" s="242"/>
      <c r="F33" s="242"/>
      <c r="G33" s="242"/>
      <c r="H33" s="242"/>
      <c r="I33" s="241"/>
    </row>
    <row r="34" spans="1:9" ht="20.149999999999999" customHeight="1" x14ac:dyDescent="0.35">
      <c r="A34" s="244"/>
      <c r="I34" s="245" t="s">
        <v>1009</v>
      </c>
    </row>
    <row r="35" spans="1:9" ht="20.149999999999999" customHeight="1" x14ac:dyDescent="0.35">
      <c r="A35" s="244"/>
      <c r="I35" s="244"/>
    </row>
    <row r="36" spans="1:9" ht="20.149999999999999" customHeight="1" x14ac:dyDescent="0.35">
      <c r="A36" s="246" t="str">
        <f>"Hospital: "&amp;data!C98</f>
        <v>Hospital: Public Hospital District No 1 of Mason County, WA, DBA Mason Health</v>
      </c>
      <c r="G36" s="247"/>
      <c r="H36" s="246" t="str">
        <f>"FYE: "&amp;data!C96</f>
        <v>FYE: 12/31/2023</v>
      </c>
    </row>
    <row r="37" spans="1:9" ht="20.149999999999999" customHeight="1" x14ac:dyDescent="0.35">
      <c r="A37" s="240">
        <v>1</v>
      </c>
      <c r="B37" s="248" t="s">
        <v>236</v>
      </c>
      <c r="C37" s="250" t="s">
        <v>43</v>
      </c>
      <c r="D37" s="250" t="s">
        <v>44</v>
      </c>
      <c r="E37" s="250" t="s">
        <v>45</v>
      </c>
      <c r="F37" s="250" t="s">
        <v>46</v>
      </c>
      <c r="G37" s="250" t="s">
        <v>47</v>
      </c>
      <c r="H37" s="250" t="s">
        <v>48</v>
      </c>
      <c r="I37" s="250" t="s">
        <v>49</v>
      </c>
    </row>
    <row r="38" spans="1:9" ht="20.149999999999999" customHeight="1" x14ac:dyDescent="0.35">
      <c r="A38" s="251">
        <v>2</v>
      </c>
      <c r="B38" s="252" t="s">
        <v>992</v>
      </c>
      <c r="C38" s="254"/>
      <c r="D38" s="254" t="s">
        <v>126</v>
      </c>
      <c r="E38" s="254" t="s">
        <v>127</v>
      </c>
      <c r="F38" s="254" t="s">
        <v>1010</v>
      </c>
      <c r="G38" s="254" t="s">
        <v>129</v>
      </c>
      <c r="H38" s="254" t="s">
        <v>1011</v>
      </c>
      <c r="I38" s="254" t="s">
        <v>131</v>
      </c>
    </row>
    <row r="39" spans="1:9" ht="20.149999999999999" customHeight="1" x14ac:dyDescent="0.35">
      <c r="A39" s="251"/>
      <c r="B39" s="252"/>
      <c r="C39" s="254" t="s">
        <v>125</v>
      </c>
      <c r="D39" s="254" t="s">
        <v>184</v>
      </c>
      <c r="E39" s="253" t="s">
        <v>194</v>
      </c>
      <c r="F39" s="254" t="s">
        <v>195</v>
      </c>
      <c r="G39" s="254" t="s">
        <v>196</v>
      </c>
      <c r="H39" s="254" t="s">
        <v>197</v>
      </c>
      <c r="I39" s="254" t="s">
        <v>196</v>
      </c>
    </row>
    <row r="40" spans="1:9" ht="20.149999999999999" customHeight="1" x14ac:dyDescent="0.35">
      <c r="A40" s="240">
        <v>3</v>
      </c>
      <c r="B40" s="248" t="s">
        <v>996</v>
      </c>
      <c r="C40" s="250" t="s">
        <v>243</v>
      </c>
      <c r="D40" s="250" t="s">
        <v>242</v>
      </c>
      <c r="E40" s="250" t="s">
        <v>242</v>
      </c>
      <c r="F40" s="250" t="s">
        <v>242</v>
      </c>
      <c r="G40" s="250" t="s">
        <v>242</v>
      </c>
      <c r="H40" s="250" t="s">
        <v>244</v>
      </c>
      <c r="I40" s="249" t="s">
        <v>245</v>
      </c>
    </row>
    <row r="41" spans="1:9" ht="20.149999999999999" customHeight="1" x14ac:dyDescent="0.35">
      <c r="A41" s="240">
        <v>4</v>
      </c>
      <c r="B41" s="248" t="s">
        <v>261</v>
      </c>
      <c r="C41" s="248">
        <f>data!J59</f>
        <v>672</v>
      </c>
      <c r="D41" s="248">
        <f>data!K59</f>
        <v>0</v>
      </c>
      <c r="E41" s="248">
        <f>data!L59</f>
        <v>0</v>
      </c>
      <c r="F41" s="248">
        <f>data!M59</f>
        <v>0</v>
      </c>
      <c r="G41" s="248">
        <f>data!N59</f>
        <v>0</v>
      </c>
      <c r="H41" s="248">
        <f>data!O59</f>
        <v>1257</v>
      </c>
      <c r="I41" s="248">
        <f>data!P59</f>
        <v>0</v>
      </c>
    </row>
    <row r="42" spans="1:9" ht="20.149999999999999" customHeight="1" x14ac:dyDescent="0.35">
      <c r="A42" s="240">
        <v>5</v>
      </c>
      <c r="B42" s="248" t="s">
        <v>262</v>
      </c>
      <c r="C42" s="255">
        <f>data!J60</f>
        <v>0</v>
      </c>
      <c r="D42" s="255">
        <f>data!K60</f>
        <v>0</v>
      </c>
      <c r="E42" s="255">
        <f>data!L60</f>
        <v>0</v>
      </c>
      <c r="F42" s="255">
        <f>data!M60</f>
        <v>0</v>
      </c>
      <c r="G42" s="255">
        <f>data!N60</f>
        <v>0</v>
      </c>
      <c r="H42" s="255">
        <f>data!O60</f>
        <v>0</v>
      </c>
      <c r="I42" s="255">
        <f>data!P60</f>
        <v>15.722201251826922</v>
      </c>
    </row>
    <row r="43" spans="1:9" ht="20.149999999999999" customHeight="1" x14ac:dyDescent="0.35">
      <c r="A43" s="240">
        <v>6</v>
      </c>
      <c r="B43" s="248" t="s">
        <v>263</v>
      </c>
      <c r="C43" s="248">
        <f>data!J61</f>
        <v>0</v>
      </c>
      <c r="D43" s="248">
        <f>data!K61</f>
        <v>0</v>
      </c>
      <c r="E43" s="248">
        <f>data!L61</f>
        <v>0</v>
      </c>
      <c r="F43" s="248">
        <f>data!M61</f>
        <v>0</v>
      </c>
      <c r="G43" s="248">
        <f>data!N61</f>
        <v>0</v>
      </c>
      <c r="H43" s="248">
        <f>data!O61</f>
        <v>0</v>
      </c>
      <c r="I43" s="248">
        <f>data!P61</f>
        <v>1601524.1299999997</v>
      </c>
    </row>
    <row r="44" spans="1:9" ht="20.149999999999999" customHeight="1" x14ac:dyDescent="0.35">
      <c r="A44" s="240">
        <v>7</v>
      </c>
      <c r="B44" s="248" t="s">
        <v>11</v>
      </c>
      <c r="C44" s="248">
        <f>data!J62</f>
        <v>0</v>
      </c>
      <c r="D44" s="248">
        <f>data!K62</f>
        <v>0</v>
      </c>
      <c r="E44" s="248">
        <f>data!L62</f>
        <v>0</v>
      </c>
      <c r="F44" s="248">
        <f>data!M62</f>
        <v>0</v>
      </c>
      <c r="G44" s="248">
        <f>data!N62</f>
        <v>0</v>
      </c>
      <c r="H44" s="248">
        <f>data!O62</f>
        <v>0</v>
      </c>
      <c r="I44" s="248">
        <f>data!P62</f>
        <v>438044</v>
      </c>
    </row>
    <row r="45" spans="1:9" ht="20.149999999999999" customHeight="1" x14ac:dyDescent="0.35">
      <c r="A45" s="240">
        <v>8</v>
      </c>
      <c r="B45" s="248" t="s">
        <v>264</v>
      </c>
      <c r="C45" s="248">
        <f>data!J63</f>
        <v>0</v>
      </c>
      <c r="D45" s="248">
        <f>data!K63</f>
        <v>0</v>
      </c>
      <c r="E45" s="248">
        <f>data!L63</f>
        <v>0</v>
      </c>
      <c r="F45" s="248">
        <f>data!M63</f>
        <v>0</v>
      </c>
      <c r="G45" s="248">
        <f>data!N63</f>
        <v>0</v>
      </c>
      <c r="H45" s="248">
        <f>data!O63</f>
        <v>54840</v>
      </c>
      <c r="I45" s="248">
        <f>data!P63</f>
        <v>600305.18000000005</v>
      </c>
    </row>
    <row r="46" spans="1:9" ht="20.149999999999999" customHeight="1" x14ac:dyDescent="0.35">
      <c r="A46" s="240">
        <v>9</v>
      </c>
      <c r="B46" s="248" t="s">
        <v>265</v>
      </c>
      <c r="C46" s="248">
        <f>data!J64</f>
        <v>27725.269999999997</v>
      </c>
      <c r="D46" s="248">
        <f>data!K64</f>
        <v>0</v>
      </c>
      <c r="E46" s="248">
        <f>data!L64</f>
        <v>0</v>
      </c>
      <c r="F46" s="248">
        <f>data!M64</f>
        <v>0</v>
      </c>
      <c r="G46" s="248">
        <f>data!N64</f>
        <v>0</v>
      </c>
      <c r="H46" s="248">
        <f>data!O64</f>
        <v>94935.689999999988</v>
      </c>
      <c r="I46" s="248">
        <f>data!P64</f>
        <v>923406.10000000009</v>
      </c>
    </row>
    <row r="47" spans="1:9" ht="20.149999999999999" customHeight="1" x14ac:dyDescent="0.35">
      <c r="A47" s="240">
        <v>10</v>
      </c>
      <c r="B47" s="248" t="s">
        <v>523</v>
      </c>
      <c r="C47" s="248">
        <f>data!J65</f>
        <v>0</v>
      </c>
      <c r="D47" s="248">
        <f>data!K65</f>
        <v>0</v>
      </c>
      <c r="E47" s="248">
        <f>data!L65</f>
        <v>0</v>
      </c>
      <c r="F47" s="248">
        <f>data!M65</f>
        <v>0</v>
      </c>
      <c r="G47" s="248">
        <f>data!N65</f>
        <v>0</v>
      </c>
      <c r="H47" s="248">
        <f>data!O65</f>
        <v>360.82</v>
      </c>
      <c r="I47" s="248">
        <f>data!P65</f>
        <v>616.11999999999989</v>
      </c>
    </row>
    <row r="48" spans="1:9" ht="20.149999999999999" customHeight="1" x14ac:dyDescent="0.35">
      <c r="A48" s="240">
        <v>11</v>
      </c>
      <c r="B48" s="248" t="s">
        <v>524</v>
      </c>
      <c r="C48" s="248">
        <f>data!J66</f>
        <v>2547.14</v>
      </c>
      <c r="D48" s="248">
        <f>data!K66</f>
        <v>0</v>
      </c>
      <c r="E48" s="248">
        <f>data!L66</f>
        <v>0</v>
      </c>
      <c r="F48" s="248">
        <f>data!M66</f>
        <v>0</v>
      </c>
      <c r="G48" s="248">
        <f>data!N66</f>
        <v>0</v>
      </c>
      <c r="H48" s="248">
        <f>data!O66</f>
        <v>7024.7</v>
      </c>
      <c r="I48" s="248">
        <f>data!P66</f>
        <v>370880.14</v>
      </c>
    </row>
    <row r="49" spans="1:11" ht="20.149999999999999" customHeight="1" x14ac:dyDescent="0.35">
      <c r="A49" s="240">
        <v>12</v>
      </c>
      <c r="B49" s="248" t="s">
        <v>16</v>
      </c>
      <c r="C49" s="248">
        <f>data!J67</f>
        <v>15132</v>
      </c>
      <c r="D49" s="248">
        <f>data!K67</f>
        <v>0</v>
      </c>
      <c r="E49" s="248">
        <f>data!L67</f>
        <v>0</v>
      </c>
      <c r="F49" s="248">
        <f>data!M67</f>
        <v>0</v>
      </c>
      <c r="G49" s="248">
        <f>data!N67</f>
        <v>0</v>
      </c>
      <c r="H49" s="248">
        <f>data!O67</f>
        <v>30604</v>
      </c>
      <c r="I49" s="248">
        <f>data!P67</f>
        <v>206107</v>
      </c>
    </row>
    <row r="50" spans="1:11" ht="20.149999999999999" customHeight="1" x14ac:dyDescent="0.35">
      <c r="A50" s="240">
        <v>13</v>
      </c>
      <c r="B50" s="248" t="s">
        <v>997</v>
      </c>
      <c r="C50" s="248">
        <f>data!J68</f>
        <v>0</v>
      </c>
      <c r="D50" s="248">
        <f>data!K68</f>
        <v>0</v>
      </c>
      <c r="E50" s="248">
        <f>data!L68</f>
        <v>0</v>
      </c>
      <c r="F50" s="248">
        <f>data!M68</f>
        <v>0</v>
      </c>
      <c r="G50" s="248">
        <f>data!N68</f>
        <v>0</v>
      </c>
      <c r="H50" s="248">
        <f>data!O68</f>
        <v>0</v>
      </c>
      <c r="I50" s="248">
        <f>data!P68</f>
        <v>61061.22</v>
      </c>
    </row>
    <row r="51" spans="1:11" ht="20.149999999999999" customHeight="1" x14ac:dyDescent="0.35">
      <c r="A51" s="240">
        <v>14</v>
      </c>
      <c r="B51" s="248" t="s">
        <v>998</v>
      </c>
      <c r="C51" s="248">
        <f>data!J69</f>
        <v>727</v>
      </c>
      <c r="D51" s="248">
        <f>data!K69</f>
        <v>0</v>
      </c>
      <c r="E51" s="248">
        <f>data!L69</f>
        <v>0</v>
      </c>
      <c r="F51" s="248">
        <f>data!M69</f>
        <v>0</v>
      </c>
      <c r="G51" s="248">
        <f>data!N69</f>
        <v>0</v>
      </c>
      <c r="H51" s="248">
        <f>data!O69</f>
        <v>6870.7600000000011</v>
      </c>
      <c r="I51" s="248">
        <f>data!P69</f>
        <v>6008.43</v>
      </c>
    </row>
    <row r="52" spans="1:11" ht="20.149999999999999" customHeight="1" x14ac:dyDescent="0.35">
      <c r="A52" s="240">
        <v>15</v>
      </c>
      <c r="B52" s="248" t="s">
        <v>284</v>
      </c>
      <c r="C52" s="248">
        <f>-data!J84</f>
        <v>0</v>
      </c>
      <c r="D52" s="248">
        <f>-data!K84</f>
        <v>0</v>
      </c>
      <c r="E52" s="248">
        <f>-data!L84</f>
        <v>0</v>
      </c>
      <c r="F52" s="248">
        <f>-data!M84</f>
        <v>0</v>
      </c>
      <c r="G52" s="248">
        <f>-data!N84</f>
        <v>0</v>
      </c>
      <c r="H52" s="248">
        <f>-data!O84</f>
        <v>0</v>
      </c>
      <c r="I52" s="248">
        <f>-data!P84</f>
        <v>0</v>
      </c>
    </row>
    <row r="53" spans="1:11" ht="20.149999999999999" customHeight="1" x14ac:dyDescent="0.35">
      <c r="A53" s="240">
        <v>16</v>
      </c>
      <c r="B53" s="256" t="s">
        <v>999</v>
      </c>
      <c r="C53" s="248">
        <f>data!J85</f>
        <v>46131.409999999996</v>
      </c>
      <c r="D53" s="248">
        <f>data!K85</f>
        <v>0</v>
      </c>
      <c r="E53" s="248">
        <f>data!L85</f>
        <v>0</v>
      </c>
      <c r="F53" s="248">
        <f>data!M85</f>
        <v>0</v>
      </c>
      <c r="G53" s="248">
        <f>data!N85</f>
        <v>0</v>
      </c>
      <c r="H53" s="248">
        <f>data!O85</f>
        <v>194635.97000000003</v>
      </c>
      <c r="I53" s="248">
        <f>data!P85</f>
        <v>4207952.3199999994</v>
      </c>
    </row>
    <row r="54" spans="1:11" ht="20.149999999999999" customHeight="1" x14ac:dyDescent="0.35">
      <c r="A54" s="240">
        <v>17</v>
      </c>
      <c r="B54" s="248" t="s">
        <v>286</v>
      </c>
      <c r="C54" s="258"/>
      <c r="D54" s="258"/>
      <c r="E54" s="258"/>
      <c r="F54" s="258"/>
      <c r="G54" s="258"/>
      <c r="H54" s="258"/>
      <c r="I54" s="258"/>
    </row>
    <row r="55" spans="1:11" ht="20.149999999999999" customHeight="1" x14ac:dyDescent="0.35">
      <c r="A55" s="240">
        <v>18</v>
      </c>
      <c r="B55" s="248" t="s">
        <v>1000</v>
      </c>
      <c r="C55" s="256" t="e">
        <f>+data!M675</f>
        <v>#DIV/0!</v>
      </c>
      <c r="D55" s="256" t="e">
        <f>+data!M676</f>
        <v>#DIV/0!</v>
      </c>
      <c r="E55" s="256" t="e">
        <f>+data!M677</f>
        <v>#DIV/0!</v>
      </c>
      <c r="F55" s="256" t="e">
        <f>+data!M678</f>
        <v>#DIV/0!</v>
      </c>
      <c r="G55" s="256" t="e">
        <f>+data!M679</f>
        <v>#DIV/0!</v>
      </c>
      <c r="H55" s="256" t="e">
        <f>+data!M680</f>
        <v>#DIV/0!</v>
      </c>
      <c r="I55" s="256" t="e">
        <f>+data!M681</f>
        <v>#DIV/0!</v>
      </c>
    </row>
    <row r="56" spans="1:11" ht="20.149999999999999" customHeight="1" x14ac:dyDescent="0.35">
      <c r="A56" s="240">
        <v>19</v>
      </c>
      <c r="B56" s="256" t="s">
        <v>1001</v>
      </c>
      <c r="C56" s="248">
        <f>data!J87</f>
        <v>1405796.38</v>
      </c>
      <c r="D56" s="248">
        <f>data!K87</f>
        <v>0</v>
      </c>
      <c r="E56" s="248">
        <f>data!L87</f>
        <v>0</v>
      </c>
      <c r="F56" s="248">
        <f>data!M87</f>
        <v>0</v>
      </c>
      <c r="G56" s="248">
        <f>data!N87</f>
        <v>0</v>
      </c>
      <c r="H56" s="248">
        <f>data!O87</f>
        <v>1152730.6500000001</v>
      </c>
      <c r="I56" s="248">
        <f>data!P87</f>
        <v>4082685.1</v>
      </c>
    </row>
    <row r="57" spans="1:11" ht="20.149999999999999" customHeight="1" x14ac:dyDescent="0.35">
      <c r="A57" s="240">
        <v>20</v>
      </c>
      <c r="B57" s="256" t="s">
        <v>1002</v>
      </c>
      <c r="C57" s="248">
        <f>data!J88</f>
        <v>103277</v>
      </c>
      <c r="D57" s="248">
        <f>data!K88</f>
        <v>0</v>
      </c>
      <c r="E57" s="248">
        <f>data!L88</f>
        <v>0</v>
      </c>
      <c r="F57" s="248">
        <f>data!M88</f>
        <v>0</v>
      </c>
      <c r="G57" s="248">
        <f>data!N88</f>
        <v>0</v>
      </c>
      <c r="H57" s="248">
        <f>data!O88</f>
        <v>344733.3</v>
      </c>
      <c r="I57" s="248">
        <f>data!P88</f>
        <v>18929573.779999997</v>
      </c>
    </row>
    <row r="58" spans="1:11" ht="20.149999999999999" customHeight="1" x14ac:dyDescent="0.35">
      <c r="A58" s="240">
        <v>21</v>
      </c>
      <c r="B58" s="256" t="s">
        <v>1003</v>
      </c>
      <c r="C58" s="248">
        <f>data!J89</f>
        <v>1509073.38</v>
      </c>
      <c r="D58" s="248">
        <f>data!K89</f>
        <v>0</v>
      </c>
      <c r="E58" s="248">
        <f>data!L89</f>
        <v>0</v>
      </c>
      <c r="F58" s="248">
        <f>data!M89</f>
        <v>0</v>
      </c>
      <c r="G58" s="248">
        <f>data!N89</f>
        <v>0</v>
      </c>
      <c r="H58" s="248">
        <f>data!O89</f>
        <v>1497463.9500000002</v>
      </c>
      <c r="I58" s="248">
        <f>data!P89</f>
        <v>23012258.879999999</v>
      </c>
    </row>
    <row r="59" spans="1:11" ht="20.149999999999999" customHeight="1" x14ac:dyDescent="0.35">
      <c r="A59" s="240" t="s">
        <v>1004</v>
      </c>
      <c r="B59" s="248"/>
      <c r="C59" s="258"/>
      <c r="D59" s="258"/>
      <c r="E59" s="258"/>
      <c r="F59" s="258"/>
      <c r="G59" s="258"/>
      <c r="H59" s="258"/>
      <c r="I59" s="258"/>
    </row>
    <row r="60" spans="1:11" ht="20.149999999999999" customHeight="1" x14ac:dyDescent="0.35">
      <c r="A60" s="240">
        <v>22</v>
      </c>
      <c r="B60" s="248" t="s">
        <v>1005</v>
      </c>
      <c r="C60" s="248">
        <f>data!J90</f>
        <v>482</v>
      </c>
      <c r="D60" s="248">
        <f>data!K90</f>
        <v>0</v>
      </c>
      <c r="E60" s="248">
        <f>data!L90</f>
        <v>0</v>
      </c>
      <c r="F60" s="248">
        <f>data!M90</f>
        <v>0</v>
      </c>
      <c r="G60" s="248">
        <f>data!N90</f>
        <v>0</v>
      </c>
      <c r="H60" s="248">
        <f>data!O90</f>
        <v>975</v>
      </c>
      <c r="I60" s="248">
        <f>data!P90</f>
        <v>6566</v>
      </c>
      <c r="K60" s="259"/>
    </row>
    <row r="61" spans="1:11" ht="20.149999999999999" customHeight="1" x14ac:dyDescent="0.35">
      <c r="A61" s="240">
        <v>23</v>
      </c>
      <c r="B61" s="248" t="s">
        <v>1006</v>
      </c>
      <c r="C61" s="248">
        <f>data!J91</f>
        <v>0</v>
      </c>
      <c r="D61" s="248">
        <f>data!K91</f>
        <v>0</v>
      </c>
      <c r="E61" s="248">
        <f>data!L91</f>
        <v>0</v>
      </c>
      <c r="F61" s="248">
        <f>data!M91</f>
        <v>0</v>
      </c>
      <c r="G61" s="248">
        <f>data!N91</f>
        <v>0</v>
      </c>
      <c r="H61" s="248">
        <f>data!O91</f>
        <v>0</v>
      </c>
      <c r="I61" s="248">
        <f>data!P91</f>
        <v>326.08379883318639</v>
      </c>
    </row>
    <row r="62" spans="1:11" ht="20.149999999999999" customHeight="1" x14ac:dyDescent="0.35">
      <c r="A62" s="240">
        <v>24</v>
      </c>
      <c r="B62" s="248" t="s">
        <v>1007</v>
      </c>
      <c r="C62" s="248">
        <f>data!J92</f>
        <v>0</v>
      </c>
      <c r="D62" s="248">
        <f>data!K92</f>
        <v>0</v>
      </c>
      <c r="E62" s="248">
        <f>data!L92</f>
        <v>0</v>
      </c>
      <c r="F62" s="248">
        <f>data!M92</f>
        <v>0</v>
      </c>
      <c r="G62" s="248">
        <f>data!N92</f>
        <v>0</v>
      </c>
      <c r="H62" s="248">
        <f>data!O92</f>
        <v>0</v>
      </c>
      <c r="I62" s="248">
        <f>data!P92</f>
        <v>0</v>
      </c>
    </row>
    <row r="63" spans="1:11" ht="20.149999999999999" customHeight="1" x14ac:dyDescent="0.35">
      <c r="A63" s="240">
        <v>25</v>
      </c>
      <c r="B63" s="248" t="s">
        <v>1008</v>
      </c>
      <c r="C63" s="248">
        <f>data!J93</f>
        <v>0</v>
      </c>
      <c r="D63" s="248">
        <f>data!K93</f>
        <v>0</v>
      </c>
      <c r="E63" s="248">
        <f>data!L93</f>
        <v>0</v>
      </c>
      <c r="F63" s="248">
        <f>data!M93</f>
        <v>0</v>
      </c>
      <c r="G63" s="248">
        <f>data!N93</f>
        <v>0</v>
      </c>
      <c r="H63" s="248">
        <f>data!O93</f>
        <v>24643</v>
      </c>
      <c r="I63" s="248">
        <f>data!P93</f>
        <v>26728</v>
      </c>
    </row>
    <row r="64" spans="1:11" ht="20.149999999999999" customHeight="1" x14ac:dyDescent="0.35">
      <c r="A64" s="240">
        <v>26</v>
      </c>
      <c r="B64" s="248" t="s">
        <v>294</v>
      </c>
      <c r="C64" s="255">
        <f>data!J94</f>
        <v>0</v>
      </c>
      <c r="D64" s="255">
        <f>data!K94</f>
        <v>0</v>
      </c>
      <c r="E64" s="255">
        <f>data!L94</f>
        <v>0</v>
      </c>
      <c r="F64" s="255">
        <f>data!M94</f>
        <v>0</v>
      </c>
      <c r="G64" s="255">
        <f>data!N94</f>
        <v>0</v>
      </c>
      <c r="H64" s="255">
        <f>data!O94</f>
        <v>0</v>
      </c>
      <c r="I64" s="255">
        <f>data!P94</f>
        <v>15.722201251826922</v>
      </c>
    </row>
    <row r="65" spans="1:9" ht="20.149999999999999" customHeight="1" x14ac:dyDescent="0.35">
      <c r="A65" s="241" t="s">
        <v>990</v>
      </c>
      <c r="B65" s="242"/>
      <c r="C65" s="242"/>
      <c r="D65" s="242"/>
      <c r="E65" s="242"/>
      <c r="F65" s="242"/>
      <c r="G65" s="242"/>
      <c r="H65" s="242"/>
      <c r="I65" s="241"/>
    </row>
    <row r="66" spans="1:9" ht="20.149999999999999" customHeight="1" x14ac:dyDescent="0.35">
      <c r="D66" s="244"/>
      <c r="I66" s="245" t="s">
        <v>1012</v>
      </c>
    </row>
    <row r="67" spans="1:9" ht="20.149999999999999" customHeight="1" x14ac:dyDescent="0.35">
      <c r="A67" s="244"/>
    </row>
    <row r="68" spans="1:9" ht="20.149999999999999" customHeight="1" x14ac:dyDescent="0.35">
      <c r="A68" s="246" t="str">
        <f>"Hospital: "&amp;data!C98</f>
        <v>Hospital: Public Hospital District No 1 of Mason County, WA, DBA Mason Health</v>
      </c>
      <c r="G68" s="247"/>
      <c r="H68" s="246" t="str">
        <f>"FYE: "&amp;data!C96</f>
        <v>FYE: 12/31/2023</v>
      </c>
    </row>
    <row r="69" spans="1:9" ht="20.149999999999999" customHeight="1" x14ac:dyDescent="0.35">
      <c r="A69" s="240">
        <v>1</v>
      </c>
      <c r="B69" s="248" t="s">
        <v>236</v>
      </c>
      <c r="C69" s="250" t="s">
        <v>50</v>
      </c>
      <c r="D69" s="250" t="s">
        <v>51</v>
      </c>
      <c r="E69" s="250" t="s">
        <v>52</v>
      </c>
      <c r="F69" s="250" t="s">
        <v>53</v>
      </c>
      <c r="G69" s="250" t="s">
        <v>54</v>
      </c>
      <c r="H69" s="250" t="s">
        <v>55</v>
      </c>
      <c r="I69" s="250" t="s">
        <v>56</v>
      </c>
    </row>
    <row r="70" spans="1:9" ht="20.149999999999999" customHeight="1" x14ac:dyDescent="0.35">
      <c r="A70" s="251">
        <v>2</v>
      </c>
      <c r="B70" s="252" t="s">
        <v>992</v>
      </c>
      <c r="C70" s="254" t="s">
        <v>132</v>
      </c>
      <c r="D70" s="254"/>
      <c r="E70" s="254" t="s">
        <v>134</v>
      </c>
      <c r="F70" s="254" t="s">
        <v>135</v>
      </c>
      <c r="G70" s="254"/>
      <c r="H70" s="254" t="s">
        <v>137</v>
      </c>
      <c r="I70" s="254" t="s">
        <v>138</v>
      </c>
    </row>
    <row r="71" spans="1:9" ht="20.149999999999999" customHeight="1" x14ac:dyDescent="0.35">
      <c r="A71" s="251"/>
      <c r="B71" s="252"/>
      <c r="C71" s="254" t="s">
        <v>198</v>
      </c>
      <c r="D71" s="254" t="s">
        <v>1013</v>
      </c>
      <c r="E71" s="254" t="s">
        <v>196</v>
      </c>
      <c r="F71" s="254" t="s">
        <v>199</v>
      </c>
      <c r="G71" s="254" t="s">
        <v>136</v>
      </c>
      <c r="H71" s="254" t="s">
        <v>200</v>
      </c>
      <c r="I71" s="254" t="s">
        <v>201</v>
      </c>
    </row>
    <row r="72" spans="1:9" ht="20.149999999999999" customHeight="1" x14ac:dyDescent="0.35">
      <c r="A72" s="240">
        <v>3</v>
      </c>
      <c r="B72" s="248" t="s">
        <v>996</v>
      </c>
      <c r="C72" s="250" t="s">
        <v>1014</v>
      </c>
      <c r="D72" s="249" t="s">
        <v>1015</v>
      </c>
      <c r="E72" s="260"/>
      <c r="F72" s="260"/>
      <c r="G72" s="249" t="s">
        <v>1016</v>
      </c>
      <c r="H72" s="249" t="s">
        <v>1016</v>
      </c>
      <c r="I72" s="250" t="s">
        <v>250</v>
      </c>
    </row>
    <row r="73" spans="1:9" ht="20.149999999999999" customHeight="1" x14ac:dyDescent="0.35">
      <c r="A73" s="240">
        <v>4</v>
      </c>
      <c r="B73" s="248" t="s">
        <v>261</v>
      </c>
      <c r="C73" s="248">
        <f>data!Q59</f>
        <v>133943</v>
      </c>
      <c r="D73" s="256">
        <f>data!R59</f>
        <v>0</v>
      </c>
      <c r="E73" s="260"/>
      <c r="F73" s="260"/>
      <c r="G73" s="248">
        <f>data!U59</f>
        <v>326130</v>
      </c>
      <c r="H73" s="248">
        <f>data!V59</f>
        <v>0</v>
      </c>
      <c r="I73" s="248">
        <f>data!W59</f>
        <v>2058</v>
      </c>
    </row>
    <row r="74" spans="1:9" ht="20.149999999999999" customHeight="1" x14ac:dyDescent="0.35">
      <c r="A74" s="240">
        <v>5</v>
      </c>
      <c r="B74" s="248" t="s">
        <v>262</v>
      </c>
      <c r="C74" s="255">
        <f>data!Q60</f>
        <v>13.566662338942308</v>
      </c>
      <c r="D74" s="255">
        <f>data!R60</f>
        <v>3.3784388461538457</v>
      </c>
      <c r="E74" s="255">
        <f>data!S60</f>
        <v>0</v>
      </c>
      <c r="F74" s="255">
        <f>data!T60</f>
        <v>0</v>
      </c>
      <c r="G74" s="255">
        <f>data!U60</f>
        <v>31.051268203125002</v>
      </c>
      <c r="H74" s="255">
        <f>data!V60</f>
        <v>0</v>
      </c>
      <c r="I74" s="255">
        <f>data!W60</f>
        <v>2.1101423810096156</v>
      </c>
    </row>
    <row r="75" spans="1:9" ht="20.149999999999999" customHeight="1" x14ac:dyDescent="0.35">
      <c r="A75" s="240">
        <v>6</v>
      </c>
      <c r="B75" s="248" t="s">
        <v>263</v>
      </c>
      <c r="C75" s="248">
        <f>data!Q61</f>
        <v>1574377.7999999998</v>
      </c>
      <c r="D75" s="248">
        <f>data!R61</f>
        <v>912520.38000000012</v>
      </c>
      <c r="E75" s="248">
        <f>data!S61</f>
        <v>0</v>
      </c>
      <c r="F75" s="248">
        <f>data!T61</f>
        <v>0</v>
      </c>
      <c r="G75" s="248">
        <f>data!U61</f>
        <v>2299755.14</v>
      </c>
      <c r="H75" s="248">
        <f>data!V61</f>
        <v>0</v>
      </c>
      <c r="I75" s="248">
        <f>data!W61</f>
        <v>231750.91000000003</v>
      </c>
    </row>
    <row r="76" spans="1:9" ht="20.149999999999999" customHeight="1" x14ac:dyDescent="0.35">
      <c r="A76" s="240">
        <v>7</v>
      </c>
      <c r="B76" s="248" t="s">
        <v>11</v>
      </c>
      <c r="C76" s="248">
        <f>data!Q62</f>
        <v>462880</v>
      </c>
      <c r="D76" s="248">
        <f>data!R62</f>
        <v>185176</v>
      </c>
      <c r="E76" s="248">
        <f>data!S62</f>
        <v>0</v>
      </c>
      <c r="F76" s="248">
        <f>data!T62</f>
        <v>0</v>
      </c>
      <c r="G76" s="248">
        <f>data!U62</f>
        <v>768774</v>
      </c>
      <c r="H76" s="248">
        <f>data!V62</f>
        <v>0</v>
      </c>
      <c r="I76" s="248">
        <f>data!W62</f>
        <v>86968</v>
      </c>
    </row>
    <row r="77" spans="1:9" ht="20.149999999999999" customHeight="1" x14ac:dyDescent="0.35">
      <c r="A77" s="240">
        <v>8</v>
      </c>
      <c r="B77" s="248" t="s">
        <v>264</v>
      </c>
      <c r="C77" s="248">
        <f>data!Q63</f>
        <v>0</v>
      </c>
      <c r="D77" s="248">
        <f>data!R63</f>
        <v>226535</v>
      </c>
      <c r="E77" s="248">
        <f>data!S63</f>
        <v>216.27</v>
      </c>
      <c r="F77" s="248">
        <f>data!T63</f>
        <v>0</v>
      </c>
      <c r="G77" s="248">
        <f>data!U63</f>
        <v>621162.79999999993</v>
      </c>
      <c r="H77" s="248">
        <f>data!V63</f>
        <v>0</v>
      </c>
      <c r="I77" s="248">
        <f>data!W63</f>
        <v>0</v>
      </c>
    </row>
    <row r="78" spans="1:9" ht="20.149999999999999" customHeight="1" x14ac:dyDescent="0.35">
      <c r="A78" s="240">
        <v>9</v>
      </c>
      <c r="B78" s="248" t="s">
        <v>265</v>
      </c>
      <c r="C78" s="248">
        <f>data!Q64</f>
        <v>137127.03</v>
      </c>
      <c r="D78" s="248">
        <f>data!R64</f>
        <v>57923.13</v>
      </c>
      <c r="E78" s="248">
        <f>data!S64</f>
        <v>4184486.6300000004</v>
      </c>
      <c r="F78" s="248">
        <f>data!T64</f>
        <v>0</v>
      </c>
      <c r="G78" s="248">
        <f>data!U64</f>
        <v>2109656.91</v>
      </c>
      <c r="H78" s="248">
        <f>data!V64</f>
        <v>0</v>
      </c>
      <c r="I78" s="248">
        <f>data!W64</f>
        <v>13226.84</v>
      </c>
    </row>
    <row r="79" spans="1:9" ht="20.149999999999999" customHeight="1" x14ac:dyDescent="0.35">
      <c r="A79" s="240">
        <v>10</v>
      </c>
      <c r="B79" s="248" t="s">
        <v>523</v>
      </c>
      <c r="C79" s="248">
        <f>data!Q65</f>
        <v>0</v>
      </c>
      <c r="D79" s="248">
        <f>data!R65</f>
        <v>-49.12</v>
      </c>
      <c r="E79" s="248">
        <f>data!S65</f>
        <v>0</v>
      </c>
      <c r="F79" s="248">
        <f>data!T65</f>
        <v>0</v>
      </c>
      <c r="G79" s="248">
        <f>data!U65</f>
        <v>0</v>
      </c>
      <c r="H79" s="248">
        <f>data!V65</f>
        <v>0</v>
      </c>
      <c r="I79" s="248">
        <f>data!W65</f>
        <v>0</v>
      </c>
    </row>
    <row r="80" spans="1:9" ht="20.149999999999999" customHeight="1" x14ac:dyDescent="0.35">
      <c r="A80" s="240">
        <v>11</v>
      </c>
      <c r="B80" s="248" t="s">
        <v>524</v>
      </c>
      <c r="C80" s="248">
        <f>data!Q66</f>
        <v>2892.45</v>
      </c>
      <c r="D80" s="248">
        <f>data!R66</f>
        <v>63623.359999999993</v>
      </c>
      <c r="E80" s="248">
        <f>data!S66</f>
        <v>74723.27</v>
      </c>
      <c r="F80" s="248">
        <f>data!T66</f>
        <v>0</v>
      </c>
      <c r="G80" s="248">
        <f>data!U66</f>
        <v>1492886.44</v>
      </c>
      <c r="H80" s="248">
        <f>data!V66</f>
        <v>0</v>
      </c>
      <c r="I80" s="248">
        <f>data!W66</f>
        <v>2507.85</v>
      </c>
    </row>
    <row r="81" spans="1:9" ht="20.149999999999999" customHeight="1" x14ac:dyDescent="0.35">
      <c r="A81" s="240">
        <v>12</v>
      </c>
      <c r="B81" s="248" t="s">
        <v>16</v>
      </c>
      <c r="C81" s="248">
        <f>data!Q67</f>
        <v>227509</v>
      </c>
      <c r="D81" s="248">
        <f>data!R67</f>
        <v>9782</v>
      </c>
      <c r="E81" s="248">
        <f>data!S67</f>
        <v>93248</v>
      </c>
      <c r="F81" s="248">
        <f>data!T67</f>
        <v>0</v>
      </c>
      <c r="G81" s="248">
        <f>data!U67</f>
        <v>137905</v>
      </c>
      <c r="H81" s="248">
        <f>data!V67</f>
        <v>0</v>
      </c>
      <c r="I81" s="248">
        <f>data!W67</f>
        <v>67100</v>
      </c>
    </row>
    <row r="82" spans="1:9" ht="20.149999999999999" customHeight="1" x14ac:dyDescent="0.35">
      <c r="A82" s="240">
        <v>13</v>
      </c>
      <c r="B82" s="248" t="s">
        <v>997</v>
      </c>
      <c r="C82" s="248">
        <f>data!Q68</f>
        <v>0</v>
      </c>
      <c r="D82" s="248">
        <f>data!R68</f>
        <v>2682.58</v>
      </c>
      <c r="E82" s="248">
        <f>data!S68</f>
        <v>0</v>
      </c>
      <c r="F82" s="248">
        <f>data!T68</f>
        <v>0</v>
      </c>
      <c r="G82" s="248">
        <f>data!U68</f>
        <v>0</v>
      </c>
      <c r="H82" s="248">
        <f>data!V68</f>
        <v>0</v>
      </c>
      <c r="I82" s="248">
        <f>data!W68</f>
        <v>0</v>
      </c>
    </row>
    <row r="83" spans="1:9" ht="20.149999999999999" customHeight="1" x14ac:dyDescent="0.35">
      <c r="A83" s="240">
        <v>14</v>
      </c>
      <c r="B83" s="248" t="s">
        <v>998</v>
      </c>
      <c r="C83" s="248">
        <f>data!Q69</f>
        <v>3091.1</v>
      </c>
      <c r="D83" s="248">
        <f>data!R69</f>
        <v>14705.819999999998</v>
      </c>
      <c r="E83" s="248">
        <f>data!S69</f>
        <v>66.08</v>
      </c>
      <c r="F83" s="248">
        <f>data!T69</f>
        <v>0</v>
      </c>
      <c r="G83" s="248">
        <f>data!U69</f>
        <v>7052.38</v>
      </c>
      <c r="H83" s="248">
        <f>data!V69</f>
        <v>0</v>
      </c>
      <c r="I83" s="248">
        <f>data!W69</f>
        <v>3430.99</v>
      </c>
    </row>
    <row r="84" spans="1:9" ht="20.149999999999999" customHeight="1" x14ac:dyDescent="0.35">
      <c r="A84" s="240">
        <v>15</v>
      </c>
      <c r="B84" s="248" t="s">
        <v>284</v>
      </c>
      <c r="C84" s="248">
        <f>data!Q84</f>
        <v>0</v>
      </c>
      <c r="D84" s="248">
        <f>data!R84</f>
        <v>0</v>
      </c>
      <c r="E84" s="248">
        <f>data!S84</f>
        <v>0</v>
      </c>
      <c r="F84" s="248">
        <f>data!T84</f>
        <v>0</v>
      </c>
      <c r="G84" s="248">
        <f>data!U84</f>
        <v>68.540000000000006</v>
      </c>
      <c r="H84" s="248">
        <f>data!V84</f>
        <v>0</v>
      </c>
      <c r="I84" s="248">
        <f>data!W84</f>
        <v>0</v>
      </c>
    </row>
    <row r="85" spans="1:9" ht="20.149999999999999" customHeight="1" x14ac:dyDescent="0.35">
      <c r="A85" s="240">
        <v>16</v>
      </c>
      <c r="B85" s="256" t="s">
        <v>999</v>
      </c>
      <c r="C85" s="248">
        <f>data!Q85</f>
        <v>2407877.38</v>
      </c>
      <c r="D85" s="248">
        <f>data!R85</f>
        <v>1472899.1500000001</v>
      </c>
      <c r="E85" s="248">
        <f>data!S85</f>
        <v>4352740.25</v>
      </c>
      <c r="F85" s="248">
        <f>data!T85</f>
        <v>0</v>
      </c>
      <c r="G85" s="248">
        <f>data!U85</f>
        <v>7437124.129999999</v>
      </c>
      <c r="H85" s="248">
        <f>data!V85</f>
        <v>0</v>
      </c>
      <c r="I85" s="248">
        <f>data!W85</f>
        <v>404984.59</v>
      </c>
    </row>
    <row r="86" spans="1:9" ht="20.149999999999999" customHeight="1" x14ac:dyDescent="0.35">
      <c r="A86" s="240">
        <v>17</v>
      </c>
      <c r="B86" s="248" t="s">
        <v>286</v>
      </c>
      <c r="C86" s="258"/>
      <c r="D86" s="258"/>
      <c r="E86" s="258"/>
      <c r="F86" s="258"/>
      <c r="G86" s="258"/>
      <c r="H86" s="258"/>
      <c r="I86" s="258"/>
    </row>
    <row r="87" spans="1:9" ht="20.149999999999999" customHeight="1" x14ac:dyDescent="0.35">
      <c r="A87" s="240">
        <v>18</v>
      </c>
      <c r="B87" s="248" t="s">
        <v>1000</v>
      </c>
      <c r="C87" s="256" t="e">
        <f>+data!M682</f>
        <v>#DIV/0!</v>
      </c>
      <c r="D87" s="256" t="e">
        <f>+data!M683</f>
        <v>#DIV/0!</v>
      </c>
      <c r="E87" s="256" t="e">
        <f>+data!M684</f>
        <v>#DIV/0!</v>
      </c>
      <c r="F87" s="256" t="e">
        <f>+data!M685</f>
        <v>#DIV/0!</v>
      </c>
      <c r="G87" s="256" t="e">
        <f>+data!M686</f>
        <v>#DIV/0!</v>
      </c>
      <c r="H87" s="256" t="e">
        <f>+data!M687</f>
        <v>#DIV/0!</v>
      </c>
      <c r="I87" s="256" t="e">
        <f>+data!M688</f>
        <v>#DIV/0!</v>
      </c>
    </row>
    <row r="88" spans="1:9" ht="20.149999999999999" customHeight="1" x14ac:dyDescent="0.35">
      <c r="A88" s="240">
        <v>19</v>
      </c>
      <c r="B88" s="256" t="s">
        <v>1001</v>
      </c>
      <c r="C88" s="248">
        <f>data!Q87</f>
        <v>811380.1</v>
      </c>
      <c r="D88" s="248">
        <f>data!R87</f>
        <v>509993.8</v>
      </c>
      <c r="E88" s="248">
        <f>data!S87</f>
        <v>1819019.4</v>
      </c>
      <c r="F88" s="248">
        <f>data!T87</f>
        <v>0</v>
      </c>
      <c r="G88" s="248">
        <f>data!U87</f>
        <v>5207524.45</v>
      </c>
      <c r="H88" s="248">
        <f>data!V87</f>
        <v>0</v>
      </c>
      <c r="I88" s="248">
        <f>data!W87</f>
        <v>493117.53</v>
      </c>
    </row>
    <row r="89" spans="1:9" ht="20.149999999999999" customHeight="1" x14ac:dyDescent="0.35">
      <c r="A89" s="240">
        <v>20</v>
      </c>
      <c r="B89" s="256" t="s">
        <v>1002</v>
      </c>
      <c r="C89" s="248">
        <f>data!Q88</f>
        <v>8072912.1200000001</v>
      </c>
      <c r="D89" s="248">
        <f>data!R88</f>
        <v>4861506.32</v>
      </c>
      <c r="E89" s="248">
        <f>data!S88</f>
        <v>7454907.6200000001</v>
      </c>
      <c r="F89" s="248">
        <f>data!T88</f>
        <v>0</v>
      </c>
      <c r="G89" s="248">
        <f>data!U88</f>
        <v>35650354.219999999</v>
      </c>
      <c r="H89" s="248">
        <f>data!V88</f>
        <v>0</v>
      </c>
      <c r="I89" s="248">
        <f>data!W88</f>
        <v>8506181.5</v>
      </c>
    </row>
    <row r="90" spans="1:9" ht="20.149999999999999" customHeight="1" x14ac:dyDescent="0.35">
      <c r="A90" s="240">
        <v>21</v>
      </c>
      <c r="B90" s="256" t="s">
        <v>1003</v>
      </c>
      <c r="C90" s="248">
        <f>data!Q89</f>
        <v>8884292.2200000007</v>
      </c>
      <c r="D90" s="248">
        <f>data!R89</f>
        <v>5371500.1200000001</v>
      </c>
      <c r="E90" s="248">
        <f>data!S89</f>
        <v>9273927.0199999996</v>
      </c>
      <c r="F90" s="248">
        <f>data!T89</f>
        <v>0</v>
      </c>
      <c r="G90" s="248">
        <f>data!U89</f>
        <v>40857878.670000002</v>
      </c>
      <c r="H90" s="248">
        <f>data!V89</f>
        <v>0</v>
      </c>
      <c r="I90" s="248">
        <f>data!W89</f>
        <v>8999299.0299999993</v>
      </c>
    </row>
    <row r="91" spans="1:9" ht="20.149999999999999" customHeight="1" x14ac:dyDescent="0.35">
      <c r="A91" s="240" t="s">
        <v>1004</v>
      </c>
      <c r="B91" s="248"/>
      <c r="C91" s="258"/>
      <c r="D91" s="258"/>
      <c r="E91" s="258"/>
      <c r="F91" s="258"/>
      <c r="G91" s="258"/>
      <c r="H91" s="258"/>
      <c r="I91" s="258"/>
    </row>
    <row r="92" spans="1:9" ht="20.149999999999999" customHeight="1" x14ac:dyDescent="0.35">
      <c r="A92" s="240">
        <v>22</v>
      </c>
      <c r="B92" s="248" t="s">
        <v>1005</v>
      </c>
      <c r="C92" s="248">
        <f>data!Q90</f>
        <v>7147</v>
      </c>
      <c r="D92" s="248">
        <f>data!R90</f>
        <v>312</v>
      </c>
      <c r="E92" s="248">
        <f>data!S90</f>
        <v>2970</v>
      </c>
      <c r="F92" s="248">
        <f>data!T90</f>
        <v>0</v>
      </c>
      <c r="G92" s="248">
        <f>data!U90</f>
        <v>4393</v>
      </c>
      <c r="H92" s="248">
        <f>data!V90</f>
        <v>0</v>
      </c>
      <c r="I92" s="248">
        <f>data!W90</f>
        <v>2137</v>
      </c>
    </row>
    <row r="93" spans="1:9" ht="20.149999999999999" customHeight="1" x14ac:dyDescent="0.35">
      <c r="A93" s="240">
        <v>23</v>
      </c>
      <c r="B93" s="248" t="s">
        <v>1006</v>
      </c>
      <c r="C93" s="248">
        <f>data!Q91</f>
        <v>0</v>
      </c>
      <c r="D93" s="248">
        <f>data!R91</f>
        <v>0</v>
      </c>
      <c r="E93" s="248">
        <f>data!S91</f>
        <v>0</v>
      </c>
      <c r="F93" s="248">
        <f>data!T91</f>
        <v>0</v>
      </c>
      <c r="G93" s="248">
        <f>data!U91</f>
        <v>0</v>
      </c>
      <c r="H93" s="248">
        <f>data!V91</f>
        <v>0</v>
      </c>
      <c r="I93" s="248">
        <f>data!W91</f>
        <v>0</v>
      </c>
    </row>
    <row r="94" spans="1:9" ht="20.149999999999999" customHeight="1" x14ac:dyDescent="0.35">
      <c r="A94" s="240">
        <v>24</v>
      </c>
      <c r="B94" s="248" t="s">
        <v>1007</v>
      </c>
      <c r="C94" s="248">
        <f>data!Q92</f>
        <v>0</v>
      </c>
      <c r="D94" s="248">
        <f>data!R92</f>
        <v>0</v>
      </c>
      <c r="E94" s="248">
        <f>data!S92</f>
        <v>0</v>
      </c>
      <c r="F94" s="248">
        <f>data!T92</f>
        <v>0</v>
      </c>
      <c r="G94" s="248">
        <f>data!U92</f>
        <v>0</v>
      </c>
      <c r="H94" s="248">
        <f>data!V92</f>
        <v>0</v>
      </c>
      <c r="I94" s="248">
        <f>data!W92</f>
        <v>0</v>
      </c>
    </row>
    <row r="95" spans="1:9" ht="20.149999999999999" customHeight="1" x14ac:dyDescent="0.35">
      <c r="A95" s="240">
        <v>25</v>
      </c>
      <c r="B95" s="248" t="s">
        <v>1008</v>
      </c>
      <c r="C95" s="248">
        <f>data!Q93</f>
        <v>21285</v>
      </c>
      <c r="D95" s="248">
        <f>data!R93</f>
        <v>0</v>
      </c>
      <c r="E95" s="248">
        <f>data!S93</f>
        <v>0</v>
      </c>
      <c r="F95" s="248">
        <f>data!T93</f>
        <v>0</v>
      </c>
      <c r="G95" s="248">
        <f>data!U93</f>
        <v>361</v>
      </c>
      <c r="H95" s="248">
        <f>data!V93</f>
        <v>0</v>
      </c>
      <c r="I95" s="248">
        <f>data!W93</f>
        <v>0</v>
      </c>
    </row>
    <row r="96" spans="1:9" ht="20.149999999999999" customHeight="1" x14ac:dyDescent="0.35">
      <c r="A96" s="240">
        <v>26</v>
      </c>
      <c r="B96" s="248" t="s">
        <v>294</v>
      </c>
      <c r="C96" s="255">
        <f>data!Q94</f>
        <v>13.566662338942308</v>
      </c>
      <c r="D96" s="255">
        <f>data!R94</f>
        <v>3.3784388461538457</v>
      </c>
      <c r="E96" s="255">
        <f>data!S94</f>
        <v>0</v>
      </c>
      <c r="F96" s="255">
        <f>data!T94</f>
        <v>0</v>
      </c>
      <c r="G96" s="255">
        <f>data!U94</f>
        <v>0</v>
      </c>
      <c r="H96" s="255">
        <f>data!V94</f>
        <v>0</v>
      </c>
      <c r="I96" s="255">
        <f>data!W94</f>
        <v>0</v>
      </c>
    </row>
    <row r="97" spans="1:9" ht="20.149999999999999" customHeight="1" x14ac:dyDescent="0.35">
      <c r="A97" s="241" t="s">
        <v>990</v>
      </c>
      <c r="B97" s="242"/>
      <c r="C97" s="242"/>
      <c r="D97" s="242"/>
      <c r="E97" s="242"/>
      <c r="F97" s="242"/>
      <c r="G97" s="242"/>
      <c r="H97" s="242"/>
      <c r="I97" s="241"/>
    </row>
    <row r="98" spans="1:9" ht="20.149999999999999" customHeight="1" x14ac:dyDescent="0.35">
      <c r="D98" s="244"/>
      <c r="I98" s="245" t="s">
        <v>1017</v>
      </c>
    </row>
    <row r="99" spans="1:9" ht="20.149999999999999" customHeight="1" x14ac:dyDescent="0.35">
      <c r="A99" s="244"/>
    </row>
    <row r="100" spans="1:9" ht="20.149999999999999" customHeight="1" x14ac:dyDescent="0.35">
      <c r="A100" s="246" t="str">
        <f>"Hospital: "&amp;data!C98</f>
        <v>Hospital: Public Hospital District No 1 of Mason County, WA, DBA Mason Health</v>
      </c>
      <c r="G100" s="247"/>
      <c r="H100" s="246" t="str">
        <f>"FYE: "&amp;data!C96</f>
        <v>FYE: 12/31/2023</v>
      </c>
    </row>
    <row r="101" spans="1:9" ht="20.149999999999999" customHeight="1" x14ac:dyDescent="0.35">
      <c r="A101" s="240">
        <v>1</v>
      </c>
      <c r="B101" s="248" t="s">
        <v>236</v>
      </c>
      <c r="C101" s="250" t="s">
        <v>57</v>
      </c>
      <c r="D101" s="250" t="s">
        <v>58</v>
      </c>
      <c r="E101" s="250" t="s">
        <v>59</v>
      </c>
      <c r="F101" s="250" t="s">
        <v>60</v>
      </c>
      <c r="G101" s="250" t="s">
        <v>61</v>
      </c>
      <c r="H101" s="250" t="s">
        <v>62</v>
      </c>
      <c r="I101" s="250" t="s">
        <v>63</v>
      </c>
    </row>
    <row r="102" spans="1:9" ht="20.149999999999999" customHeight="1" x14ac:dyDescent="0.35">
      <c r="A102" s="251">
        <v>2</v>
      </c>
      <c r="B102" s="252" t="s">
        <v>992</v>
      </c>
      <c r="C102" s="254" t="s">
        <v>1018</v>
      </c>
      <c r="D102" s="254" t="s">
        <v>1019</v>
      </c>
      <c r="E102" s="254" t="s">
        <v>1019</v>
      </c>
      <c r="F102" s="254" t="s">
        <v>141</v>
      </c>
      <c r="G102" s="254"/>
      <c r="H102" s="254" t="s">
        <v>143</v>
      </c>
      <c r="I102" s="254"/>
    </row>
    <row r="103" spans="1:9" ht="20.149999999999999" customHeight="1" x14ac:dyDescent="0.35">
      <c r="A103" s="251"/>
      <c r="B103" s="252"/>
      <c r="C103" s="254" t="s">
        <v>202</v>
      </c>
      <c r="D103" s="254" t="s">
        <v>203</v>
      </c>
      <c r="E103" s="254" t="s">
        <v>204</v>
      </c>
      <c r="F103" s="254" t="s">
        <v>205</v>
      </c>
      <c r="G103" s="254" t="s">
        <v>142</v>
      </c>
      <c r="H103" s="254" t="s">
        <v>199</v>
      </c>
      <c r="I103" s="254" t="s">
        <v>144</v>
      </c>
    </row>
    <row r="104" spans="1:9" ht="20.149999999999999" customHeight="1" x14ac:dyDescent="0.35">
      <c r="A104" s="240">
        <v>3</v>
      </c>
      <c r="B104" s="248" t="s">
        <v>996</v>
      </c>
      <c r="C104" s="249" t="s">
        <v>251</v>
      </c>
      <c r="D104" s="250" t="s">
        <v>1020</v>
      </c>
      <c r="E104" s="250" t="s">
        <v>1020</v>
      </c>
      <c r="F104" s="250" t="s">
        <v>1020</v>
      </c>
      <c r="G104" s="260"/>
      <c r="H104" s="250" t="s">
        <v>253</v>
      </c>
      <c r="I104" s="250" t="s">
        <v>254</v>
      </c>
    </row>
    <row r="105" spans="1:9" ht="20.149999999999999" customHeight="1" x14ac:dyDescent="0.35">
      <c r="A105" s="240">
        <v>4</v>
      </c>
      <c r="B105" s="248" t="s">
        <v>261</v>
      </c>
      <c r="C105" s="248">
        <f>data!X59</f>
        <v>38594</v>
      </c>
      <c r="D105" s="248">
        <f>data!Y59</f>
        <v>0</v>
      </c>
      <c r="E105" s="248">
        <f>data!Z59</f>
        <v>0</v>
      </c>
      <c r="F105" s="248">
        <f>data!AA59</f>
        <v>831</v>
      </c>
      <c r="G105" s="260"/>
      <c r="H105" s="248">
        <f>data!AC59</f>
        <v>4167</v>
      </c>
      <c r="I105" s="248">
        <f>data!AD59</f>
        <v>0</v>
      </c>
    </row>
    <row r="106" spans="1:9" ht="20.149999999999999" customHeight="1" x14ac:dyDescent="0.35">
      <c r="A106" s="240">
        <v>5</v>
      </c>
      <c r="B106" s="248" t="s">
        <v>262</v>
      </c>
      <c r="C106" s="255">
        <f>data!X60</f>
        <v>4.4897639242788472</v>
      </c>
      <c r="D106" s="255">
        <f>data!Y60</f>
        <v>23.884224074182693</v>
      </c>
      <c r="E106" s="255">
        <f>data!Z60</f>
        <v>0</v>
      </c>
      <c r="F106" s="255">
        <f>data!AA60</f>
        <v>1.0036760588942306</v>
      </c>
      <c r="G106" s="255">
        <f>data!AB60</f>
        <v>14.716421475961537</v>
      </c>
      <c r="H106" s="255">
        <f>data!AC60</f>
        <v>8.4617263847115396</v>
      </c>
      <c r="I106" s="255">
        <f>data!AD60</f>
        <v>0</v>
      </c>
    </row>
    <row r="107" spans="1:9" ht="20.149999999999999" customHeight="1" x14ac:dyDescent="0.35">
      <c r="A107" s="240">
        <v>6</v>
      </c>
      <c r="B107" s="248" t="s">
        <v>263</v>
      </c>
      <c r="C107" s="248">
        <f>data!X61</f>
        <v>506873.10000000009</v>
      </c>
      <c r="D107" s="248">
        <f>data!Y61</f>
        <v>2110038.1399999997</v>
      </c>
      <c r="E107" s="248">
        <f>data!Z61</f>
        <v>0</v>
      </c>
      <c r="F107" s="248">
        <f>data!AA61</f>
        <v>114302.27</v>
      </c>
      <c r="G107" s="248">
        <f>data!AB61</f>
        <v>1825729.11</v>
      </c>
      <c r="H107" s="248">
        <f>data!AC61</f>
        <v>874950.73999999987</v>
      </c>
      <c r="I107" s="248">
        <f>data!AD61</f>
        <v>0</v>
      </c>
    </row>
    <row r="108" spans="1:9" ht="20.149999999999999" customHeight="1" x14ac:dyDescent="0.35">
      <c r="A108" s="240">
        <v>7</v>
      </c>
      <c r="B108" s="248" t="s">
        <v>11</v>
      </c>
      <c r="C108" s="248">
        <f>data!X62</f>
        <v>159514</v>
      </c>
      <c r="D108" s="248">
        <f>data!Y62</f>
        <v>734136</v>
      </c>
      <c r="E108" s="248">
        <f>data!Z62</f>
        <v>0</v>
      </c>
      <c r="F108" s="248">
        <f>data!AA62</f>
        <v>45508</v>
      </c>
      <c r="G108" s="248">
        <f>data!AB62</f>
        <v>581724</v>
      </c>
      <c r="H108" s="248">
        <f>data!AC62</f>
        <v>263760</v>
      </c>
      <c r="I108" s="248">
        <f>data!AD62</f>
        <v>0</v>
      </c>
    </row>
    <row r="109" spans="1:9" ht="20.149999999999999" customHeight="1" x14ac:dyDescent="0.35">
      <c r="A109" s="240">
        <v>8</v>
      </c>
      <c r="B109" s="248" t="s">
        <v>264</v>
      </c>
      <c r="C109" s="248">
        <f>data!X63</f>
        <v>0</v>
      </c>
      <c r="D109" s="248">
        <f>data!Y63</f>
        <v>245243.9</v>
      </c>
      <c r="E109" s="248">
        <f>data!Z63</f>
        <v>0</v>
      </c>
      <c r="F109" s="248">
        <f>data!AA63</f>
        <v>0</v>
      </c>
      <c r="G109" s="248">
        <f>data!AB63</f>
        <v>0</v>
      </c>
      <c r="H109" s="248">
        <f>data!AC63</f>
        <v>168126.49999999997</v>
      </c>
      <c r="I109" s="248">
        <f>data!AD63</f>
        <v>0</v>
      </c>
    </row>
    <row r="110" spans="1:9" ht="20.149999999999999" customHeight="1" x14ac:dyDescent="0.35">
      <c r="A110" s="240">
        <v>9</v>
      </c>
      <c r="B110" s="248" t="s">
        <v>265</v>
      </c>
      <c r="C110" s="248">
        <f>data!X64</f>
        <v>129054.95000000001</v>
      </c>
      <c r="D110" s="248">
        <f>data!Y64</f>
        <v>121070.73000000001</v>
      </c>
      <c r="E110" s="248">
        <f>data!Z64</f>
        <v>0</v>
      </c>
      <c r="F110" s="248">
        <f>data!AA64</f>
        <v>53575.08</v>
      </c>
      <c r="G110" s="248">
        <f>data!AB64</f>
        <v>2963224.5199999996</v>
      </c>
      <c r="H110" s="248">
        <f>data!AC64</f>
        <v>132974.59999999998</v>
      </c>
      <c r="I110" s="248">
        <f>data!AD64</f>
        <v>0</v>
      </c>
    </row>
    <row r="111" spans="1:9" ht="20.149999999999999" customHeight="1" x14ac:dyDescent="0.35">
      <c r="A111" s="240">
        <v>10</v>
      </c>
      <c r="B111" s="248" t="s">
        <v>523</v>
      </c>
      <c r="C111" s="248">
        <f>data!X65</f>
        <v>0</v>
      </c>
      <c r="D111" s="248">
        <f>data!Y65</f>
        <v>616.11999999999989</v>
      </c>
      <c r="E111" s="248">
        <f>data!Z65</f>
        <v>0</v>
      </c>
      <c r="F111" s="248">
        <f>data!AA65</f>
        <v>0</v>
      </c>
      <c r="G111" s="248">
        <f>data!AB65</f>
        <v>0</v>
      </c>
      <c r="H111" s="248">
        <f>data!AC65</f>
        <v>0</v>
      </c>
      <c r="I111" s="248">
        <f>data!AD65</f>
        <v>0</v>
      </c>
    </row>
    <row r="112" spans="1:9" ht="20.149999999999999" customHeight="1" x14ac:dyDescent="0.35">
      <c r="A112" s="240">
        <v>11</v>
      </c>
      <c r="B112" s="248" t="s">
        <v>524</v>
      </c>
      <c r="C112" s="248">
        <f>data!X66</f>
        <v>132149.49999999997</v>
      </c>
      <c r="D112" s="248">
        <f>data!Y66</f>
        <v>661757.93999999994</v>
      </c>
      <c r="E112" s="248">
        <f>data!Z66</f>
        <v>0</v>
      </c>
      <c r="F112" s="248">
        <f>data!AA66</f>
        <v>3804</v>
      </c>
      <c r="G112" s="248">
        <f>data!AB66</f>
        <v>436476.4</v>
      </c>
      <c r="H112" s="248">
        <f>data!AC66</f>
        <v>89900.780000000013</v>
      </c>
      <c r="I112" s="248">
        <f>data!AD66</f>
        <v>0</v>
      </c>
    </row>
    <row r="113" spans="1:9" ht="20.149999999999999" customHeight="1" x14ac:dyDescent="0.35">
      <c r="A113" s="240">
        <v>12</v>
      </c>
      <c r="B113" s="248" t="s">
        <v>16</v>
      </c>
      <c r="C113" s="248">
        <f>data!X67</f>
        <v>24852</v>
      </c>
      <c r="D113" s="248">
        <f>data!Y67</f>
        <v>219501</v>
      </c>
      <c r="E113" s="248">
        <f>data!Z67</f>
        <v>0</v>
      </c>
      <c r="F113" s="248">
        <f>data!AA67</f>
        <v>21666</v>
      </c>
      <c r="G113" s="248">
        <f>data!AB67</f>
        <v>60348</v>
      </c>
      <c r="H113" s="248">
        <f>data!AC67</f>
        <v>25287</v>
      </c>
      <c r="I113" s="248">
        <f>data!AD67</f>
        <v>0</v>
      </c>
    </row>
    <row r="114" spans="1:9" ht="20.149999999999999" customHeight="1" x14ac:dyDescent="0.35">
      <c r="A114" s="240">
        <v>13</v>
      </c>
      <c r="B114" s="248" t="s">
        <v>997</v>
      </c>
      <c r="C114" s="248">
        <f>data!X68</f>
        <v>0</v>
      </c>
      <c r="D114" s="248">
        <f>data!Y68</f>
        <v>810.4899999999999</v>
      </c>
      <c r="E114" s="248">
        <f>data!Z68</f>
        <v>0</v>
      </c>
      <c r="F114" s="248">
        <f>data!AA68</f>
        <v>0</v>
      </c>
      <c r="G114" s="248">
        <f>data!AB68</f>
        <v>0</v>
      </c>
      <c r="H114" s="248">
        <f>data!AC68</f>
        <v>11013.88</v>
      </c>
      <c r="I114" s="248">
        <f>data!AD68</f>
        <v>0</v>
      </c>
    </row>
    <row r="115" spans="1:9" ht="20.149999999999999" customHeight="1" x14ac:dyDescent="0.35">
      <c r="A115" s="240">
        <v>14</v>
      </c>
      <c r="B115" s="248" t="s">
        <v>998</v>
      </c>
      <c r="C115" s="248">
        <f>data!X69</f>
        <v>0</v>
      </c>
      <c r="D115" s="248">
        <f>data!Y69</f>
        <v>2305</v>
      </c>
      <c r="E115" s="248">
        <f>data!Z69</f>
        <v>0</v>
      </c>
      <c r="F115" s="248">
        <f>data!AA69</f>
        <v>6608</v>
      </c>
      <c r="G115" s="248">
        <f>data!AB69</f>
        <v>29071.09</v>
      </c>
      <c r="H115" s="248">
        <f>data!AC69</f>
        <v>1995</v>
      </c>
      <c r="I115" s="248">
        <f>data!AD69</f>
        <v>0</v>
      </c>
    </row>
    <row r="116" spans="1:9" ht="20.149999999999999" customHeight="1" x14ac:dyDescent="0.35">
      <c r="A116" s="240">
        <v>15</v>
      </c>
      <c r="B116" s="248" t="s">
        <v>284</v>
      </c>
      <c r="C116" s="248">
        <f>-data!X84</f>
        <v>0</v>
      </c>
      <c r="D116" s="248">
        <f>-data!Y84</f>
        <v>0</v>
      </c>
      <c r="E116" s="248">
        <f>-data!Z84</f>
        <v>0</v>
      </c>
      <c r="F116" s="248">
        <f>-data!AA84</f>
        <v>0</v>
      </c>
      <c r="G116" s="248">
        <f>-data!AB84</f>
        <v>-3796984.8599999994</v>
      </c>
      <c r="H116" s="248">
        <f>-data!AC84</f>
        <v>0</v>
      </c>
      <c r="I116" s="248">
        <f>-data!AD84</f>
        <v>0</v>
      </c>
    </row>
    <row r="117" spans="1:9" ht="20.149999999999999" customHeight="1" x14ac:dyDescent="0.35">
      <c r="A117" s="240">
        <v>16</v>
      </c>
      <c r="B117" s="256" t="s">
        <v>999</v>
      </c>
      <c r="C117" s="248">
        <f>data!X85</f>
        <v>952443.55</v>
      </c>
      <c r="D117" s="248">
        <f>data!Y85</f>
        <v>4095479.32</v>
      </c>
      <c r="E117" s="248">
        <f>data!Z85</f>
        <v>0</v>
      </c>
      <c r="F117" s="248">
        <f>data!AA85</f>
        <v>245463.35000000003</v>
      </c>
      <c r="G117" s="248">
        <f>data!AB85</f>
        <v>2099588.2600000007</v>
      </c>
      <c r="H117" s="248">
        <f>data!AC85</f>
        <v>1568008.4999999998</v>
      </c>
      <c r="I117" s="248">
        <f>data!AD85</f>
        <v>0</v>
      </c>
    </row>
    <row r="118" spans="1:9" ht="20.149999999999999" customHeight="1" x14ac:dyDescent="0.35">
      <c r="A118" s="240">
        <v>17</v>
      </c>
      <c r="B118" s="248" t="s">
        <v>286</v>
      </c>
      <c r="C118" s="258"/>
      <c r="D118" s="258"/>
      <c r="E118" s="258"/>
      <c r="F118" s="258"/>
      <c r="G118" s="258"/>
      <c r="H118" s="258"/>
      <c r="I118" s="258"/>
    </row>
    <row r="119" spans="1:9" ht="20.149999999999999" customHeight="1" x14ac:dyDescent="0.35">
      <c r="A119" s="240">
        <v>18</v>
      </c>
      <c r="B119" s="248" t="s">
        <v>1000</v>
      </c>
      <c r="C119" s="256" t="e">
        <f>+data!M689</f>
        <v>#DIV/0!</v>
      </c>
      <c r="D119" s="256" t="e">
        <f>+data!M690</f>
        <v>#DIV/0!</v>
      </c>
      <c r="E119" s="256" t="e">
        <f>+data!M691</f>
        <v>#DIV/0!</v>
      </c>
      <c r="F119" s="256" t="e">
        <f>+data!M692</f>
        <v>#DIV/0!</v>
      </c>
      <c r="G119" s="256" t="e">
        <f>+data!M693</f>
        <v>#DIV/0!</v>
      </c>
      <c r="H119" s="256" t="e">
        <f>+data!M694</f>
        <v>#DIV/0!</v>
      </c>
      <c r="I119" s="256" t="e">
        <f>+data!M695</f>
        <v>#DIV/0!</v>
      </c>
    </row>
    <row r="120" spans="1:9" ht="20.149999999999999" customHeight="1" x14ac:dyDescent="0.35">
      <c r="A120" s="240">
        <v>19</v>
      </c>
      <c r="B120" s="256" t="s">
        <v>1001</v>
      </c>
      <c r="C120" s="248">
        <f>data!X87</f>
        <v>1756884.54</v>
      </c>
      <c r="D120" s="248">
        <f>data!Y87</f>
        <v>1631906.82</v>
      </c>
      <c r="E120" s="248">
        <f>data!Z87</f>
        <v>0</v>
      </c>
      <c r="F120" s="248">
        <f>data!AA87</f>
        <v>55405.4</v>
      </c>
      <c r="G120" s="248">
        <f>data!AB87</f>
        <v>4033529.8000000003</v>
      </c>
      <c r="H120" s="248">
        <f>data!AC87</f>
        <v>5007520.2300000004</v>
      </c>
      <c r="I120" s="248">
        <f>data!AD87</f>
        <v>0</v>
      </c>
    </row>
    <row r="121" spans="1:9" ht="20.149999999999999" customHeight="1" x14ac:dyDescent="0.35">
      <c r="A121" s="240">
        <v>20</v>
      </c>
      <c r="B121" s="256" t="s">
        <v>1002</v>
      </c>
      <c r="C121" s="248">
        <f>data!X88</f>
        <v>29466897.330000002</v>
      </c>
      <c r="D121" s="248">
        <f>data!Y88</f>
        <v>23518899</v>
      </c>
      <c r="E121" s="248">
        <f>data!Z88</f>
        <v>0</v>
      </c>
      <c r="F121" s="248">
        <f>data!AA88</f>
        <v>304136.19999999995</v>
      </c>
      <c r="G121" s="248">
        <f>data!AB88</f>
        <v>8943322.5599999987</v>
      </c>
      <c r="H121" s="248">
        <f>data!AC88</f>
        <v>4439397.8999999994</v>
      </c>
      <c r="I121" s="248">
        <f>data!AD88</f>
        <v>0</v>
      </c>
    </row>
    <row r="122" spans="1:9" ht="20.149999999999999" customHeight="1" x14ac:dyDescent="0.35">
      <c r="A122" s="240">
        <v>21</v>
      </c>
      <c r="B122" s="256" t="s">
        <v>1003</v>
      </c>
      <c r="C122" s="248">
        <f>data!X89</f>
        <v>31223781.870000001</v>
      </c>
      <c r="D122" s="248">
        <f>data!Y89</f>
        <v>25150805.82</v>
      </c>
      <c r="E122" s="248">
        <f>data!Z89</f>
        <v>0</v>
      </c>
      <c r="F122" s="248">
        <f>data!AA89</f>
        <v>359541.6</v>
      </c>
      <c r="G122" s="248">
        <f>data!AB89</f>
        <v>12976852.359999999</v>
      </c>
      <c r="H122" s="248">
        <f>data!AC89</f>
        <v>9446918.129999999</v>
      </c>
      <c r="I122" s="248">
        <f>data!AD89</f>
        <v>0</v>
      </c>
    </row>
    <row r="123" spans="1:9" ht="20.149999999999999" customHeight="1" x14ac:dyDescent="0.35">
      <c r="A123" s="240" t="s">
        <v>1004</v>
      </c>
      <c r="B123" s="248"/>
      <c r="C123" s="258"/>
      <c r="D123" s="258"/>
      <c r="E123" s="258"/>
      <c r="F123" s="258"/>
      <c r="G123" s="258"/>
      <c r="H123" s="258"/>
      <c r="I123" s="258"/>
    </row>
    <row r="124" spans="1:9" ht="20.149999999999999" customHeight="1" x14ac:dyDescent="0.35">
      <c r="A124" s="240">
        <v>22</v>
      </c>
      <c r="B124" s="248" t="s">
        <v>1005</v>
      </c>
      <c r="C124" s="248">
        <f>data!X90</f>
        <v>792</v>
      </c>
      <c r="D124" s="248">
        <f>data!Y90</f>
        <v>7380</v>
      </c>
      <c r="E124" s="248">
        <f>data!Z90</f>
        <v>0</v>
      </c>
      <c r="F124" s="248">
        <f>data!AA90</f>
        <v>690</v>
      </c>
      <c r="G124" s="248">
        <f>data!AB90</f>
        <v>3833</v>
      </c>
      <c r="H124" s="248">
        <f>data!AC90</f>
        <v>806</v>
      </c>
      <c r="I124" s="248">
        <f>data!AD90</f>
        <v>0</v>
      </c>
    </row>
    <row r="125" spans="1:9" ht="20.149999999999999" customHeight="1" x14ac:dyDescent="0.35">
      <c r="A125" s="240">
        <v>23</v>
      </c>
      <c r="B125" s="248" t="s">
        <v>1006</v>
      </c>
      <c r="C125" s="248">
        <f>data!X91</f>
        <v>0</v>
      </c>
      <c r="D125" s="248">
        <f>data!Y91</f>
        <v>0</v>
      </c>
      <c r="E125" s="248">
        <f>data!Z91</f>
        <v>0</v>
      </c>
      <c r="F125" s="248">
        <f>data!AA91</f>
        <v>0</v>
      </c>
      <c r="G125" s="248">
        <f>data!AB91</f>
        <v>0</v>
      </c>
      <c r="H125" s="248">
        <f>data!AC91</f>
        <v>0</v>
      </c>
      <c r="I125" s="248">
        <f>data!AD91</f>
        <v>0</v>
      </c>
    </row>
    <row r="126" spans="1:9" ht="20.149999999999999" customHeight="1" x14ac:dyDescent="0.35">
      <c r="A126" s="240">
        <v>24</v>
      </c>
      <c r="B126" s="248" t="s">
        <v>1007</v>
      </c>
      <c r="C126" s="248">
        <f>data!X92</f>
        <v>0</v>
      </c>
      <c r="D126" s="248">
        <f>data!Y92</f>
        <v>0</v>
      </c>
      <c r="E126" s="248">
        <f>data!Z92</f>
        <v>0</v>
      </c>
      <c r="F126" s="248">
        <f>data!AA92</f>
        <v>0</v>
      </c>
      <c r="G126" s="248">
        <f>data!AB92</f>
        <v>0</v>
      </c>
      <c r="H126" s="248">
        <f>data!AC92</f>
        <v>0</v>
      </c>
      <c r="I126" s="248">
        <f>data!AD92</f>
        <v>0</v>
      </c>
    </row>
    <row r="127" spans="1:9" ht="20.149999999999999" customHeight="1" x14ac:dyDescent="0.35">
      <c r="A127" s="240">
        <v>25</v>
      </c>
      <c r="B127" s="248" t="s">
        <v>1008</v>
      </c>
      <c r="C127" s="248">
        <f>data!X93</f>
        <v>0</v>
      </c>
      <c r="D127" s="248">
        <f>data!Y93</f>
        <v>24432</v>
      </c>
      <c r="E127" s="248">
        <f>data!Z93</f>
        <v>0</v>
      </c>
      <c r="F127" s="248">
        <f>data!AA93</f>
        <v>0</v>
      </c>
      <c r="G127" s="248">
        <f>data!AB93</f>
        <v>0</v>
      </c>
      <c r="H127" s="248">
        <f>data!AC93</f>
        <v>0</v>
      </c>
      <c r="I127" s="248">
        <f>data!AD93</f>
        <v>0</v>
      </c>
    </row>
    <row r="128" spans="1:9" ht="20.149999999999999" customHeight="1" x14ac:dyDescent="0.35">
      <c r="A128" s="240">
        <v>26</v>
      </c>
      <c r="B128" s="248" t="s">
        <v>294</v>
      </c>
      <c r="C128" s="255">
        <f>data!X94</f>
        <v>0</v>
      </c>
      <c r="D128" s="255">
        <f>data!Y94</f>
        <v>0</v>
      </c>
      <c r="E128" s="255">
        <f>data!Z94</f>
        <v>0</v>
      </c>
      <c r="F128" s="255">
        <f>data!AA94</f>
        <v>0</v>
      </c>
      <c r="G128" s="255">
        <f>data!AB94</f>
        <v>0</v>
      </c>
      <c r="H128" s="255">
        <f>data!AC94</f>
        <v>0</v>
      </c>
      <c r="I128" s="255">
        <f>data!AD94</f>
        <v>0</v>
      </c>
    </row>
    <row r="129" spans="1:14" ht="20.149999999999999" customHeight="1" x14ac:dyDescent="0.35">
      <c r="A129" s="241" t="s">
        <v>990</v>
      </c>
      <c r="B129" s="242"/>
      <c r="C129" s="242"/>
      <c r="D129" s="242"/>
      <c r="E129" s="242"/>
      <c r="F129" s="242"/>
      <c r="G129" s="242"/>
      <c r="H129" s="242"/>
      <c r="I129" s="241"/>
    </row>
    <row r="130" spans="1:14" ht="20.149999999999999" customHeight="1" x14ac:dyDescent="0.35">
      <c r="D130" s="244"/>
      <c r="I130" s="245" t="s">
        <v>1021</v>
      </c>
    </row>
    <row r="131" spans="1:14" ht="20.149999999999999" customHeight="1" x14ac:dyDescent="0.35">
      <c r="A131" s="244"/>
    </row>
    <row r="132" spans="1:14" ht="20.149999999999999" customHeight="1" x14ac:dyDescent="0.35">
      <c r="A132" s="246" t="str">
        <f>"Hospital: "&amp;data!C98</f>
        <v>Hospital: Public Hospital District No 1 of Mason County, WA, DBA Mason Health</v>
      </c>
      <c r="G132" s="247"/>
      <c r="H132" s="246" t="str">
        <f>"FYE: "&amp;data!C96</f>
        <v>FYE: 12/31/2023</v>
      </c>
    </row>
    <row r="133" spans="1:14" ht="20.149999999999999" customHeight="1" x14ac:dyDescent="0.35">
      <c r="A133" s="240">
        <v>1</v>
      </c>
      <c r="B133" s="248" t="s">
        <v>236</v>
      </c>
      <c r="C133" s="250" t="s">
        <v>64</v>
      </c>
      <c r="D133" s="250" t="s">
        <v>65</v>
      </c>
      <c r="E133" s="250" t="s">
        <v>66</v>
      </c>
      <c r="F133" s="250" t="s">
        <v>67</v>
      </c>
      <c r="G133" s="250" t="s">
        <v>68</v>
      </c>
      <c r="H133" s="250" t="s">
        <v>69</v>
      </c>
      <c r="I133" s="250" t="s">
        <v>70</v>
      </c>
    </row>
    <row r="134" spans="1:14" ht="20.149999999999999" customHeight="1" x14ac:dyDescent="0.35">
      <c r="A134" s="251">
        <v>2</v>
      </c>
      <c r="B134" s="252" t="s">
        <v>992</v>
      </c>
      <c r="C134" s="254" t="s">
        <v>122</v>
      </c>
      <c r="D134" s="254" t="s">
        <v>123</v>
      </c>
      <c r="E134" s="254" t="s">
        <v>145</v>
      </c>
      <c r="F134" s="254"/>
      <c r="G134" s="254" t="s">
        <v>1022</v>
      </c>
      <c r="H134" s="254"/>
      <c r="I134" s="254" t="s">
        <v>149</v>
      </c>
    </row>
    <row r="135" spans="1:14" ht="20.149999999999999" customHeight="1" x14ac:dyDescent="0.35">
      <c r="A135" s="251"/>
      <c r="B135" s="252"/>
      <c r="C135" s="254" t="s">
        <v>199</v>
      </c>
      <c r="D135" s="254" t="s">
        <v>206</v>
      </c>
      <c r="E135" s="254" t="s">
        <v>198</v>
      </c>
      <c r="F135" s="254" t="s">
        <v>146</v>
      </c>
      <c r="G135" s="254" t="s">
        <v>207</v>
      </c>
      <c r="H135" s="254" t="s">
        <v>148</v>
      </c>
      <c r="I135" s="254" t="s">
        <v>199</v>
      </c>
    </row>
    <row r="136" spans="1:14" ht="20.149999999999999" customHeight="1" x14ac:dyDescent="0.35">
      <c r="A136" s="240">
        <v>3</v>
      </c>
      <c r="B136" s="248" t="s">
        <v>996</v>
      </c>
      <c r="C136" s="250" t="s">
        <v>253</v>
      </c>
      <c r="D136" s="250" t="s">
        <v>255</v>
      </c>
      <c r="E136" s="250" t="s">
        <v>255</v>
      </c>
      <c r="F136" s="250" t="s">
        <v>256</v>
      </c>
      <c r="G136" s="249" t="s">
        <v>1023</v>
      </c>
      <c r="H136" s="250" t="s">
        <v>255</v>
      </c>
      <c r="I136" s="250" t="s">
        <v>253</v>
      </c>
    </row>
    <row r="137" spans="1:14" ht="20.149999999999999" customHeight="1" x14ac:dyDescent="0.35">
      <c r="A137" s="240">
        <v>4</v>
      </c>
      <c r="B137" s="248" t="s">
        <v>261</v>
      </c>
      <c r="C137" s="248">
        <f>data!AE59</f>
        <v>20823</v>
      </c>
      <c r="D137" s="248">
        <f>data!AF59</f>
        <v>0</v>
      </c>
      <c r="E137" s="248">
        <f>data!AG59</f>
        <v>17566</v>
      </c>
      <c r="F137" s="248">
        <f>data!AH59</f>
        <v>0</v>
      </c>
      <c r="G137" s="248">
        <f>data!AI59</f>
        <v>0</v>
      </c>
      <c r="H137" s="248">
        <f>data!AJ59</f>
        <v>0</v>
      </c>
      <c r="I137" s="248">
        <f>data!AK59</f>
        <v>0</v>
      </c>
      <c r="K137" s="259"/>
      <c r="L137" s="261"/>
      <c r="M137" s="261"/>
      <c r="N137" s="261"/>
    </row>
    <row r="138" spans="1:14" ht="20.149999999999999" customHeight="1" x14ac:dyDescent="0.35">
      <c r="A138" s="240">
        <v>5</v>
      </c>
      <c r="B138" s="248" t="s">
        <v>262</v>
      </c>
      <c r="C138" s="255">
        <f>data!AE60</f>
        <v>21.013615494711541</v>
      </c>
      <c r="D138" s="255">
        <f>data!AF60</f>
        <v>0</v>
      </c>
      <c r="E138" s="255">
        <f>data!AG60</f>
        <v>30.768301471634615</v>
      </c>
      <c r="F138" s="255">
        <f>data!AH60</f>
        <v>0</v>
      </c>
      <c r="G138" s="255">
        <f>data!AI60</f>
        <v>0</v>
      </c>
      <c r="H138" s="255">
        <f>data!AJ60</f>
        <v>0</v>
      </c>
      <c r="I138" s="255">
        <f>data!AK60</f>
        <v>0</v>
      </c>
    </row>
    <row r="139" spans="1:14" ht="20.149999999999999" customHeight="1" x14ac:dyDescent="0.35">
      <c r="A139" s="240">
        <v>6</v>
      </c>
      <c r="B139" s="248" t="s">
        <v>263</v>
      </c>
      <c r="C139" s="248">
        <f>data!AE61</f>
        <v>1813447.6799999999</v>
      </c>
      <c r="D139" s="248">
        <f>data!AF61</f>
        <v>0</v>
      </c>
      <c r="E139" s="248">
        <f>data!AG61</f>
        <v>4255892.5600000005</v>
      </c>
      <c r="F139" s="248">
        <f>data!AH61</f>
        <v>0</v>
      </c>
      <c r="G139" s="248">
        <f>data!AI61</f>
        <v>0</v>
      </c>
      <c r="H139" s="248">
        <f>data!AJ61</f>
        <v>0</v>
      </c>
      <c r="I139" s="248">
        <f>data!AK61</f>
        <v>0</v>
      </c>
    </row>
    <row r="140" spans="1:14" ht="20.149999999999999" customHeight="1" x14ac:dyDescent="0.35">
      <c r="A140" s="240">
        <v>7</v>
      </c>
      <c r="B140" s="248" t="s">
        <v>11</v>
      </c>
      <c r="C140" s="248">
        <f>data!AE62</f>
        <v>626038</v>
      </c>
      <c r="D140" s="248">
        <f>data!AF62</f>
        <v>0</v>
      </c>
      <c r="E140" s="248">
        <f>data!AG62</f>
        <v>1023950</v>
      </c>
      <c r="F140" s="248">
        <f>data!AH62</f>
        <v>0</v>
      </c>
      <c r="G140" s="248">
        <f>data!AI62</f>
        <v>0</v>
      </c>
      <c r="H140" s="248">
        <f>data!AJ62</f>
        <v>0</v>
      </c>
      <c r="I140" s="248">
        <f>data!AK62</f>
        <v>0</v>
      </c>
    </row>
    <row r="141" spans="1:14" ht="20.149999999999999" customHeight="1" x14ac:dyDescent="0.35">
      <c r="A141" s="240">
        <v>8</v>
      </c>
      <c r="B141" s="248" t="s">
        <v>264</v>
      </c>
      <c r="C141" s="248">
        <f>data!AE63</f>
        <v>427100.15</v>
      </c>
      <c r="D141" s="248">
        <f>data!AF63</f>
        <v>0</v>
      </c>
      <c r="E141" s="248">
        <f>data!AG63</f>
        <v>3869278.5200000005</v>
      </c>
      <c r="F141" s="248">
        <f>data!AH63</f>
        <v>0</v>
      </c>
      <c r="G141" s="248">
        <f>data!AI63</f>
        <v>0</v>
      </c>
      <c r="H141" s="248">
        <f>data!AJ63</f>
        <v>0</v>
      </c>
      <c r="I141" s="248">
        <f>data!AK63</f>
        <v>0</v>
      </c>
    </row>
    <row r="142" spans="1:14" ht="20.149999999999999" customHeight="1" x14ac:dyDescent="0.35">
      <c r="A142" s="240">
        <v>9</v>
      </c>
      <c r="B142" s="248" t="s">
        <v>265</v>
      </c>
      <c r="C142" s="248">
        <f>data!AE64</f>
        <v>46571.32</v>
      </c>
      <c r="D142" s="248">
        <f>data!AF64</f>
        <v>0</v>
      </c>
      <c r="E142" s="248">
        <f>data!AG64</f>
        <v>398413.8</v>
      </c>
      <c r="F142" s="248">
        <f>data!AH64</f>
        <v>0</v>
      </c>
      <c r="G142" s="248">
        <f>data!AI64</f>
        <v>0</v>
      </c>
      <c r="H142" s="248">
        <f>data!AJ64</f>
        <v>0</v>
      </c>
      <c r="I142" s="248">
        <f>data!AK64</f>
        <v>0</v>
      </c>
    </row>
    <row r="143" spans="1:14" ht="20.149999999999999" customHeight="1" x14ac:dyDescent="0.35">
      <c r="A143" s="240">
        <v>10</v>
      </c>
      <c r="B143" s="248" t="s">
        <v>523</v>
      </c>
      <c r="C143" s="248">
        <f>data!AE65</f>
        <v>0</v>
      </c>
      <c r="D143" s="248">
        <f>data!AF65</f>
        <v>0</v>
      </c>
      <c r="E143" s="248">
        <f>data!AG65</f>
        <v>233.59</v>
      </c>
      <c r="F143" s="248">
        <f>data!AH65</f>
        <v>0</v>
      </c>
      <c r="G143" s="248">
        <f>data!AI65</f>
        <v>0</v>
      </c>
      <c r="H143" s="248">
        <f>data!AJ65</f>
        <v>0</v>
      </c>
      <c r="I143" s="248">
        <f>data!AK65</f>
        <v>0</v>
      </c>
    </row>
    <row r="144" spans="1:14" ht="20.149999999999999" customHeight="1" x14ac:dyDescent="0.35">
      <c r="A144" s="240">
        <v>11</v>
      </c>
      <c r="B144" s="248" t="s">
        <v>524</v>
      </c>
      <c r="C144" s="248">
        <f>data!AE66</f>
        <v>10493.6</v>
      </c>
      <c r="D144" s="248">
        <f>data!AF66</f>
        <v>0</v>
      </c>
      <c r="E144" s="248">
        <f>data!AG66</f>
        <v>398731.57</v>
      </c>
      <c r="F144" s="248">
        <f>data!AH66</f>
        <v>0</v>
      </c>
      <c r="G144" s="248">
        <f>data!AI66</f>
        <v>0</v>
      </c>
      <c r="H144" s="248">
        <f>data!AJ66</f>
        <v>0</v>
      </c>
      <c r="I144" s="248">
        <f>data!AK66</f>
        <v>0</v>
      </c>
    </row>
    <row r="145" spans="1:9" ht="20.149999999999999" customHeight="1" x14ac:dyDescent="0.35">
      <c r="A145" s="240">
        <v>12</v>
      </c>
      <c r="B145" s="248" t="s">
        <v>16</v>
      </c>
      <c r="C145" s="248">
        <f>data!AE67</f>
        <v>249915</v>
      </c>
      <c r="D145" s="248">
        <f>data!AF67</f>
        <v>0</v>
      </c>
      <c r="E145" s="248">
        <f>data!AG67</f>
        <v>299579</v>
      </c>
      <c r="F145" s="248">
        <f>data!AH67</f>
        <v>0</v>
      </c>
      <c r="G145" s="248">
        <f>data!AI67</f>
        <v>0</v>
      </c>
      <c r="H145" s="248">
        <f>data!AJ67</f>
        <v>0</v>
      </c>
      <c r="I145" s="248">
        <f>data!AK67</f>
        <v>0</v>
      </c>
    </row>
    <row r="146" spans="1:9" ht="20.149999999999999" customHeight="1" x14ac:dyDescent="0.35">
      <c r="A146" s="240">
        <v>13</v>
      </c>
      <c r="B146" s="248" t="s">
        <v>997</v>
      </c>
      <c r="C146" s="248">
        <f>data!AE68</f>
        <v>0</v>
      </c>
      <c r="D146" s="248">
        <f>data!AF68</f>
        <v>0</v>
      </c>
      <c r="E146" s="248">
        <f>data!AG68</f>
        <v>181.45999999999998</v>
      </c>
      <c r="F146" s="248">
        <f>data!AH68</f>
        <v>0</v>
      </c>
      <c r="G146" s="248">
        <f>data!AI68</f>
        <v>0</v>
      </c>
      <c r="H146" s="248">
        <f>data!AJ68</f>
        <v>0</v>
      </c>
      <c r="I146" s="248">
        <f>data!AK68</f>
        <v>0</v>
      </c>
    </row>
    <row r="147" spans="1:9" ht="20.149999999999999" customHeight="1" x14ac:dyDescent="0.35">
      <c r="A147" s="240">
        <v>14</v>
      </c>
      <c r="B147" s="248" t="s">
        <v>998</v>
      </c>
      <c r="C147" s="248">
        <f>data!AE69</f>
        <v>15046.15</v>
      </c>
      <c r="D147" s="248">
        <f>data!AF69</f>
        <v>0</v>
      </c>
      <c r="E147" s="248">
        <f>data!AG69</f>
        <v>52675.34</v>
      </c>
      <c r="F147" s="248">
        <f>data!AH69</f>
        <v>0</v>
      </c>
      <c r="G147" s="248">
        <f>data!AI69</f>
        <v>0</v>
      </c>
      <c r="H147" s="248">
        <f>data!AJ69</f>
        <v>0</v>
      </c>
      <c r="I147" s="248">
        <f>data!AK69</f>
        <v>0</v>
      </c>
    </row>
    <row r="148" spans="1:9" ht="20.149999999999999" customHeight="1" x14ac:dyDescent="0.35">
      <c r="A148" s="240">
        <v>15</v>
      </c>
      <c r="B148" s="248" t="s">
        <v>284</v>
      </c>
      <c r="C148" s="248">
        <f>-data!AE84</f>
        <v>0</v>
      </c>
      <c r="D148" s="248">
        <f>-data!AF84</f>
        <v>0</v>
      </c>
      <c r="E148" s="248">
        <f>-data!AG84</f>
        <v>0</v>
      </c>
      <c r="F148" s="248">
        <f>-data!AH84</f>
        <v>0</v>
      </c>
      <c r="G148" s="248">
        <f>-data!AI84</f>
        <v>0</v>
      </c>
      <c r="H148" s="248">
        <f>-data!AJ84</f>
        <v>0</v>
      </c>
      <c r="I148" s="248">
        <f>-data!AK84</f>
        <v>0</v>
      </c>
    </row>
    <row r="149" spans="1:9" ht="20.149999999999999" customHeight="1" x14ac:dyDescent="0.35">
      <c r="A149" s="240">
        <v>16</v>
      </c>
      <c r="B149" s="256" t="s">
        <v>999</v>
      </c>
      <c r="C149" s="248">
        <f>data!AE85</f>
        <v>3188611.8999999994</v>
      </c>
      <c r="D149" s="248">
        <f>data!AF85</f>
        <v>0</v>
      </c>
      <c r="E149" s="248">
        <f>data!AG85</f>
        <v>10298935.840000004</v>
      </c>
      <c r="F149" s="248">
        <f>data!AH85</f>
        <v>0</v>
      </c>
      <c r="G149" s="248">
        <f>data!AI85</f>
        <v>0</v>
      </c>
      <c r="H149" s="248">
        <f>data!AJ85</f>
        <v>0</v>
      </c>
      <c r="I149" s="248">
        <f>data!AK85</f>
        <v>0</v>
      </c>
    </row>
    <row r="150" spans="1:9" ht="20.149999999999999" customHeight="1" x14ac:dyDescent="0.35">
      <c r="A150" s="240">
        <v>17</v>
      </c>
      <c r="B150" s="248" t="s">
        <v>286</v>
      </c>
      <c r="C150" s="258"/>
      <c r="D150" s="258"/>
      <c r="E150" s="258"/>
      <c r="F150" s="258"/>
      <c r="G150" s="258"/>
      <c r="H150" s="258"/>
      <c r="I150" s="258"/>
    </row>
    <row r="151" spans="1:9" ht="20.149999999999999" customHeight="1" x14ac:dyDescent="0.35">
      <c r="A151" s="240">
        <v>18</v>
      </c>
      <c r="B151" s="248" t="s">
        <v>1000</v>
      </c>
      <c r="C151" s="256" t="e">
        <f>+data!M696</f>
        <v>#DIV/0!</v>
      </c>
      <c r="D151" s="256" t="e">
        <f>+data!M697</f>
        <v>#DIV/0!</v>
      </c>
      <c r="E151" s="256" t="e">
        <f>+data!M698</f>
        <v>#DIV/0!</v>
      </c>
      <c r="F151" s="256" t="e">
        <f>+data!M699</f>
        <v>#DIV/0!</v>
      </c>
      <c r="G151" s="256" t="e">
        <f>+data!M700</f>
        <v>#DIV/0!</v>
      </c>
      <c r="H151" s="256" t="e">
        <f>+data!M701</f>
        <v>#DIV/0!</v>
      </c>
      <c r="I151" s="256" t="e">
        <f>+data!M702</f>
        <v>#DIV/0!</v>
      </c>
    </row>
    <row r="152" spans="1:9" ht="20.149999999999999" customHeight="1" x14ac:dyDescent="0.35">
      <c r="A152" s="240">
        <v>19</v>
      </c>
      <c r="B152" s="256" t="s">
        <v>1001</v>
      </c>
      <c r="C152" s="248">
        <f>data!AE87</f>
        <v>627379.19999999995</v>
      </c>
      <c r="D152" s="248">
        <f>data!AF87</f>
        <v>0</v>
      </c>
      <c r="E152" s="248">
        <f>data!AG87</f>
        <v>2916095.65</v>
      </c>
      <c r="F152" s="248">
        <f>data!AH87</f>
        <v>0</v>
      </c>
      <c r="G152" s="248">
        <f>data!AI87</f>
        <v>0</v>
      </c>
      <c r="H152" s="248">
        <f>data!AJ87</f>
        <v>0</v>
      </c>
      <c r="I152" s="248">
        <f>data!AK87</f>
        <v>0</v>
      </c>
    </row>
    <row r="153" spans="1:9" ht="20.149999999999999" customHeight="1" x14ac:dyDescent="0.35">
      <c r="A153" s="240">
        <v>20</v>
      </c>
      <c r="B153" s="256" t="s">
        <v>1002</v>
      </c>
      <c r="C153" s="248">
        <f>data!AE88</f>
        <v>8229203.3000000007</v>
      </c>
      <c r="D153" s="248">
        <f>data!AF88</f>
        <v>0</v>
      </c>
      <c r="E153" s="248">
        <f>data!AG88</f>
        <v>54995511.979999997</v>
      </c>
      <c r="F153" s="248">
        <f>data!AH88</f>
        <v>0</v>
      </c>
      <c r="G153" s="248">
        <f>data!AI88</f>
        <v>0</v>
      </c>
      <c r="H153" s="248">
        <f>data!AJ88</f>
        <v>0</v>
      </c>
      <c r="I153" s="248">
        <f>data!AK88</f>
        <v>0</v>
      </c>
    </row>
    <row r="154" spans="1:9" ht="20.149999999999999" customHeight="1" x14ac:dyDescent="0.35">
      <c r="A154" s="240">
        <v>21</v>
      </c>
      <c r="B154" s="256" t="s">
        <v>1003</v>
      </c>
      <c r="C154" s="248">
        <f>data!AE89</f>
        <v>8856582.5</v>
      </c>
      <c r="D154" s="248">
        <f>data!AF89</f>
        <v>0</v>
      </c>
      <c r="E154" s="248">
        <f>data!AG89</f>
        <v>57911607.629999995</v>
      </c>
      <c r="F154" s="248">
        <f>data!AH89</f>
        <v>0</v>
      </c>
      <c r="G154" s="248">
        <f>data!AI89</f>
        <v>0</v>
      </c>
      <c r="H154" s="248">
        <f>data!AJ89</f>
        <v>0</v>
      </c>
      <c r="I154" s="248">
        <f>data!AK89</f>
        <v>0</v>
      </c>
    </row>
    <row r="155" spans="1:9" ht="20.149999999999999" customHeight="1" x14ac:dyDescent="0.35">
      <c r="A155" s="240" t="s">
        <v>1004</v>
      </c>
      <c r="B155" s="248"/>
      <c r="C155" s="258"/>
      <c r="D155" s="258"/>
      <c r="E155" s="258"/>
      <c r="F155" s="258"/>
      <c r="G155" s="258"/>
      <c r="H155" s="258"/>
      <c r="I155" s="258"/>
    </row>
    <row r="156" spans="1:9" ht="20.149999999999999" customHeight="1" x14ac:dyDescent="0.35">
      <c r="A156" s="240">
        <v>22</v>
      </c>
      <c r="B156" s="248" t="s">
        <v>1005</v>
      </c>
      <c r="C156" s="248">
        <f>data!AE90</f>
        <v>8054</v>
      </c>
      <c r="D156" s="248">
        <f>data!AF90</f>
        <v>0</v>
      </c>
      <c r="E156" s="248">
        <f>data!AG90</f>
        <v>9543</v>
      </c>
      <c r="F156" s="248">
        <f>data!AH90</f>
        <v>0</v>
      </c>
      <c r="G156" s="248">
        <f>data!AI90</f>
        <v>0</v>
      </c>
      <c r="H156" s="248">
        <f>data!AJ90</f>
        <v>0</v>
      </c>
      <c r="I156" s="248">
        <f>data!AK90</f>
        <v>0</v>
      </c>
    </row>
    <row r="157" spans="1:9" ht="20.149999999999999" customHeight="1" x14ac:dyDescent="0.35">
      <c r="A157" s="240">
        <v>23</v>
      </c>
      <c r="B157" s="248" t="s">
        <v>1006</v>
      </c>
      <c r="C157" s="248">
        <f>data!AE91</f>
        <v>0</v>
      </c>
      <c r="D157" s="248">
        <f>data!AF91</f>
        <v>0</v>
      </c>
      <c r="E157" s="248">
        <f>data!AG91</f>
        <v>1043.4681562661965</v>
      </c>
      <c r="F157" s="248">
        <f>data!AH91</f>
        <v>0</v>
      </c>
      <c r="G157" s="248">
        <f>data!AI91</f>
        <v>0</v>
      </c>
      <c r="H157" s="248">
        <f>data!AJ91</f>
        <v>0</v>
      </c>
      <c r="I157" s="248">
        <f>data!AK91</f>
        <v>0</v>
      </c>
    </row>
    <row r="158" spans="1:9" ht="20.149999999999999" customHeight="1" x14ac:dyDescent="0.35">
      <c r="A158" s="240">
        <v>24</v>
      </c>
      <c r="B158" s="248" t="s">
        <v>1007</v>
      </c>
      <c r="C158" s="248">
        <f>data!AE92</f>
        <v>0</v>
      </c>
      <c r="D158" s="248">
        <f>data!AF92</f>
        <v>0</v>
      </c>
      <c r="E158" s="248">
        <f>data!AG92</f>
        <v>0</v>
      </c>
      <c r="F158" s="248">
        <f>data!AH92</f>
        <v>0</v>
      </c>
      <c r="G158" s="248">
        <f>data!AI92</f>
        <v>0</v>
      </c>
      <c r="H158" s="248">
        <f>data!AJ92</f>
        <v>0</v>
      </c>
      <c r="I158" s="248">
        <f>data!AK92</f>
        <v>0</v>
      </c>
    </row>
    <row r="159" spans="1:9" ht="20.149999999999999" customHeight="1" x14ac:dyDescent="0.35">
      <c r="A159" s="240">
        <v>25</v>
      </c>
      <c r="B159" s="248" t="s">
        <v>1008</v>
      </c>
      <c r="C159" s="248">
        <f>data!AE93</f>
        <v>1732</v>
      </c>
      <c r="D159" s="248">
        <f>data!AF93</f>
        <v>0</v>
      </c>
      <c r="E159" s="248">
        <f>data!AG93</f>
        <v>60858</v>
      </c>
      <c r="F159" s="248">
        <f>data!AH93</f>
        <v>0</v>
      </c>
      <c r="G159" s="248">
        <f>data!AI93</f>
        <v>0</v>
      </c>
      <c r="H159" s="248">
        <f>data!AJ93</f>
        <v>0</v>
      </c>
      <c r="I159" s="248">
        <f>data!AK93</f>
        <v>0</v>
      </c>
    </row>
    <row r="160" spans="1:9" ht="20.149999999999999" customHeight="1" x14ac:dyDescent="0.35">
      <c r="A160" s="240">
        <v>26</v>
      </c>
      <c r="B160" s="248" t="s">
        <v>294</v>
      </c>
      <c r="C160" s="255">
        <f>data!AE94</f>
        <v>0</v>
      </c>
      <c r="D160" s="255">
        <f>data!AF94</f>
        <v>0</v>
      </c>
      <c r="E160" s="255">
        <f>data!AG94</f>
        <v>30.768301471634615</v>
      </c>
      <c r="F160" s="255">
        <f>data!AH94</f>
        <v>0</v>
      </c>
      <c r="G160" s="255">
        <f>data!AI94</f>
        <v>0</v>
      </c>
      <c r="H160" s="255">
        <f>data!AJ94</f>
        <v>0</v>
      </c>
      <c r="I160" s="255">
        <f>data!AK94</f>
        <v>0</v>
      </c>
    </row>
    <row r="161" spans="1:9" ht="20.149999999999999" customHeight="1" x14ac:dyDescent="0.35">
      <c r="A161" s="241" t="s">
        <v>990</v>
      </c>
      <c r="B161" s="242"/>
      <c r="C161" s="242"/>
      <c r="D161" s="242"/>
      <c r="E161" s="242"/>
      <c r="F161" s="242"/>
      <c r="G161" s="242"/>
      <c r="H161" s="242"/>
      <c r="I161" s="241"/>
    </row>
    <row r="162" spans="1:9" ht="20.149999999999999" customHeight="1" x14ac:dyDescent="0.35">
      <c r="D162" s="244"/>
      <c r="I162" s="245" t="s">
        <v>1024</v>
      </c>
    </row>
    <row r="163" spans="1:9" ht="20.149999999999999" customHeight="1" x14ac:dyDescent="0.35">
      <c r="A163" s="244"/>
    </row>
    <row r="164" spans="1:9" ht="20.149999999999999" customHeight="1" x14ac:dyDescent="0.35">
      <c r="A164" s="246" t="str">
        <f>"Hospital: "&amp;data!C98</f>
        <v>Hospital: Public Hospital District No 1 of Mason County, WA, DBA Mason Health</v>
      </c>
      <c r="G164" s="247"/>
      <c r="H164" s="246" t="str">
        <f>"FYE: "&amp;data!C96</f>
        <v>FYE: 12/31/2023</v>
      </c>
    </row>
    <row r="165" spans="1:9" ht="20.149999999999999" customHeight="1" x14ac:dyDescent="0.35">
      <c r="A165" s="240">
        <v>1</v>
      </c>
      <c r="B165" s="248" t="s">
        <v>236</v>
      </c>
      <c r="C165" s="250" t="s">
        <v>71</v>
      </c>
      <c r="D165" s="250" t="s">
        <v>72</v>
      </c>
      <c r="E165" s="250" t="s">
        <v>73</v>
      </c>
      <c r="F165" s="250" t="s">
        <v>74</v>
      </c>
      <c r="G165" s="250" t="s">
        <v>75</v>
      </c>
      <c r="H165" s="250" t="s">
        <v>76</v>
      </c>
      <c r="I165" s="250" t="s">
        <v>77</v>
      </c>
    </row>
    <row r="166" spans="1:9" ht="20.149999999999999" customHeight="1" x14ac:dyDescent="0.35">
      <c r="A166" s="251">
        <v>2</v>
      </c>
      <c r="B166" s="252" t="s">
        <v>992</v>
      </c>
      <c r="C166" s="254" t="s">
        <v>150</v>
      </c>
      <c r="D166" s="254" t="s">
        <v>151</v>
      </c>
      <c r="E166" s="254" t="s">
        <v>137</v>
      </c>
      <c r="F166" s="254" t="s">
        <v>152</v>
      </c>
      <c r="G166" s="254" t="s">
        <v>1025</v>
      </c>
      <c r="H166" s="254" t="s">
        <v>154</v>
      </c>
      <c r="I166" s="254" t="s">
        <v>155</v>
      </c>
    </row>
    <row r="167" spans="1:9" ht="20.149999999999999" customHeight="1" x14ac:dyDescent="0.35">
      <c r="A167" s="251"/>
      <c r="B167" s="252"/>
      <c r="C167" s="254" t="s">
        <v>199</v>
      </c>
      <c r="D167" s="254" t="s">
        <v>199</v>
      </c>
      <c r="E167" s="254" t="s">
        <v>1026</v>
      </c>
      <c r="F167" s="254" t="s">
        <v>209</v>
      </c>
      <c r="G167" s="254" t="s">
        <v>148</v>
      </c>
      <c r="H167" s="253" t="s">
        <v>1027</v>
      </c>
      <c r="I167" s="254" t="s">
        <v>196</v>
      </c>
    </row>
    <row r="168" spans="1:9" ht="20.149999999999999" customHeight="1" x14ac:dyDescent="0.35">
      <c r="A168" s="240">
        <v>3</v>
      </c>
      <c r="B168" s="248" t="s">
        <v>996</v>
      </c>
      <c r="C168" s="250" t="s">
        <v>253</v>
      </c>
      <c r="D168" s="250" t="s">
        <v>253</v>
      </c>
      <c r="E168" s="250" t="s">
        <v>244</v>
      </c>
      <c r="F168" s="250" t="s">
        <v>254</v>
      </c>
      <c r="G168" s="250" t="s">
        <v>255</v>
      </c>
      <c r="H168" s="250" t="s">
        <v>256</v>
      </c>
      <c r="I168" s="250" t="s">
        <v>255</v>
      </c>
    </row>
    <row r="169" spans="1:9" ht="20.149999999999999" customHeight="1" x14ac:dyDescent="0.35">
      <c r="A169" s="240">
        <v>4</v>
      </c>
      <c r="B169" s="248" t="s">
        <v>261</v>
      </c>
      <c r="C169" s="248">
        <f>data!AL59</f>
        <v>0</v>
      </c>
      <c r="D169" s="248">
        <f>data!AM59</f>
        <v>0</v>
      </c>
      <c r="E169" s="248">
        <f>data!AN59</f>
        <v>0</v>
      </c>
      <c r="F169" s="248">
        <f>data!AO59</f>
        <v>0</v>
      </c>
      <c r="G169" s="248">
        <f>data!AP59</f>
        <v>90971</v>
      </c>
      <c r="H169" s="248">
        <f>data!AQ59</f>
        <v>0</v>
      </c>
      <c r="I169" s="248">
        <f>data!AR59</f>
        <v>0</v>
      </c>
    </row>
    <row r="170" spans="1:9" ht="20.149999999999999" customHeight="1" x14ac:dyDescent="0.35">
      <c r="A170" s="240">
        <v>5</v>
      </c>
      <c r="B170" s="248" t="s">
        <v>262</v>
      </c>
      <c r="C170" s="255">
        <f>data!AL60</f>
        <v>0</v>
      </c>
      <c r="D170" s="255">
        <f>data!AM60</f>
        <v>0</v>
      </c>
      <c r="E170" s="255">
        <f>data!AN60</f>
        <v>0</v>
      </c>
      <c r="F170" s="255">
        <f>data!AO60</f>
        <v>0</v>
      </c>
      <c r="G170" s="255">
        <f>data!AP60</f>
        <v>169.56457440995194</v>
      </c>
      <c r="H170" s="255">
        <f>data!AQ60</f>
        <v>0</v>
      </c>
      <c r="I170" s="255">
        <f>data!AR60</f>
        <v>0</v>
      </c>
    </row>
    <row r="171" spans="1:9" ht="20.149999999999999" customHeight="1" x14ac:dyDescent="0.35">
      <c r="A171" s="240">
        <v>6</v>
      </c>
      <c r="B171" s="248" t="s">
        <v>263</v>
      </c>
      <c r="C171" s="248">
        <f>data!AL61</f>
        <v>0</v>
      </c>
      <c r="D171" s="248">
        <f>data!AM61</f>
        <v>0</v>
      </c>
      <c r="E171" s="248">
        <f>data!AN61</f>
        <v>0</v>
      </c>
      <c r="F171" s="248">
        <f>data!AO61</f>
        <v>0</v>
      </c>
      <c r="G171" s="248">
        <f>data!AP61</f>
        <v>19241404.890000001</v>
      </c>
      <c r="H171" s="248">
        <f>data!AQ61</f>
        <v>0</v>
      </c>
      <c r="I171" s="248">
        <f>data!AR61</f>
        <v>0</v>
      </c>
    </row>
    <row r="172" spans="1:9" ht="20.149999999999999" customHeight="1" x14ac:dyDescent="0.35">
      <c r="A172" s="240">
        <v>7</v>
      </c>
      <c r="B172" s="248" t="s">
        <v>11</v>
      </c>
      <c r="C172" s="248">
        <f>data!AL62</f>
        <v>0</v>
      </c>
      <c r="D172" s="248">
        <f>data!AM62</f>
        <v>0</v>
      </c>
      <c r="E172" s="248">
        <f>data!AN62</f>
        <v>0</v>
      </c>
      <c r="F172" s="248">
        <f>data!AO62</f>
        <v>0</v>
      </c>
      <c r="G172" s="248">
        <f>data!AP62</f>
        <v>5647972</v>
      </c>
      <c r="H172" s="248">
        <f>data!AQ62</f>
        <v>0</v>
      </c>
      <c r="I172" s="248">
        <f>data!AR62</f>
        <v>0</v>
      </c>
    </row>
    <row r="173" spans="1:9" ht="20.149999999999999" customHeight="1" x14ac:dyDescent="0.35">
      <c r="A173" s="240">
        <v>8</v>
      </c>
      <c r="B173" s="248" t="s">
        <v>264</v>
      </c>
      <c r="C173" s="248">
        <f>data!AL63</f>
        <v>0</v>
      </c>
      <c r="D173" s="248">
        <f>data!AM63</f>
        <v>0</v>
      </c>
      <c r="E173" s="248">
        <f>data!AN63</f>
        <v>0</v>
      </c>
      <c r="F173" s="248">
        <f>data!AO63</f>
        <v>0</v>
      </c>
      <c r="G173" s="248">
        <f>data!AP63</f>
        <v>2466472.66</v>
      </c>
      <c r="H173" s="248">
        <f>data!AQ63</f>
        <v>0</v>
      </c>
      <c r="I173" s="248">
        <f>data!AR63</f>
        <v>0</v>
      </c>
    </row>
    <row r="174" spans="1:9" ht="20.149999999999999" customHeight="1" x14ac:dyDescent="0.35">
      <c r="A174" s="240">
        <v>9</v>
      </c>
      <c r="B174" s="248" t="s">
        <v>265</v>
      </c>
      <c r="C174" s="248">
        <f>data!AL64</f>
        <v>0</v>
      </c>
      <c r="D174" s="248">
        <f>data!AM64</f>
        <v>0</v>
      </c>
      <c r="E174" s="248">
        <f>data!AN64</f>
        <v>0</v>
      </c>
      <c r="F174" s="248">
        <f>data!AO64</f>
        <v>0</v>
      </c>
      <c r="G174" s="248">
        <f>data!AP64</f>
        <v>1326920.57</v>
      </c>
      <c r="H174" s="248">
        <f>data!AQ64</f>
        <v>0</v>
      </c>
      <c r="I174" s="248">
        <f>data!AR64</f>
        <v>0</v>
      </c>
    </row>
    <row r="175" spans="1:9" ht="20.149999999999999" customHeight="1" x14ac:dyDescent="0.35">
      <c r="A175" s="240">
        <v>10</v>
      </c>
      <c r="B175" s="248" t="s">
        <v>523</v>
      </c>
      <c r="C175" s="248">
        <f>data!AL65</f>
        <v>0</v>
      </c>
      <c r="D175" s="248">
        <f>data!AM65</f>
        <v>0</v>
      </c>
      <c r="E175" s="248">
        <f>data!AN65</f>
        <v>0</v>
      </c>
      <c r="F175" s="248">
        <f>data!AO65</f>
        <v>0</v>
      </c>
      <c r="G175" s="248">
        <f>data!AP65</f>
        <v>82106.31</v>
      </c>
      <c r="H175" s="248">
        <f>data!AQ65</f>
        <v>0</v>
      </c>
      <c r="I175" s="248">
        <f>data!AR65</f>
        <v>0</v>
      </c>
    </row>
    <row r="176" spans="1:9" ht="20.149999999999999" customHeight="1" x14ac:dyDescent="0.35">
      <c r="A176" s="240">
        <v>11</v>
      </c>
      <c r="B176" s="248" t="s">
        <v>524</v>
      </c>
      <c r="C176" s="248">
        <f>data!AL66</f>
        <v>0</v>
      </c>
      <c r="D176" s="248">
        <f>data!AM66</f>
        <v>0</v>
      </c>
      <c r="E176" s="248">
        <f>data!AN66</f>
        <v>0</v>
      </c>
      <c r="F176" s="248">
        <f>data!AO66</f>
        <v>0</v>
      </c>
      <c r="G176" s="248">
        <f>data!AP66</f>
        <v>334034.33</v>
      </c>
      <c r="H176" s="248">
        <f>data!AQ66</f>
        <v>0</v>
      </c>
      <c r="I176" s="248">
        <f>data!AR66</f>
        <v>0</v>
      </c>
    </row>
    <row r="177" spans="1:9" ht="20.149999999999999" customHeight="1" x14ac:dyDescent="0.35">
      <c r="A177" s="240">
        <v>12</v>
      </c>
      <c r="B177" s="248" t="s">
        <v>16</v>
      </c>
      <c r="C177" s="248">
        <f>data!AL67</f>
        <v>0</v>
      </c>
      <c r="D177" s="248">
        <f>data!AM67</f>
        <v>0</v>
      </c>
      <c r="E177" s="248">
        <f>data!AN67</f>
        <v>0</v>
      </c>
      <c r="F177" s="248">
        <f>data!AO67</f>
        <v>0</v>
      </c>
      <c r="G177" s="248">
        <f>data!AP67</f>
        <v>2824964</v>
      </c>
      <c r="H177" s="248">
        <f>data!AQ67</f>
        <v>0</v>
      </c>
      <c r="I177" s="248">
        <f>data!AR67</f>
        <v>0</v>
      </c>
    </row>
    <row r="178" spans="1:9" ht="20.149999999999999" customHeight="1" x14ac:dyDescent="0.35">
      <c r="A178" s="240">
        <v>13</v>
      </c>
      <c r="B178" s="248" t="s">
        <v>997</v>
      </c>
      <c r="C178" s="248">
        <f>data!AL68</f>
        <v>0</v>
      </c>
      <c r="D178" s="248">
        <f>data!AM68</f>
        <v>0</v>
      </c>
      <c r="E178" s="248">
        <f>data!AN68</f>
        <v>0</v>
      </c>
      <c r="F178" s="248">
        <f>data!AO68</f>
        <v>0</v>
      </c>
      <c r="G178" s="248">
        <f>data!AP68</f>
        <v>36467.69</v>
      </c>
      <c r="H178" s="248">
        <f>data!AQ68</f>
        <v>0</v>
      </c>
      <c r="I178" s="248">
        <f>data!AR68</f>
        <v>0</v>
      </c>
    </row>
    <row r="179" spans="1:9" ht="20.149999999999999" customHeight="1" x14ac:dyDescent="0.35">
      <c r="A179" s="240">
        <v>14</v>
      </c>
      <c r="B179" s="248" t="s">
        <v>998</v>
      </c>
      <c r="C179" s="248">
        <f>data!AL69</f>
        <v>0</v>
      </c>
      <c r="D179" s="248">
        <f>data!AM69</f>
        <v>0</v>
      </c>
      <c r="E179" s="248">
        <f>data!AN69</f>
        <v>0</v>
      </c>
      <c r="F179" s="248">
        <f>data!AO69</f>
        <v>0</v>
      </c>
      <c r="G179" s="248">
        <f>data!AP69</f>
        <v>474738.35000000003</v>
      </c>
      <c r="H179" s="248">
        <f>data!AQ69</f>
        <v>0</v>
      </c>
      <c r="I179" s="248">
        <f>data!AR69</f>
        <v>0</v>
      </c>
    </row>
    <row r="180" spans="1:9" ht="20.149999999999999" customHeight="1" x14ac:dyDescent="0.35">
      <c r="A180" s="240">
        <v>15</v>
      </c>
      <c r="B180" s="248" t="s">
        <v>284</v>
      </c>
      <c r="C180" s="248">
        <f>data!AL70</f>
        <v>0</v>
      </c>
      <c r="D180" s="248">
        <f>data!AM70</f>
        <v>0</v>
      </c>
      <c r="E180" s="248">
        <f>data!AN70</f>
        <v>0</v>
      </c>
      <c r="F180" s="248">
        <f>data!AO70</f>
        <v>0</v>
      </c>
      <c r="G180" s="248">
        <f>data!AP70</f>
        <v>0</v>
      </c>
      <c r="H180" s="248">
        <f>data!AQ70</f>
        <v>0</v>
      </c>
      <c r="I180" s="248">
        <f>data!AR70</f>
        <v>0</v>
      </c>
    </row>
    <row r="181" spans="1:9" ht="20.149999999999999" customHeight="1" x14ac:dyDescent="0.35">
      <c r="A181" s="240">
        <v>16</v>
      </c>
      <c r="B181" s="256" t="s">
        <v>999</v>
      </c>
      <c r="C181" s="248">
        <f>data!AL85</f>
        <v>0</v>
      </c>
      <c r="D181" s="248">
        <f>data!AM85</f>
        <v>0</v>
      </c>
      <c r="E181" s="248">
        <f>data!AN85</f>
        <v>0</v>
      </c>
      <c r="F181" s="248">
        <f>data!AO85</f>
        <v>0</v>
      </c>
      <c r="G181" s="248">
        <f>data!AP85</f>
        <v>32355482.57</v>
      </c>
      <c r="H181" s="248">
        <f>data!AQ85</f>
        <v>0</v>
      </c>
      <c r="I181" s="248">
        <f>data!AR85</f>
        <v>0</v>
      </c>
    </row>
    <row r="182" spans="1:9" ht="20.149999999999999" customHeight="1" x14ac:dyDescent="0.35">
      <c r="A182" s="240">
        <v>17</v>
      </c>
      <c r="B182" s="248" t="s">
        <v>286</v>
      </c>
      <c r="C182" s="258"/>
      <c r="D182" s="258"/>
      <c r="E182" s="258"/>
      <c r="F182" s="258"/>
      <c r="G182" s="258"/>
      <c r="H182" s="258"/>
      <c r="I182" s="258"/>
    </row>
    <row r="183" spans="1:9" ht="20.149999999999999" customHeight="1" x14ac:dyDescent="0.35">
      <c r="A183" s="240">
        <v>18</v>
      </c>
      <c r="B183" s="248" t="s">
        <v>1000</v>
      </c>
      <c r="C183" s="256" t="e">
        <f>+data!M703</f>
        <v>#DIV/0!</v>
      </c>
      <c r="D183" s="256" t="e">
        <f>+data!M704</f>
        <v>#DIV/0!</v>
      </c>
      <c r="E183" s="256" t="e">
        <f>+data!M705</f>
        <v>#DIV/0!</v>
      </c>
      <c r="F183" s="256" t="e">
        <f>+data!M706</f>
        <v>#DIV/0!</v>
      </c>
      <c r="G183" s="256" t="e">
        <f>+data!M707</f>
        <v>#DIV/0!</v>
      </c>
      <c r="H183" s="256" t="e">
        <f>+data!M708</f>
        <v>#DIV/0!</v>
      </c>
      <c r="I183" s="256" t="e">
        <f>+data!M709</f>
        <v>#DIV/0!</v>
      </c>
    </row>
    <row r="184" spans="1:9" ht="20.149999999999999" customHeight="1" x14ac:dyDescent="0.35">
      <c r="A184" s="240">
        <v>19</v>
      </c>
      <c r="B184" s="256" t="s">
        <v>1001</v>
      </c>
      <c r="C184" s="248">
        <f>data!AL87</f>
        <v>0</v>
      </c>
      <c r="D184" s="248">
        <f>data!AM87</f>
        <v>0</v>
      </c>
      <c r="E184" s="248">
        <f>data!AN87</f>
        <v>0</v>
      </c>
      <c r="F184" s="248">
        <f>data!AO87</f>
        <v>0</v>
      </c>
      <c r="G184" s="248">
        <f>data!AP87</f>
        <v>2946611.9</v>
      </c>
      <c r="H184" s="248">
        <f>data!AQ87</f>
        <v>0</v>
      </c>
      <c r="I184" s="248">
        <f>data!AR87</f>
        <v>0</v>
      </c>
    </row>
    <row r="185" spans="1:9" ht="20.149999999999999" customHeight="1" x14ac:dyDescent="0.35">
      <c r="A185" s="240">
        <v>20</v>
      </c>
      <c r="B185" s="256" t="s">
        <v>1002</v>
      </c>
      <c r="C185" s="248">
        <f>data!AL88</f>
        <v>0</v>
      </c>
      <c r="D185" s="248">
        <f>data!AM88</f>
        <v>0</v>
      </c>
      <c r="E185" s="248">
        <f>data!AN88</f>
        <v>0</v>
      </c>
      <c r="F185" s="248">
        <f>data!AO88</f>
        <v>0</v>
      </c>
      <c r="G185" s="248">
        <f>data!AP88</f>
        <v>38354574.119999997</v>
      </c>
      <c r="H185" s="248">
        <f>data!AQ88</f>
        <v>0</v>
      </c>
      <c r="I185" s="248">
        <f>data!AR88</f>
        <v>0</v>
      </c>
    </row>
    <row r="186" spans="1:9" ht="20.149999999999999" customHeight="1" x14ac:dyDescent="0.35">
      <c r="A186" s="240">
        <v>21</v>
      </c>
      <c r="B186" s="256" t="s">
        <v>1003</v>
      </c>
      <c r="C186" s="248">
        <f>data!AL89</f>
        <v>0</v>
      </c>
      <c r="D186" s="248">
        <f>data!AM89</f>
        <v>0</v>
      </c>
      <c r="E186" s="248">
        <f>data!AN89</f>
        <v>0</v>
      </c>
      <c r="F186" s="248">
        <f>data!AO89</f>
        <v>0</v>
      </c>
      <c r="G186" s="248">
        <f>data!AP89</f>
        <v>41301186.019999996</v>
      </c>
      <c r="H186" s="248">
        <f>data!AQ89</f>
        <v>0</v>
      </c>
      <c r="I186" s="248">
        <f>data!AR89</f>
        <v>0</v>
      </c>
    </row>
    <row r="187" spans="1:9" ht="20.149999999999999" customHeight="1" x14ac:dyDescent="0.35">
      <c r="A187" s="240" t="s">
        <v>1004</v>
      </c>
      <c r="B187" s="248"/>
      <c r="C187" s="258"/>
      <c r="D187" s="258"/>
      <c r="E187" s="258"/>
      <c r="F187" s="258"/>
      <c r="G187" s="258"/>
      <c r="H187" s="258"/>
      <c r="I187" s="258"/>
    </row>
    <row r="188" spans="1:9" ht="20.149999999999999" customHeight="1" x14ac:dyDescent="0.35">
      <c r="A188" s="240">
        <v>22</v>
      </c>
      <c r="B188" s="248" t="s">
        <v>1005</v>
      </c>
      <c r="C188" s="248">
        <f>data!AL90</f>
        <v>0</v>
      </c>
      <c r="D188" s="248">
        <f>data!AM90</f>
        <v>0</v>
      </c>
      <c r="E188" s="248">
        <f>data!AN90</f>
        <v>0</v>
      </c>
      <c r="F188" s="248">
        <f>data!AO90</f>
        <v>0</v>
      </c>
      <c r="G188" s="248">
        <f>data!AP90</f>
        <v>63978</v>
      </c>
      <c r="H188" s="248">
        <f>data!AQ90</f>
        <v>0</v>
      </c>
      <c r="I188" s="248">
        <f>data!AR90</f>
        <v>0</v>
      </c>
    </row>
    <row r="189" spans="1:9" ht="20.149999999999999" customHeight="1" x14ac:dyDescent="0.35">
      <c r="A189" s="240">
        <v>23</v>
      </c>
      <c r="B189" s="248" t="s">
        <v>1006</v>
      </c>
      <c r="C189" s="248">
        <f>data!AL91</f>
        <v>0</v>
      </c>
      <c r="D189" s="248">
        <f>data!AM91</f>
        <v>0</v>
      </c>
      <c r="E189" s="248">
        <f>data!AN91</f>
        <v>0</v>
      </c>
      <c r="F189" s="248">
        <f>data!AO91</f>
        <v>0</v>
      </c>
      <c r="G189" s="248">
        <f>data!AP91</f>
        <v>0</v>
      </c>
      <c r="H189" s="248">
        <f>data!AQ91</f>
        <v>0</v>
      </c>
      <c r="I189" s="248">
        <f>data!AR91</f>
        <v>0</v>
      </c>
    </row>
    <row r="190" spans="1:9" ht="20.149999999999999" customHeight="1" x14ac:dyDescent="0.35">
      <c r="A190" s="240">
        <v>24</v>
      </c>
      <c r="B190" s="248" t="s">
        <v>1007</v>
      </c>
      <c r="C190" s="248">
        <f>data!AL92</f>
        <v>0</v>
      </c>
      <c r="D190" s="248">
        <f>data!AM92</f>
        <v>0</v>
      </c>
      <c r="E190" s="248">
        <f>data!AN92</f>
        <v>0</v>
      </c>
      <c r="F190" s="248">
        <f>data!AO92</f>
        <v>0</v>
      </c>
      <c r="G190" s="248">
        <f>data!AP92</f>
        <v>0</v>
      </c>
      <c r="H190" s="248">
        <f>data!AQ92</f>
        <v>0</v>
      </c>
      <c r="I190" s="248">
        <f>data!AR92</f>
        <v>0</v>
      </c>
    </row>
    <row r="191" spans="1:9" ht="20.149999999999999" customHeight="1" x14ac:dyDescent="0.35">
      <c r="A191" s="240">
        <v>25</v>
      </c>
      <c r="B191" s="248" t="s">
        <v>1008</v>
      </c>
      <c r="C191" s="248">
        <f>data!AL93</f>
        <v>0</v>
      </c>
      <c r="D191" s="248">
        <f>data!AM93</f>
        <v>0</v>
      </c>
      <c r="E191" s="248">
        <f>data!AN93</f>
        <v>0</v>
      </c>
      <c r="F191" s="248">
        <f>data!AO93</f>
        <v>0</v>
      </c>
      <c r="G191" s="248">
        <f>data!AP93</f>
        <v>0</v>
      </c>
      <c r="H191" s="248">
        <f>data!AQ93</f>
        <v>0</v>
      </c>
      <c r="I191" s="248">
        <f>data!AR93</f>
        <v>0</v>
      </c>
    </row>
    <row r="192" spans="1:9" ht="20.149999999999999" customHeight="1" x14ac:dyDescent="0.35">
      <c r="A192" s="240">
        <v>26</v>
      </c>
      <c r="B192" s="248" t="s">
        <v>294</v>
      </c>
      <c r="C192" s="255">
        <f>data!AL94</f>
        <v>0</v>
      </c>
      <c r="D192" s="255">
        <f>data!AM94</f>
        <v>0</v>
      </c>
      <c r="E192" s="255">
        <f>data!AN94</f>
        <v>0</v>
      </c>
      <c r="F192" s="255">
        <f>data!AO94</f>
        <v>0</v>
      </c>
      <c r="G192" s="255">
        <f>data!AP94</f>
        <v>0</v>
      </c>
      <c r="H192" s="255">
        <f>data!AQ94</f>
        <v>0</v>
      </c>
      <c r="I192" s="255">
        <f>data!AR94</f>
        <v>0</v>
      </c>
    </row>
    <row r="193" spans="1:9" ht="20.149999999999999" customHeight="1" x14ac:dyDescent="0.35">
      <c r="A193" s="241" t="s">
        <v>990</v>
      </c>
      <c r="B193" s="242"/>
      <c r="C193" s="242"/>
      <c r="D193" s="242"/>
      <c r="E193" s="242"/>
      <c r="F193" s="242"/>
      <c r="G193" s="242"/>
      <c r="H193" s="242"/>
      <c r="I193" s="241"/>
    </row>
    <row r="194" spans="1:9" ht="20.149999999999999" customHeight="1" x14ac:dyDescent="0.35">
      <c r="D194" s="244"/>
      <c r="I194" s="245" t="s">
        <v>1028</v>
      </c>
    </row>
    <row r="195" spans="1:9" ht="20.149999999999999" customHeight="1" x14ac:dyDescent="0.35">
      <c r="A195" s="244"/>
    </row>
    <row r="196" spans="1:9" ht="20.149999999999999" customHeight="1" x14ac:dyDescent="0.35">
      <c r="A196" s="246" t="str">
        <f>"Hospital: "&amp;data!C98</f>
        <v>Hospital: Public Hospital District No 1 of Mason County, WA, DBA Mason Health</v>
      </c>
      <c r="G196" s="247"/>
      <c r="H196" s="246" t="str">
        <f>"FYE: "&amp;data!C96</f>
        <v>FYE: 12/31/2023</v>
      </c>
    </row>
    <row r="197" spans="1:9" ht="20.149999999999999" customHeight="1" x14ac:dyDescent="0.35">
      <c r="A197" s="240">
        <v>1</v>
      </c>
      <c r="B197" s="248" t="s">
        <v>236</v>
      </c>
      <c r="C197" s="250" t="s">
        <v>78</v>
      </c>
      <c r="D197" s="250" t="s">
        <v>79</v>
      </c>
      <c r="E197" s="250" t="s">
        <v>80</v>
      </c>
      <c r="F197" s="250" t="s">
        <v>81</v>
      </c>
      <c r="G197" s="250" t="s">
        <v>82</v>
      </c>
      <c r="H197" s="250" t="s">
        <v>83</v>
      </c>
      <c r="I197" s="250" t="s">
        <v>84</v>
      </c>
    </row>
    <row r="198" spans="1:9" ht="20.149999999999999" customHeight="1" x14ac:dyDescent="0.35">
      <c r="A198" s="251">
        <v>2</v>
      </c>
      <c r="B198" s="252" t="s">
        <v>992</v>
      </c>
      <c r="C198" s="254"/>
      <c r="D198" s="254" t="s">
        <v>157</v>
      </c>
      <c r="E198" s="254" t="s">
        <v>158</v>
      </c>
      <c r="F198" s="254" t="s">
        <v>159</v>
      </c>
      <c r="G198" s="254" t="s">
        <v>1029</v>
      </c>
      <c r="H198" s="254" t="s">
        <v>161</v>
      </c>
      <c r="I198" s="254"/>
    </row>
    <row r="199" spans="1:9" ht="20.149999999999999" customHeight="1" x14ac:dyDescent="0.35">
      <c r="A199" s="251"/>
      <c r="B199" s="252"/>
      <c r="C199" s="254" t="s">
        <v>156</v>
      </c>
      <c r="D199" s="254" t="s">
        <v>258</v>
      </c>
      <c r="E199" s="254" t="s">
        <v>1030</v>
      </c>
      <c r="F199" s="254" t="s">
        <v>213</v>
      </c>
      <c r="G199" s="254" t="s">
        <v>228</v>
      </c>
      <c r="H199" s="254" t="s">
        <v>215</v>
      </c>
      <c r="I199" s="254" t="s">
        <v>162</v>
      </c>
    </row>
    <row r="200" spans="1:9" ht="20.149999999999999" customHeight="1" x14ac:dyDescent="0.35">
      <c r="A200" s="240">
        <v>3</v>
      </c>
      <c r="B200" s="248" t="s">
        <v>996</v>
      </c>
      <c r="C200" s="250" t="s">
        <v>253</v>
      </c>
      <c r="D200" s="250" t="s">
        <v>258</v>
      </c>
      <c r="E200" s="250" t="s">
        <v>255</v>
      </c>
      <c r="F200" s="260"/>
      <c r="G200" s="260"/>
      <c r="H200" s="260"/>
      <c r="I200" s="250" t="s">
        <v>259</v>
      </c>
    </row>
    <row r="201" spans="1:9" ht="20.149999999999999" customHeight="1" x14ac:dyDescent="0.35">
      <c r="A201" s="240">
        <v>4</v>
      </c>
      <c r="B201" s="248" t="s">
        <v>261</v>
      </c>
      <c r="C201" s="248">
        <f>data!AS59</f>
        <v>0</v>
      </c>
      <c r="D201" s="248">
        <f>data!AT59</f>
        <v>0</v>
      </c>
      <c r="E201" s="248">
        <f>data!AU59</f>
        <v>0</v>
      </c>
      <c r="F201" s="260"/>
      <c r="G201" s="260"/>
      <c r="H201" s="260"/>
      <c r="I201" s="248">
        <f>data!AY59</f>
        <v>33431.114391143914</v>
      </c>
    </row>
    <row r="202" spans="1:9" ht="20.149999999999999" customHeight="1" x14ac:dyDescent="0.35">
      <c r="A202" s="240">
        <v>5</v>
      </c>
      <c r="B202" s="248" t="s">
        <v>262</v>
      </c>
      <c r="C202" s="255">
        <f>data!AS60</f>
        <v>0</v>
      </c>
      <c r="D202" s="255">
        <f>data!AT60</f>
        <v>0</v>
      </c>
      <c r="E202" s="255">
        <f>data!AU60</f>
        <v>0</v>
      </c>
      <c r="F202" s="255">
        <f>data!AV60</f>
        <v>4.0644393701923081</v>
      </c>
      <c r="G202" s="255">
        <f>data!AW60</f>
        <v>0</v>
      </c>
      <c r="H202" s="255">
        <f>data!AX60</f>
        <v>0</v>
      </c>
      <c r="I202" s="255">
        <f>data!AY60</f>
        <v>19.414148450721154</v>
      </c>
    </row>
    <row r="203" spans="1:9" ht="20.149999999999999" customHeight="1" x14ac:dyDescent="0.35">
      <c r="A203" s="240">
        <v>6</v>
      </c>
      <c r="B203" s="248" t="s">
        <v>263</v>
      </c>
      <c r="C203" s="248">
        <f>data!AS61</f>
        <v>0</v>
      </c>
      <c r="D203" s="248">
        <f>data!AT61</f>
        <v>0</v>
      </c>
      <c r="E203" s="248">
        <f>data!AU61</f>
        <v>0</v>
      </c>
      <c r="F203" s="248">
        <f>data!AV61</f>
        <v>376995.85000000003</v>
      </c>
      <c r="G203" s="248">
        <f>data!AW61</f>
        <v>0</v>
      </c>
      <c r="H203" s="248">
        <f>data!AX61</f>
        <v>0</v>
      </c>
      <c r="I203" s="248">
        <f>data!AY61</f>
        <v>977535.20000000019</v>
      </c>
    </row>
    <row r="204" spans="1:9" ht="20.149999999999999" customHeight="1" x14ac:dyDescent="0.35">
      <c r="A204" s="240">
        <v>7</v>
      </c>
      <c r="B204" s="248" t="s">
        <v>11</v>
      </c>
      <c r="C204" s="248">
        <f>data!AS62</f>
        <v>0</v>
      </c>
      <c r="D204" s="248">
        <f>data!AT62</f>
        <v>0</v>
      </c>
      <c r="E204" s="248">
        <f>data!AU62</f>
        <v>0</v>
      </c>
      <c r="F204" s="248">
        <f>data!AV62</f>
        <v>141599</v>
      </c>
      <c r="G204" s="248">
        <f>data!AW62</f>
        <v>0</v>
      </c>
      <c r="H204" s="248">
        <f>data!AX62</f>
        <v>0</v>
      </c>
      <c r="I204" s="248">
        <f>data!AY62</f>
        <v>376415</v>
      </c>
    </row>
    <row r="205" spans="1:9" ht="20.149999999999999" customHeight="1" x14ac:dyDescent="0.35">
      <c r="A205" s="240">
        <v>8</v>
      </c>
      <c r="B205" s="248" t="s">
        <v>264</v>
      </c>
      <c r="C205" s="248">
        <f>data!AS63</f>
        <v>0</v>
      </c>
      <c r="D205" s="248">
        <f>data!AT63</f>
        <v>0</v>
      </c>
      <c r="E205" s="248">
        <f>data!AU63</f>
        <v>0</v>
      </c>
      <c r="F205" s="248">
        <f>data!AV63</f>
        <v>34545</v>
      </c>
      <c r="G205" s="248">
        <f>data!AW63</f>
        <v>0</v>
      </c>
      <c r="H205" s="248">
        <f>data!AX63</f>
        <v>0</v>
      </c>
      <c r="I205" s="248">
        <f>data!AY63</f>
        <v>155.6</v>
      </c>
    </row>
    <row r="206" spans="1:9" ht="20.149999999999999" customHeight="1" x14ac:dyDescent="0.35">
      <c r="A206" s="240">
        <v>9</v>
      </c>
      <c r="B206" s="248" t="s">
        <v>265</v>
      </c>
      <c r="C206" s="248">
        <f>data!AS64</f>
        <v>0</v>
      </c>
      <c r="D206" s="248">
        <f>data!AT64</f>
        <v>0</v>
      </c>
      <c r="E206" s="248">
        <f>data!AU64</f>
        <v>0</v>
      </c>
      <c r="F206" s="248">
        <f>data!AV64</f>
        <v>10790.26</v>
      </c>
      <c r="G206" s="248">
        <f>data!AW64</f>
        <v>0</v>
      </c>
      <c r="H206" s="248">
        <f>data!AX64</f>
        <v>0</v>
      </c>
      <c r="I206" s="248">
        <f>data!AY64</f>
        <v>851097.77000000014</v>
      </c>
    </row>
    <row r="207" spans="1:9" ht="20.149999999999999" customHeight="1" x14ac:dyDescent="0.35">
      <c r="A207" s="240">
        <v>10</v>
      </c>
      <c r="B207" s="248" t="s">
        <v>523</v>
      </c>
      <c r="C207" s="248">
        <f>data!AS65</f>
        <v>0</v>
      </c>
      <c r="D207" s="248">
        <f>data!AT65</f>
        <v>0</v>
      </c>
      <c r="E207" s="248">
        <f>data!AU65</f>
        <v>0</v>
      </c>
      <c r="F207" s="248">
        <f>data!AV65</f>
        <v>0</v>
      </c>
      <c r="G207" s="248">
        <f>data!AW65</f>
        <v>0</v>
      </c>
      <c r="H207" s="248">
        <f>data!AX65</f>
        <v>0</v>
      </c>
      <c r="I207" s="248">
        <f>data!AY65</f>
        <v>0</v>
      </c>
    </row>
    <row r="208" spans="1:9" ht="20.149999999999999" customHeight="1" x14ac:dyDescent="0.35">
      <c r="A208" s="240">
        <v>11</v>
      </c>
      <c r="B208" s="248" t="s">
        <v>524</v>
      </c>
      <c r="C208" s="248">
        <f>data!AS66</f>
        <v>0</v>
      </c>
      <c r="D208" s="248">
        <f>data!AT66</f>
        <v>0</v>
      </c>
      <c r="E208" s="248">
        <f>data!AU66</f>
        <v>0</v>
      </c>
      <c r="F208" s="248">
        <f>data!AV66</f>
        <v>3894.63</v>
      </c>
      <c r="G208" s="248">
        <f>data!AW66</f>
        <v>0</v>
      </c>
      <c r="H208" s="248">
        <f>data!AX66</f>
        <v>0</v>
      </c>
      <c r="I208" s="248">
        <f>data!AY66</f>
        <v>21793.66</v>
      </c>
    </row>
    <row r="209" spans="1:9" ht="20.149999999999999" customHeight="1" x14ac:dyDescent="0.35">
      <c r="A209" s="240">
        <v>12</v>
      </c>
      <c r="B209" s="248" t="s">
        <v>16</v>
      </c>
      <c r="C209" s="248">
        <f>data!AS67</f>
        <v>0</v>
      </c>
      <c r="D209" s="248">
        <f>data!AT67</f>
        <v>0</v>
      </c>
      <c r="E209" s="248">
        <f>data!AU67</f>
        <v>0</v>
      </c>
      <c r="F209" s="248">
        <f>data!AV67</f>
        <v>8411</v>
      </c>
      <c r="G209" s="248">
        <f>data!AW67</f>
        <v>0</v>
      </c>
      <c r="H209" s="248">
        <f>data!AX67</f>
        <v>0</v>
      </c>
      <c r="I209" s="248">
        <f>data!AY67</f>
        <v>158215</v>
      </c>
    </row>
    <row r="210" spans="1:9" ht="20.149999999999999" customHeight="1" x14ac:dyDescent="0.35">
      <c r="A210" s="240">
        <v>13</v>
      </c>
      <c r="B210" s="248" t="s">
        <v>997</v>
      </c>
      <c r="C210" s="248">
        <f>data!AS68</f>
        <v>0</v>
      </c>
      <c r="D210" s="248">
        <f>data!AT68</f>
        <v>0</v>
      </c>
      <c r="E210" s="248">
        <f>data!AU68</f>
        <v>0</v>
      </c>
      <c r="F210" s="248">
        <f>data!AV68</f>
        <v>0</v>
      </c>
      <c r="G210" s="248">
        <f>data!AW68</f>
        <v>0</v>
      </c>
      <c r="H210" s="248">
        <f>data!AX68</f>
        <v>0</v>
      </c>
      <c r="I210" s="248">
        <f>data!AY68</f>
        <v>0</v>
      </c>
    </row>
    <row r="211" spans="1:9" ht="20.149999999999999" customHeight="1" x14ac:dyDescent="0.35">
      <c r="A211" s="240">
        <v>14</v>
      </c>
      <c r="B211" s="248" t="s">
        <v>998</v>
      </c>
      <c r="C211" s="248">
        <f>data!AS69</f>
        <v>0</v>
      </c>
      <c r="D211" s="248">
        <f>data!AT69</f>
        <v>0</v>
      </c>
      <c r="E211" s="248">
        <f>data!AU69</f>
        <v>0</v>
      </c>
      <c r="F211" s="248">
        <f>data!AV69</f>
        <v>6660.8</v>
      </c>
      <c r="G211" s="248">
        <f>data!AW69</f>
        <v>0</v>
      </c>
      <c r="H211" s="248">
        <f>data!AX69</f>
        <v>0</v>
      </c>
      <c r="I211" s="248">
        <f>data!AY69</f>
        <v>18243.140000000003</v>
      </c>
    </row>
    <row r="212" spans="1:9" ht="20.149999999999999" customHeight="1" x14ac:dyDescent="0.35">
      <c r="A212" s="240">
        <v>15</v>
      </c>
      <c r="B212" s="248" t="s">
        <v>284</v>
      </c>
      <c r="C212" s="248">
        <f>-data!AS84</f>
        <v>0</v>
      </c>
      <c r="D212" s="248">
        <f>-data!AT84</f>
        <v>0</v>
      </c>
      <c r="E212" s="248">
        <f>-data!AU84</f>
        <v>0</v>
      </c>
      <c r="F212" s="248">
        <f>-data!AV84</f>
        <v>0</v>
      </c>
      <c r="G212" s="248">
        <f>-data!AW84</f>
        <v>0</v>
      </c>
      <c r="H212" s="248">
        <f>-data!AX84</f>
        <v>0</v>
      </c>
      <c r="I212" s="248">
        <f>-data!AY84</f>
        <v>-529834.6100000001</v>
      </c>
    </row>
    <row r="213" spans="1:9" ht="20.149999999999999" customHeight="1" x14ac:dyDescent="0.35">
      <c r="A213" s="240">
        <v>16</v>
      </c>
      <c r="B213" s="256" t="s">
        <v>999</v>
      </c>
      <c r="C213" s="248">
        <f>data!AS85</f>
        <v>0</v>
      </c>
      <c r="D213" s="248">
        <f>data!AT85</f>
        <v>0</v>
      </c>
      <c r="E213" s="248">
        <f>data!AU85</f>
        <v>0</v>
      </c>
      <c r="F213" s="248">
        <f>data!AV85</f>
        <v>582896.54000000015</v>
      </c>
      <c r="G213" s="248">
        <f>data!AW85</f>
        <v>0</v>
      </c>
      <c r="H213" s="248">
        <f>data!AX85</f>
        <v>0</v>
      </c>
      <c r="I213" s="248">
        <f>data!AY85</f>
        <v>1873620.7600000005</v>
      </c>
    </row>
    <row r="214" spans="1:9" ht="20.149999999999999" customHeight="1" x14ac:dyDescent="0.35">
      <c r="A214" s="240">
        <v>17</v>
      </c>
      <c r="B214" s="248" t="s">
        <v>286</v>
      </c>
      <c r="C214" s="258"/>
      <c r="D214" s="258"/>
      <c r="E214" s="258"/>
      <c r="F214" s="258"/>
      <c r="G214" s="258"/>
      <c r="H214" s="258"/>
      <c r="I214" s="258"/>
    </row>
    <row r="215" spans="1:9" ht="20.149999999999999" customHeight="1" x14ac:dyDescent="0.35">
      <c r="A215" s="240">
        <v>18</v>
      </c>
      <c r="B215" s="248" t="s">
        <v>1000</v>
      </c>
      <c r="C215" s="256" t="e">
        <f>+data!M710</f>
        <v>#DIV/0!</v>
      </c>
      <c r="D215" s="256" t="e">
        <f>+data!M711</f>
        <v>#DIV/0!</v>
      </c>
      <c r="E215" s="256" t="e">
        <f>+data!M712</f>
        <v>#DIV/0!</v>
      </c>
      <c r="F215" s="256" t="e">
        <f>+data!M713</f>
        <v>#DIV/0!</v>
      </c>
      <c r="G215" s="262"/>
      <c r="H215" s="248"/>
      <c r="I215" s="248"/>
    </row>
    <row r="216" spans="1:9" ht="20.149999999999999" customHeight="1" x14ac:dyDescent="0.35">
      <c r="A216" s="240">
        <v>19</v>
      </c>
      <c r="B216" s="256" t="s">
        <v>1001</v>
      </c>
      <c r="C216" s="248">
        <f>data!AS87</f>
        <v>0</v>
      </c>
      <c r="D216" s="248">
        <f>data!AT87</f>
        <v>0</v>
      </c>
      <c r="E216" s="248">
        <f>data!AU87</f>
        <v>0</v>
      </c>
      <c r="F216" s="248">
        <f>data!AV87</f>
        <v>0</v>
      </c>
      <c r="G216" s="263" t="str">
        <f>IF(data!AW73&gt;0,data!AW73,"")</f>
        <v/>
      </c>
      <c r="H216" s="263" t="str">
        <f>IF(data!AX73&gt;0,data!AX73,"")</f>
        <v/>
      </c>
      <c r="I216" s="263" t="str">
        <f>IF(data!AY73&gt;0,data!AY73,"")</f>
        <v/>
      </c>
    </row>
    <row r="217" spans="1:9" ht="20.149999999999999" customHeight="1" x14ac:dyDescent="0.35">
      <c r="A217" s="240">
        <v>20</v>
      </c>
      <c r="B217" s="256" t="s">
        <v>1002</v>
      </c>
      <c r="C217" s="248">
        <f>data!AS88</f>
        <v>0</v>
      </c>
      <c r="D217" s="248">
        <f>data!AT88</f>
        <v>0</v>
      </c>
      <c r="E217" s="248">
        <f>data!AU88</f>
        <v>0</v>
      </c>
      <c r="F217" s="248">
        <f>data!AV88</f>
        <v>433598.7</v>
      </c>
      <c r="G217" s="263" t="str">
        <f>IF(data!AW74&gt;0,data!AW74,"")</f>
        <v/>
      </c>
      <c r="H217" s="263" t="str">
        <f>IF(data!AX74&gt;0,data!AX74,"")</f>
        <v/>
      </c>
      <c r="I217" s="263" t="str">
        <f>IF(data!AY74&gt;0,data!AY74,"")</f>
        <v/>
      </c>
    </row>
    <row r="218" spans="1:9" ht="20.149999999999999" customHeight="1" x14ac:dyDescent="0.35">
      <c r="A218" s="240">
        <v>21</v>
      </c>
      <c r="B218" s="256" t="s">
        <v>1003</v>
      </c>
      <c r="C218" s="248">
        <f>data!AS89</f>
        <v>0</v>
      </c>
      <c r="D218" s="248">
        <f>data!AT89</f>
        <v>0</v>
      </c>
      <c r="E218" s="248">
        <f>data!AU89</f>
        <v>0</v>
      </c>
      <c r="F218" s="248">
        <f>data!AV89</f>
        <v>433598.7</v>
      </c>
      <c r="G218" s="263" t="str">
        <f>IF(data!AW75&gt;0,data!AW75,"")</f>
        <v/>
      </c>
      <c r="H218" s="263" t="str">
        <f>IF(data!AX75&gt;0,data!AX75,"")</f>
        <v/>
      </c>
      <c r="I218" s="263" t="str">
        <f>IF(data!AY75&gt;0,data!AY75,"")</f>
        <v/>
      </c>
    </row>
    <row r="219" spans="1:9" ht="20.149999999999999" customHeight="1" x14ac:dyDescent="0.35">
      <c r="A219" s="240" t="s">
        <v>1004</v>
      </c>
      <c r="B219" s="248"/>
      <c r="C219" s="258"/>
      <c r="D219" s="258"/>
      <c r="E219" s="258"/>
      <c r="F219" s="258"/>
      <c r="G219" s="258"/>
      <c r="H219" s="258"/>
      <c r="I219" s="258"/>
    </row>
    <row r="220" spans="1:9" ht="20.149999999999999" customHeight="1" x14ac:dyDescent="0.35">
      <c r="A220" s="240">
        <v>22</v>
      </c>
      <c r="B220" s="248" t="s">
        <v>1005</v>
      </c>
      <c r="C220" s="248">
        <f>data!AS90</f>
        <v>0</v>
      </c>
      <c r="D220" s="248">
        <f>data!AT90</f>
        <v>0</v>
      </c>
      <c r="E220" s="248">
        <f>data!AU90</f>
        <v>0</v>
      </c>
      <c r="F220" s="248">
        <f>data!AV90</f>
        <v>268</v>
      </c>
      <c r="G220" s="248">
        <f>data!AW90</f>
        <v>0</v>
      </c>
      <c r="H220" s="248">
        <f>data!AX90</f>
        <v>0</v>
      </c>
      <c r="I220" s="248">
        <f>data!AY90</f>
        <v>5040</v>
      </c>
    </row>
    <row r="221" spans="1:9" ht="20.149999999999999" customHeight="1" x14ac:dyDescent="0.35">
      <c r="A221" s="240">
        <v>23</v>
      </c>
      <c r="B221" s="248" t="s">
        <v>1006</v>
      </c>
      <c r="C221" s="248">
        <f>data!AS91</f>
        <v>0</v>
      </c>
      <c r="D221" s="248">
        <f>data!AT91</f>
        <v>0</v>
      </c>
      <c r="E221" s="248">
        <f>data!AU91</f>
        <v>0</v>
      </c>
      <c r="F221" s="248">
        <f>data!AV91</f>
        <v>0</v>
      </c>
      <c r="G221" s="248">
        <f>data!AW91</f>
        <v>0</v>
      </c>
      <c r="H221" s="263" t="str">
        <f>IF(data!AX77&gt;0,data!AX77,"")</f>
        <v/>
      </c>
      <c r="I221" s="263" t="str">
        <f>IF(data!AY77&gt;0,data!AY77,"")</f>
        <v/>
      </c>
    </row>
    <row r="222" spans="1:9" ht="20.149999999999999" customHeight="1" x14ac:dyDescent="0.35">
      <c r="A222" s="240">
        <v>24</v>
      </c>
      <c r="B222" s="248" t="s">
        <v>1007</v>
      </c>
      <c r="C222" s="248">
        <f>data!AS92</f>
        <v>0</v>
      </c>
      <c r="D222" s="248">
        <f>data!AT92</f>
        <v>0</v>
      </c>
      <c r="E222" s="248">
        <f>data!AU92</f>
        <v>0</v>
      </c>
      <c r="F222" s="248">
        <f>data!AV92</f>
        <v>0</v>
      </c>
      <c r="G222" s="248">
        <f>data!AW92</f>
        <v>0</v>
      </c>
      <c r="H222" s="263" t="str">
        <f>IF(data!AX78&gt;0,data!AX78,"")</f>
        <v/>
      </c>
      <c r="I222" s="263" t="str">
        <f>IF(data!AY78&gt;0,data!AY78,"")</f>
        <v/>
      </c>
    </row>
    <row r="223" spans="1:9" ht="20.149999999999999" customHeight="1" x14ac:dyDescent="0.35">
      <c r="A223" s="240">
        <v>25</v>
      </c>
      <c r="B223" s="248" t="s">
        <v>1008</v>
      </c>
      <c r="C223" s="248">
        <f>data!AS93</f>
        <v>0</v>
      </c>
      <c r="D223" s="248">
        <f>data!AT93</f>
        <v>0</v>
      </c>
      <c r="E223" s="248">
        <f>data!AU93</f>
        <v>0</v>
      </c>
      <c r="F223" s="248">
        <f>data!AV93</f>
        <v>0</v>
      </c>
      <c r="G223" s="248">
        <f>data!AW93</f>
        <v>0</v>
      </c>
      <c r="H223" s="263" t="str">
        <f>IF(data!AX79&gt;0,data!AX79,"")</f>
        <v/>
      </c>
      <c r="I223" s="263" t="str">
        <f>IF(data!AY79&gt;0,data!AY79,"")</f>
        <v/>
      </c>
    </row>
    <row r="224" spans="1:9" ht="20.149999999999999" customHeight="1" x14ac:dyDescent="0.35">
      <c r="A224" s="240">
        <v>26</v>
      </c>
      <c r="B224" s="248" t="s">
        <v>294</v>
      </c>
      <c r="C224" s="255">
        <f>data!AS94</f>
        <v>0</v>
      </c>
      <c r="D224" s="255">
        <f>data!AT94</f>
        <v>0</v>
      </c>
      <c r="E224" s="255">
        <f>data!AU94</f>
        <v>0</v>
      </c>
      <c r="F224" s="255">
        <f>data!AV94</f>
        <v>0</v>
      </c>
      <c r="G224" s="263" t="str">
        <f>IF(data!AW80&gt;0,data!AW80,"")</f>
        <v/>
      </c>
      <c r="H224" s="263" t="str">
        <f>IF(data!AX80&gt;0,data!AX80,"")</f>
        <v/>
      </c>
      <c r="I224" s="263" t="str">
        <f>IF(data!AY80&gt;0,data!AY80,"")</f>
        <v/>
      </c>
    </row>
    <row r="225" spans="1:9" ht="20.149999999999999" customHeight="1" x14ac:dyDescent="0.35">
      <c r="A225" s="241" t="s">
        <v>990</v>
      </c>
      <c r="B225" s="242"/>
      <c r="C225" s="242"/>
      <c r="D225" s="242"/>
      <c r="E225" s="242"/>
      <c r="F225" s="242"/>
      <c r="G225" s="242"/>
      <c r="H225" s="242"/>
      <c r="I225" s="241"/>
    </row>
    <row r="226" spans="1:9" ht="20.149999999999999" customHeight="1" x14ac:dyDescent="0.35">
      <c r="D226" s="244"/>
      <c r="I226" s="245" t="s">
        <v>1031</v>
      </c>
    </row>
    <row r="227" spans="1:9" ht="20.149999999999999" customHeight="1" x14ac:dyDescent="0.35">
      <c r="A227" s="244"/>
    </row>
    <row r="228" spans="1:9" ht="20.149999999999999" customHeight="1" x14ac:dyDescent="0.35">
      <c r="A228" s="246" t="str">
        <f>"Hospital: "&amp;data!C98</f>
        <v>Hospital: Public Hospital District No 1 of Mason County, WA, DBA Mason Health</v>
      </c>
      <c r="G228" s="247"/>
      <c r="H228" s="246" t="str">
        <f>"FYE: "&amp;data!C96</f>
        <v>FYE: 12/31/2023</v>
      </c>
    </row>
    <row r="229" spans="1:9" ht="20.149999999999999" customHeight="1" x14ac:dyDescent="0.35">
      <c r="A229" s="240">
        <v>1</v>
      </c>
      <c r="B229" s="248" t="s">
        <v>236</v>
      </c>
      <c r="C229" s="250" t="s">
        <v>85</v>
      </c>
      <c r="D229" s="250" t="s">
        <v>86</v>
      </c>
      <c r="E229" s="250" t="s">
        <v>87</v>
      </c>
      <c r="F229" s="250" t="s">
        <v>88</v>
      </c>
      <c r="G229" s="250" t="s">
        <v>89</v>
      </c>
      <c r="H229" s="250" t="s">
        <v>90</v>
      </c>
      <c r="I229" s="250" t="s">
        <v>91</v>
      </c>
    </row>
    <row r="230" spans="1:9" ht="20.149999999999999" customHeight="1" x14ac:dyDescent="0.35">
      <c r="A230" s="251">
        <v>2</v>
      </c>
      <c r="B230" s="252" t="s">
        <v>992</v>
      </c>
      <c r="C230" s="254"/>
      <c r="D230" s="254" t="s">
        <v>164</v>
      </c>
      <c r="E230" s="254" t="s">
        <v>165</v>
      </c>
      <c r="F230" s="254" t="s">
        <v>134</v>
      </c>
      <c r="G230" s="254"/>
      <c r="H230" s="254"/>
      <c r="I230" s="254"/>
    </row>
    <row r="231" spans="1:9" ht="20.149999999999999" customHeight="1" x14ac:dyDescent="0.35">
      <c r="A231" s="251"/>
      <c r="B231" s="252"/>
      <c r="C231" s="254" t="s">
        <v>163</v>
      </c>
      <c r="D231" s="254" t="s">
        <v>216</v>
      </c>
      <c r="E231" s="254" t="s">
        <v>1032</v>
      </c>
      <c r="F231" s="254" t="s">
        <v>1033</v>
      </c>
      <c r="G231" s="254" t="s">
        <v>166</v>
      </c>
      <c r="H231" s="254" t="s">
        <v>167</v>
      </c>
      <c r="I231" s="254" t="s">
        <v>168</v>
      </c>
    </row>
    <row r="232" spans="1:9" ht="20.149999999999999" customHeight="1" x14ac:dyDescent="0.35">
      <c r="A232" s="240">
        <v>3</v>
      </c>
      <c r="B232" s="248" t="s">
        <v>996</v>
      </c>
      <c r="C232" s="250" t="s">
        <v>1034</v>
      </c>
      <c r="D232" s="250" t="s">
        <v>1035</v>
      </c>
      <c r="E232" s="260"/>
      <c r="F232" s="260"/>
      <c r="G232" s="260"/>
      <c r="H232" s="250" t="s">
        <v>260</v>
      </c>
      <c r="I232" s="260"/>
    </row>
    <row r="233" spans="1:9" ht="20.149999999999999" customHeight="1" x14ac:dyDescent="0.35">
      <c r="A233" s="240">
        <v>4</v>
      </c>
      <c r="B233" s="248" t="s">
        <v>261</v>
      </c>
      <c r="C233" s="248">
        <f>data!AZ59</f>
        <v>0</v>
      </c>
      <c r="D233" s="248">
        <f>data!BA59</f>
        <v>0</v>
      </c>
      <c r="E233" s="260"/>
      <c r="F233" s="260"/>
      <c r="G233" s="260"/>
      <c r="H233" s="248">
        <f>data!BE59</f>
        <v>227969</v>
      </c>
      <c r="I233" s="260"/>
    </row>
    <row r="234" spans="1:9" ht="20.149999999999999" customHeight="1" x14ac:dyDescent="0.35">
      <c r="A234" s="240">
        <v>5</v>
      </c>
      <c r="B234" s="248" t="s">
        <v>262</v>
      </c>
      <c r="C234" s="255">
        <f>data!AZ60</f>
        <v>0</v>
      </c>
      <c r="D234" s="255">
        <f>data!BA60</f>
        <v>0.99451584735576914</v>
      </c>
      <c r="E234" s="255">
        <f>data!BB60</f>
        <v>0</v>
      </c>
      <c r="F234" s="255">
        <f>data!BC60</f>
        <v>0</v>
      </c>
      <c r="G234" s="255">
        <f>data!BD60</f>
        <v>7.4673485874038459</v>
      </c>
      <c r="H234" s="255">
        <f>data!BE60</f>
        <v>11.454703409855769</v>
      </c>
      <c r="I234" s="255">
        <f>data!BF60</f>
        <v>31.238702013221154</v>
      </c>
    </row>
    <row r="235" spans="1:9" ht="20.149999999999999" customHeight="1" x14ac:dyDescent="0.35">
      <c r="A235" s="240">
        <v>6</v>
      </c>
      <c r="B235" s="248" t="s">
        <v>263</v>
      </c>
      <c r="C235" s="248">
        <f>data!AZ61</f>
        <v>0</v>
      </c>
      <c r="D235" s="248">
        <f>data!BA61</f>
        <v>55774.239999999991</v>
      </c>
      <c r="E235" s="248">
        <f>data!BB61</f>
        <v>0</v>
      </c>
      <c r="F235" s="248">
        <f>data!BC61</f>
        <v>0</v>
      </c>
      <c r="G235" s="248">
        <f>data!BD61</f>
        <v>501170.61</v>
      </c>
      <c r="H235" s="248">
        <f>data!BE61</f>
        <v>898094.74000000011</v>
      </c>
      <c r="I235" s="248">
        <f>data!BF61</f>
        <v>1686759.2</v>
      </c>
    </row>
    <row r="236" spans="1:9" ht="20.149999999999999" customHeight="1" x14ac:dyDescent="0.35">
      <c r="A236" s="240">
        <v>7</v>
      </c>
      <c r="B236" s="248" t="s">
        <v>11</v>
      </c>
      <c r="C236" s="248">
        <f>data!AZ62</f>
        <v>0</v>
      </c>
      <c r="D236" s="248">
        <f>data!BA62</f>
        <v>41919</v>
      </c>
      <c r="E236" s="248">
        <f>data!BB62</f>
        <v>0</v>
      </c>
      <c r="F236" s="248">
        <f>data!BC62</f>
        <v>0</v>
      </c>
      <c r="G236" s="248">
        <f>data!BD62</f>
        <v>195084</v>
      </c>
      <c r="H236" s="248">
        <f>data!BE62</f>
        <v>322758</v>
      </c>
      <c r="I236" s="248">
        <f>data!BF62</f>
        <v>655254</v>
      </c>
    </row>
    <row r="237" spans="1:9" ht="20.149999999999999" customHeight="1" x14ac:dyDescent="0.35">
      <c r="A237" s="240">
        <v>8</v>
      </c>
      <c r="B237" s="248" t="s">
        <v>264</v>
      </c>
      <c r="C237" s="248">
        <f>data!AZ63</f>
        <v>0</v>
      </c>
      <c r="D237" s="248">
        <f>data!BA63</f>
        <v>0</v>
      </c>
      <c r="E237" s="248">
        <f>data!BB63</f>
        <v>0</v>
      </c>
      <c r="F237" s="248">
        <f>data!BC63</f>
        <v>0</v>
      </c>
      <c r="G237" s="248">
        <f>data!BD63</f>
        <v>0</v>
      </c>
      <c r="H237" s="248">
        <f>data!BE63</f>
        <v>0</v>
      </c>
      <c r="I237" s="248">
        <f>data!BF63</f>
        <v>0</v>
      </c>
    </row>
    <row r="238" spans="1:9" ht="20.149999999999999" customHeight="1" x14ac:dyDescent="0.35">
      <c r="A238" s="240">
        <v>9</v>
      </c>
      <c r="B238" s="248" t="s">
        <v>265</v>
      </c>
      <c r="C238" s="248">
        <f>data!AZ64</f>
        <v>0</v>
      </c>
      <c r="D238" s="248">
        <f>data!BA64</f>
        <v>71737.76999999999</v>
      </c>
      <c r="E238" s="248">
        <f>data!BB64</f>
        <v>0</v>
      </c>
      <c r="F238" s="248">
        <f>data!BC64</f>
        <v>0</v>
      </c>
      <c r="G238" s="248">
        <f>data!BD64</f>
        <v>77365.849999999991</v>
      </c>
      <c r="H238" s="248">
        <f>data!BE64</f>
        <v>112079.2</v>
      </c>
      <c r="I238" s="248">
        <f>data!BF64</f>
        <v>179290.02</v>
      </c>
    </row>
    <row r="239" spans="1:9" ht="20.149999999999999" customHeight="1" x14ac:dyDescent="0.35">
      <c r="A239" s="240">
        <v>10</v>
      </c>
      <c r="B239" s="248" t="s">
        <v>523</v>
      </c>
      <c r="C239" s="248">
        <f>data!AZ65</f>
        <v>0</v>
      </c>
      <c r="D239" s="248">
        <f>data!BA65</f>
        <v>0</v>
      </c>
      <c r="E239" s="248">
        <f>data!BB65</f>
        <v>0</v>
      </c>
      <c r="F239" s="248">
        <f>data!BC65</f>
        <v>0</v>
      </c>
      <c r="G239" s="248">
        <f>data!BD65</f>
        <v>2474.33</v>
      </c>
      <c r="H239" s="248">
        <f>data!BE65</f>
        <v>761265.10999999987</v>
      </c>
      <c r="I239" s="248">
        <f>data!BF65</f>
        <v>211115.88999999998</v>
      </c>
    </row>
    <row r="240" spans="1:9" ht="20.149999999999999" customHeight="1" x14ac:dyDescent="0.35">
      <c r="A240" s="240">
        <v>11</v>
      </c>
      <c r="B240" s="248" t="s">
        <v>524</v>
      </c>
      <c r="C240" s="248">
        <f>data!AZ66</f>
        <v>0</v>
      </c>
      <c r="D240" s="248">
        <f>data!BA66</f>
        <v>187510.09999999998</v>
      </c>
      <c r="E240" s="248">
        <f>data!BB66</f>
        <v>0</v>
      </c>
      <c r="F240" s="248">
        <f>data!BC66</f>
        <v>0</v>
      </c>
      <c r="G240" s="248">
        <f>data!BD66</f>
        <v>80210.16</v>
      </c>
      <c r="H240" s="248">
        <f>data!BE66</f>
        <v>704363.37</v>
      </c>
      <c r="I240" s="248">
        <f>data!BF66</f>
        <v>93325.16</v>
      </c>
    </row>
    <row r="241" spans="1:9" ht="20.149999999999999" customHeight="1" x14ac:dyDescent="0.35">
      <c r="A241" s="240">
        <v>12</v>
      </c>
      <c r="B241" s="248" t="s">
        <v>16</v>
      </c>
      <c r="C241" s="248">
        <f>data!AZ67</f>
        <v>0</v>
      </c>
      <c r="D241" s="248">
        <f>data!BA67</f>
        <v>45858</v>
      </c>
      <c r="E241" s="248">
        <f>data!BB67</f>
        <v>0</v>
      </c>
      <c r="F241" s="248">
        <f>data!BC67</f>
        <v>0</v>
      </c>
      <c r="G241" s="248">
        <f>data!BD67</f>
        <v>106807</v>
      </c>
      <c r="H241" s="248">
        <f>data!BE67</f>
        <v>523778</v>
      </c>
      <c r="I241" s="248">
        <f>data!BF67</f>
        <v>72046</v>
      </c>
    </row>
    <row r="242" spans="1:9" ht="20.149999999999999" customHeight="1" x14ac:dyDescent="0.35">
      <c r="A242" s="240">
        <v>13</v>
      </c>
      <c r="B242" s="248" t="s">
        <v>997</v>
      </c>
      <c r="C242" s="248">
        <f>data!AZ68</f>
        <v>0</v>
      </c>
      <c r="D242" s="248">
        <f>data!BA68</f>
        <v>0</v>
      </c>
      <c r="E242" s="248">
        <f>data!BB68</f>
        <v>0</v>
      </c>
      <c r="F242" s="248">
        <f>data!BC68</f>
        <v>0</v>
      </c>
      <c r="G242" s="248">
        <f>data!BD68</f>
        <v>-10983.09</v>
      </c>
      <c r="H242" s="248">
        <f>data!BE68</f>
        <v>2651</v>
      </c>
      <c r="I242" s="248">
        <f>data!BF68</f>
        <v>0</v>
      </c>
    </row>
    <row r="243" spans="1:9" ht="20.149999999999999" customHeight="1" x14ac:dyDescent="0.35">
      <c r="A243" s="240">
        <v>14</v>
      </c>
      <c r="B243" s="248" t="s">
        <v>998</v>
      </c>
      <c r="C243" s="248">
        <f>data!AZ69</f>
        <v>0</v>
      </c>
      <c r="D243" s="248">
        <f>data!BA69</f>
        <v>0</v>
      </c>
      <c r="E243" s="248">
        <f>data!BB69</f>
        <v>0</v>
      </c>
      <c r="F243" s="248">
        <f>data!BC69</f>
        <v>0</v>
      </c>
      <c r="G243" s="248">
        <f>data!BD69</f>
        <v>21417.720000000005</v>
      </c>
      <c r="H243" s="248">
        <f>data!BE69</f>
        <v>15059.06</v>
      </c>
      <c r="I243" s="248">
        <f>data!BF69</f>
        <v>7599.04</v>
      </c>
    </row>
    <row r="244" spans="1:9" ht="20.149999999999999" customHeight="1" x14ac:dyDescent="0.35">
      <c r="A244" s="240">
        <v>15</v>
      </c>
      <c r="B244" s="248" t="s">
        <v>284</v>
      </c>
      <c r="C244" s="248">
        <f>-data!AZ84</f>
        <v>0</v>
      </c>
      <c r="D244" s="248">
        <f>-data!BA84</f>
        <v>0</v>
      </c>
      <c r="E244" s="248">
        <f>-data!BB84</f>
        <v>0</v>
      </c>
      <c r="F244" s="248">
        <f>-data!BC84</f>
        <v>0</v>
      </c>
      <c r="G244" s="248">
        <f>-data!BD84</f>
        <v>-2479.11</v>
      </c>
      <c r="H244" s="248">
        <f>-data!BE84</f>
        <v>0</v>
      </c>
      <c r="I244" s="248">
        <f>-data!BF84</f>
        <v>0</v>
      </c>
    </row>
    <row r="245" spans="1:9" ht="20.149999999999999" customHeight="1" x14ac:dyDescent="0.35">
      <c r="A245" s="240">
        <v>16</v>
      </c>
      <c r="B245" s="256" t="s">
        <v>999</v>
      </c>
      <c r="C245" s="248">
        <f>data!AZ85</f>
        <v>0</v>
      </c>
      <c r="D245" s="248">
        <f>data!BA85</f>
        <v>402799.11</v>
      </c>
      <c r="E245" s="248">
        <f>data!BB85</f>
        <v>0</v>
      </c>
      <c r="F245" s="248">
        <f>data!BC85</f>
        <v>0</v>
      </c>
      <c r="G245" s="248">
        <f>data!BD85</f>
        <v>971067.47</v>
      </c>
      <c r="H245" s="248">
        <f>data!BE85</f>
        <v>3340048.48</v>
      </c>
      <c r="I245" s="248">
        <f>data!BF85</f>
        <v>2905389.3100000005</v>
      </c>
    </row>
    <row r="246" spans="1:9" ht="20.149999999999999" customHeight="1" x14ac:dyDescent="0.35">
      <c r="A246" s="240">
        <v>17</v>
      </c>
      <c r="B246" s="248" t="s">
        <v>286</v>
      </c>
      <c r="C246" s="258"/>
      <c r="D246" s="258"/>
      <c r="E246" s="258"/>
      <c r="F246" s="258"/>
      <c r="G246" s="258"/>
      <c r="H246" s="258"/>
      <c r="I246" s="258"/>
    </row>
    <row r="247" spans="1:9" ht="20.149999999999999" customHeight="1" x14ac:dyDescent="0.35">
      <c r="A247" s="240">
        <v>18</v>
      </c>
      <c r="B247" s="248" t="s">
        <v>1000</v>
      </c>
      <c r="C247" s="248"/>
      <c r="D247" s="248"/>
      <c r="E247" s="248"/>
      <c r="F247" s="248"/>
      <c r="G247" s="248"/>
      <c r="H247" s="248"/>
      <c r="I247" s="248"/>
    </row>
    <row r="248" spans="1:9" ht="20.149999999999999" customHeight="1" x14ac:dyDescent="0.35">
      <c r="A248" s="240">
        <v>19</v>
      </c>
      <c r="B248" s="256" t="s">
        <v>1001</v>
      </c>
      <c r="C248" s="263" t="str">
        <f>IF(data!AZ73&gt;0,data!AZ73,"")</f>
        <v/>
      </c>
      <c r="D248" s="263" t="str">
        <f>IF(data!BA73&gt;0,data!BA73,"")</f>
        <v/>
      </c>
      <c r="E248" s="263" t="str">
        <f>IF(data!BB73&gt;0,data!BB73,"")</f>
        <v/>
      </c>
      <c r="F248" s="263" t="str">
        <f>IF(data!BC73&gt;0,data!BC73,"")</f>
        <v/>
      </c>
      <c r="G248" s="263" t="str">
        <f>IF(data!BD73&gt;0,data!BD73,"")</f>
        <v/>
      </c>
      <c r="H248" s="263" t="str">
        <f>IF(data!BE73&gt;0,data!BE73,"")</f>
        <v/>
      </c>
      <c r="I248" s="263" t="str">
        <f>IF(data!BF73&gt;0,data!BF73,"")</f>
        <v/>
      </c>
    </row>
    <row r="249" spans="1:9" ht="20.149999999999999" customHeight="1" x14ac:dyDescent="0.35">
      <c r="A249" s="240">
        <v>20</v>
      </c>
      <c r="B249" s="256" t="s">
        <v>1002</v>
      </c>
      <c r="C249" s="263" t="str">
        <f>IF(data!AZ74&gt;0,data!AZ74,"")</f>
        <v/>
      </c>
      <c r="D249" s="263" t="str">
        <f>IF(data!BA74&gt;0,data!BA74,"")</f>
        <v/>
      </c>
      <c r="E249" s="263" t="str">
        <f>IF(data!BB74&gt;0,data!BB74,"")</f>
        <v/>
      </c>
      <c r="F249" s="263" t="str">
        <f>IF(data!BC74&gt;0,data!BC74,"")</f>
        <v/>
      </c>
      <c r="G249" s="263" t="str">
        <f>IF(data!BD74&gt;0,data!BD74,"")</f>
        <v/>
      </c>
      <c r="H249" s="263" t="str">
        <f>IF(data!BE74&gt;0,data!BE74,"")</f>
        <v/>
      </c>
      <c r="I249" s="263" t="str">
        <f>IF(data!BF74&gt;0,data!BF74,"")</f>
        <v/>
      </c>
    </row>
    <row r="250" spans="1:9" ht="20.149999999999999" customHeight="1" x14ac:dyDescent="0.35">
      <c r="A250" s="240">
        <v>21</v>
      </c>
      <c r="B250" s="256" t="s">
        <v>1003</v>
      </c>
      <c r="C250" s="263" t="str">
        <f>IF(data!AZ75&gt;0,data!AZ75,"")</f>
        <v/>
      </c>
      <c r="D250" s="263" t="str">
        <f>IF(data!BA75&gt;0,data!BA75,"")</f>
        <v/>
      </c>
      <c r="E250" s="263" t="str">
        <f>IF(data!BB75&gt;0,data!BB75,"")</f>
        <v/>
      </c>
      <c r="F250" s="263" t="str">
        <f>IF(data!BC75&gt;0,data!BC75,"")</f>
        <v/>
      </c>
      <c r="G250" s="263" t="str">
        <f>IF(data!BD75&gt;0,data!BD75,"")</f>
        <v/>
      </c>
      <c r="H250" s="263" t="str">
        <f>IF(data!BE75&gt;0,data!BE75,"")</f>
        <v/>
      </c>
      <c r="I250" s="263" t="str">
        <f>IF(data!BF75&gt;0,data!BF75,"")</f>
        <v/>
      </c>
    </row>
    <row r="251" spans="1:9" ht="20.149999999999999" customHeight="1" x14ac:dyDescent="0.35">
      <c r="A251" s="240" t="s">
        <v>1004</v>
      </c>
      <c r="B251" s="248"/>
      <c r="C251" s="258"/>
      <c r="D251" s="258"/>
      <c r="E251" s="258"/>
      <c r="F251" s="258"/>
      <c r="G251" s="258"/>
      <c r="H251" s="258"/>
      <c r="I251" s="258"/>
    </row>
    <row r="252" spans="1:9" ht="20.149999999999999" customHeight="1" x14ac:dyDescent="0.35">
      <c r="A252" s="240">
        <v>22</v>
      </c>
      <c r="B252" s="248" t="s">
        <v>1005</v>
      </c>
      <c r="C252" s="264">
        <f>data!AZ90</f>
        <v>0</v>
      </c>
      <c r="D252" s="264">
        <f>data!BA90</f>
        <v>1461</v>
      </c>
      <c r="E252" s="264">
        <f>data!BB90</f>
        <v>0</v>
      </c>
      <c r="F252" s="264">
        <f>data!BC90</f>
        <v>0</v>
      </c>
      <c r="G252" s="264">
        <f>data!BD90</f>
        <v>3402</v>
      </c>
      <c r="H252" s="264">
        <f>data!BE90</f>
        <v>29694</v>
      </c>
      <c r="I252" s="264">
        <f>data!BF90</f>
        <v>2016</v>
      </c>
    </row>
    <row r="253" spans="1:9" ht="20.149999999999999" customHeight="1" x14ac:dyDescent="0.35">
      <c r="A253" s="240">
        <v>23</v>
      </c>
      <c r="B253" s="248" t="s">
        <v>1006</v>
      </c>
      <c r="C253" s="264">
        <f>data!AZ91</f>
        <v>0</v>
      </c>
      <c r="D253" s="264">
        <f>data!BA91</f>
        <v>0</v>
      </c>
      <c r="E253" s="264">
        <f>data!BB91</f>
        <v>0</v>
      </c>
      <c r="F253" s="264">
        <f>data!BC91</f>
        <v>0</v>
      </c>
      <c r="G253" s="263" t="str">
        <f>IF(data!BD77&gt;0,data!BD77,"")</f>
        <v/>
      </c>
      <c r="H253" s="263" t="str">
        <f>IF(data!BE77&gt;0,data!BE77,"")</f>
        <v/>
      </c>
      <c r="I253" s="264">
        <f>data!BF91</f>
        <v>0</v>
      </c>
    </row>
    <row r="254" spans="1:9" ht="20.149999999999999" customHeight="1" x14ac:dyDescent="0.35">
      <c r="A254" s="240">
        <v>24</v>
      </c>
      <c r="B254" s="248" t="s">
        <v>1007</v>
      </c>
      <c r="C254" s="263" t="str">
        <f>IF(data!AZ78&gt;0,data!AZ78,"")</f>
        <v/>
      </c>
      <c r="D254" s="264">
        <f>data!BA92</f>
        <v>0</v>
      </c>
      <c r="E254" s="264">
        <f>data!BB92</f>
        <v>0</v>
      </c>
      <c r="F254" s="264">
        <f>data!BC92</f>
        <v>0</v>
      </c>
      <c r="G254" s="263" t="str">
        <f>IF(data!BD78&gt;0,data!BD78,"")</f>
        <v/>
      </c>
      <c r="H254" s="263" t="str">
        <f>IF(data!BE78&gt;0,data!BE78,"")</f>
        <v/>
      </c>
      <c r="I254" s="263" t="str">
        <f>IF(data!BF78&gt;0,data!BF78,"")</f>
        <v/>
      </c>
    </row>
    <row r="255" spans="1:9" ht="20.149999999999999" customHeight="1" x14ac:dyDescent="0.35">
      <c r="A255" s="240">
        <v>25</v>
      </c>
      <c r="B255" s="248" t="s">
        <v>1008</v>
      </c>
      <c r="C255" s="263" t="str">
        <f>IF(data!AZ79&gt;0,data!AZ79,"")</f>
        <v/>
      </c>
      <c r="D255" s="263" t="str">
        <f>IF(data!BA79&gt;0,data!BA79,"")</f>
        <v/>
      </c>
      <c r="E255" s="264">
        <f>data!BB93</f>
        <v>0</v>
      </c>
      <c r="F255" s="264">
        <f>data!BC93</f>
        <v>0</v>
      </c>
      <c r="G255" s="263" t="str">
        <f>IF(data!BD79&gt;0,data!BD79,"")</f>
        <v/>
      </c>
      <c r="H255" s="263" t="str">
        <f>IF(data!BE79&gt;0,data!BE79,"")</f>
        <v/>
      </c>
      <c r="I255" s="263" t="str">
        <f>IF(data!BF79&gt;0,data!BF79,"")</f>
        <v/>
      </c>
    </row>
    <row r="256" spans="1:9" ht="20.149999999999999" customHeight="1" x14ac:dyDescent="0.35">
      <c r="A256" s="240">
        <v>26</v>
      </c>
      <c r="B256" s="248" t="s">
        <v>294</v>
      </c>
      <c r="C256" s="263" t="str">
        <f>IF(data!AZ80&gt;0,data!AZ80,"")</f>
        <v/>
      </c>
      <c r="D256" s="263" t="str">
        <f>IF(data!BA80&gt;0,data!BA80,"")</f>
        <v/>
      </c>
      <c r="E256" s="263" t="str">
        <f>IF(data!BB80&gt;0,data!BB80,"")</f>
        <v/>
      </c>
      <c r="F256" s="263" t="str">
        <f>IF(data!BC80&gt;0,data!BC80,"")</f>
        <v/>
      </c>
      <c r="G256" s="263" t="str">
        <f>IF(data!BD80&gt;0,data!BD80,"")</f>
        <v/>
      </c>
      <c r="H256" s="263" t="str">
        <f>IF(data!BE80&gt;0,data!BE80,"")</f>
        <v/>
      </c>
      <c r="I256" s="263" t="str">
        <f>IF(data!BF80&gt;0,data!BF80,"")</f>
        <v/>
      </c>
    </row>
    <row r="257" spans="1:9" ht="20.149999999999999" customHeight="1" x14ac:dyDescent="0.35">
      <c r="A257" s="241" t="s">
        <v>990</v>
      </c>
      <c r="B257" s="242"/>
      <c r="C257" s="242"/>
      <c r="D257" s="242"/>
      <c r="E257" s="242"/>
      <c r="F257" s="242"/>
      <c r="G257" s="242"/>
      <c r="H257" s="242"/>
      <c r="I257" s="241"/>
    </row>
    <row r="258" spans="1:9" ht="20.149999999999999" customHeight="1" x14ac:dyDescent="0.35">
      <c r="D258" s="244"/>
      <c r="I258" s="245" t="s">
        <v>1036</v>
      </c>
    </row>
    <row r="259" spans="1:9" ht="20.149999999999999" customHeight="1" x14ac:dyDescent="0.35">
      <c r="A259" s="244"/>
    </row>
    <row r="260" spans="1:9" ht="20.149999999999999" customHeight="1" x14ac:dyDescent="0.35">
      <c r="A260" s="246" t="str">
        <f>"Hospital: "&amp;data!C98</f>
        <v>Hospital: Public Hospital District No 1 of Mason County, WA, DBA Mason Health</v>
      </c>
      <c r="G260" s="247"/>
      <c r="H260" s="246" t="str">
        <f>"FYE: "&amp;data!C96</f>
        <v>FYE: 12/31/2023</v>
      </c>
    </row>
    <row r="261" spans="1:9" ht="20.149999999999999" customHeight="1" x14ac:dyDescent="0.35">
      <c r="A261" s="240">
        <v>1</v>
      </c>
      <c r="B261" s="248" t="s">
        <v>236</v>
      </c>
      <c r="C261" s="250" t="s">
        <v>92</v>
      </c>
      <c r="D261" s="250" t="s">
        <v>93</v>
      </c>
      <c r="E261" s="250" t="s">
        <v>94</v>
      </c>
      <c r="F261" s="250" t="s">
        <v>95</v>
      </c>
      <c r="G261" s="250" t="s">
        <v>96</v>
      </c>
      <c r="H261" s="250" t="s">
        <v>97</v>
      </c>
      <c r="I261" s="250" t="s">
        <v>98</v>
      </c>
    </row>
    <row r="262" spans="1:9" ht="20.149999999999999" customHeight="1" x14ac:dyDescent="0.35">
      <c r="A262" s="251">
        <v>2</v>
      </c>
      <c r="B262" s="252" t="s">
        <v>992</v>
      </c>
      <c r="C262" s="254" t="s">
        <v>1037</v>
      </c>
      <c r="D262" s="254" t="s">
        <v>170</v>
      </c>
      <c r="E262" s="254" t="s">
        <v>171</v>
      </c>
      <c r="F262" s="254"/>
      <c r="G262" s="254" t="s">
        <v>173</v>
      </c>
      <c r="H262" s="254"/>
      <c r="I262" s="254" t="s">
        <v>159</v>
      </c>
    </row>
    <row r="263" spans="1:9" ht="20.149999999999999" customHeight="1" x14ac:dyDescent="0.35">
      <c r="A263" s="251"/>
      <c r="B263" s="252"/>
      <c r="C263" s="254" t="s">
        <v>1038</v>
      </c>
      <c r="D263" s="254" t="s">
        <v>217</v>
      </c>
      <c r="E263" s="254" t="s">
        <v>196</v>
      </c>
      <c r="F263" s="254" t="s">
        <v>172</v>
      </c>
      <c r="G263" s="254" t="s">
        <v>218</v>
      </c>
      <c r="H263" s="254" t="s">
        <v>174</v>
      </c>
      <c r="I263" s="254" t="s">
        <v>1039</v>
      </c>
    </row>
    <row r="264" spans="1:9" ht="20.149999999999999" customHeight="1" x14ac:dyDescent="0.35">
      <c r="A264" s="240">
        <v>3</v>
      </c>
      <c r="B264" s="248" t="s">
        <v>996</v>
      </c>
      <c r="C264" s="260"/>
      <c r="D264" s="260"/>
      <c r="E264" s="260"/>
      <c r="F264" s="260"/>
      <c r="G264" s="260"/>
      <c r="H264" s="260"/>
      <c r="I264" s="260"/>
    </row>
    <row r="265" spans="1:9" ht="20.149999999999999" customHeight="1" x14ac:dyDescent="0.35">
      <c r="A265" s="240">
        <v>4</v>
      </c>
      <c r="B265" s="248" t="s">
        <v>261</v>
      </c>
      <c r="C265" s="260"/>
      <c r="D265" s="260"/>
      <c r="E265" s="260"/>
      <c r="F265" s="260"/>
      <c r="G265" s="260"/>
      <c r="H265" s="260"/>
      <c r="I265" s="260"/>
    </row>
    <row r="266" spans="1:9" ht="20.149999999999999" customHeight="1" x14ac:dyDescent="0.35">
      <c r="A266" s="240">
        <v>5</v>
      </c>
      <c r="B266" s="248" t="s">
        <v>262</v>
      </c>
      <c r="C266" s="255">
        <f>data!BG60</f>
        <v>0</v>
      </c>
      <c r="D266" s="255">
        <f>data!BH60</f>
        <v>0</v>
      </c>
      <c r="E266" s="255">
        <f>data!BI60</f>
        <v>0</v>
      </c>
      <c r="F266" s="255">
        <f>data!BJ60</f>
        <v>6.6112851923076921</v>
      </c>
      <c r="G266" s="255">
        <f>data!BK60</f>
        <v>23.132513043269231</v>
      </c>
      <c r="H266" s="255">
        <f>data!BL60</f>
        <v>25.186144260817304</v>
      </c>
      <c r="I266" s="255">
        <f>data!BM60</f>
        <v>0</v>
      </c>
    </row>
    <row r="267" spans="1:9" ht="20.149999999999999" customHeight="1" x14ac:dyDescent="0.35">
      <c r="A267" s="240">
        <v>6</v>
      </c>
      <c r="B267" s="248" t="s">
        <v>263</v>
      </c>
      <c r="C267" s="248">
        <f>data!BG61</f>
        <v>0</v>
      </c>
      <c r="D267" s="248">
        <f>data!BH61</f>
        <v>0</v>
      </c>
      <c r="E267" s="248">
        <f>data!BI61</f>
        <v>0</v>
      </c>
      <c r="F267" s="248">
        <f>data!BJ61</f>
        <v>627371.11</v>
      </c>
      <c r="G267" s="248">
        <f>data!BK61</f>
        <v>1452355.95</v>
      </c>
      <c r="H267" s="248">
        <f>data!BL61</f>
        <v>1317778.1100000001</v>
      </c>
      <c r="I267" s="248">
        <f>data!BM61</f>
        <v>0</v>
      </c>
    </row>
    <row r="268" spans="1:9" ht="20.149999999999999" customHeight="1" x14ac:dyDescent="0.35">
      <c r="A268" s="240">
        <v>7</v>
      </c>
      <c r="B268" s="248" t="s">
        <v>11</v>
      </c>
      <c r="C268" s="248">
        <f>data!BG62</f>
        <v>0</v>
      </c>
      <c r="D268" s="248">
        <f>data!BH62</f>
        <v>0</v>
      </c>
      <c r="E268" s="248">
        <f>data!BI62</f>
        <v>0</v>
      </c>
      <c r="F268" s="248">
        <f>data!BJ62</f>
        <v>210598</v>
      </c>
      <c r="G268" s="248">
        <f>data!BK62</f>
        <v>612699</v>
      </c>
      <c r="H268" s="248">
        <f>data!BL62</f>
        <v>554108</v>
      </c>
      <c r="I268" s="248">
        <f>data!BM62</f>
        <v>0</v>
      </c>
    </row>
    <row r="269" spans="1:9" ht="20.149999999999999" customHeight="1" x14ac:dyDescent="0.35">
      <c r="A269" s="240">
        <v>8</v>
      </c>
      <c r="B269" s="248" t="s">
        <v>264</v>
      </c>
      <c r="C269" s="248">
        <f>data!BG63</f>
        <v>0</v>
      </c>
      <c r="D269" s="248">
        <f>data!BH63</f>
        <v>0</v>
      </c>
      <c r="E269" s="248">
        <f>data!BI63</f>
        <v>0</v>
      </c>
      <c r="F269" s="248">
        <f>data!BJ63</f>
        <v>0</v>
      </c>
      <c r="G269" s="248">
        <f>data!BK63</f>
        <v>103997.91</v>
      </c>
      <c r="H269" s="248">
        <f>data!BL63</f>
        <v>0</v>
      </c>
      <c r="I269" s="248">
        <f>data!BM63</f>
        <v>0</v>
      </c>
    </row>
    <row r="270" spans="1:9" ht="20.149999999999999" customHeight="1" x14ac:dyDescent="0.35">
      <c r="A270" s="240">
        <v>9</v>
      </c>
      <c r="B270" s="248" t="s">
        <v>265</v>
      </c>
      <c r="C270" s="248">
        <f>data!BG64</f>
        <v>0</v>
      </c>
      <c r="D270" s="248">
        <f>data!BH64</f>
        <v>501187.68</v>
      </c>
      <c r="E270" s="248">
        <f>data!BI64</f>
        <v>0</v>
      </c>
      <c r="F270" s="248">
        <f>data!BJ64</f>
        <v>6221.1</v>
      </c>
      <c r="G270" s="248">
        <f>data!BK64</f>
        <v>18188.919999999998</v>
      </c>
      <c r="H270" s="248">
        <f>data!BL64</f>
        <v>14540.17</v>
      </c>
      <c r="I270" s="248">
        <f>data!BM64</f>
        <v>0</v>
      </c>
    </row>
    <row r="271" spans="1:9" ht="20.149999999999999" customHeight="1" x14ac:dyDescent="0.35">
      <c r="A271" s="240">
        <v>10</v>
      </c>
      <c r="B271" s="248" t="s">
        <v>523</v>
      </c>
      <c r="C271" s="248">
        <f>data!BG65</f>
        <v>0</v>
      </c>
      <c r="D271" s="248">
        <f>data!BH65</f>
        <v>245412.47000000003</v>
      </c>
      <c r="E271" s="248">
        <f>data!BI65</f>
        <v>0</v>
      </c>
      <c r="F271" s="248">
        <f>data!BJ65</f>
        <v>360.31000000000006</v>
      </c>
      <c r="G271" s="248">
        <f>data!BK65</f>
        <v>359.81</v>
      </c>
      <c r="H271" s="248">
        <f>data!BL65</f>
        <v>0</v>
      </c>
      <c r="I271" s="248">
        <f>data!BM65</f>
        <v>0</v>
      </c>
    </row>
    <row r="272" spans="1:9" ht="20.149999999999999" customHeight="1" x14ac:dyDescent="0.35">
      <c r="A272" s="240">
        <v>11</v>
      </c>
      <c r="B272" s="248" t="s">
        <v>524</v>
      </c>
      <c r="C272" s="248">
        <f>data!BG66</f>
        <v>0</v>
      </c>
      <c r="D272" s="248">
        <f>data!BH66</f>
        <v>5112416.3599999994</v>
      </c>
      <c r="E272" s="248">
        <f>data!BI66</f>
        <v>0</v>
      </c>
      <c r="F272" s="248">
        <f>data!BJ66</f>
        <v>4192.5600000000004</v>
      </c>
      <c r="G272" s="248">
        <f>data!BK66</f>
        <v>305583.56000000006</v>
      </c>
      <c r="H272" s="248">
        <f>data!BL66</f>
        <v>16332.34</v>
      </c>
      <c r="I272" s="248">
        <f>data!BM66</f>
        <v>0</v>
      </c>
    </row>
    <row r="273" spans="1:9" ht="20.149999999999999" customHeight="1" x14ac:dyDescent="0.35">
      <c r="A273" s="240">
        <v>12</v>
      </c>
      <c r="B273" s="248" t="s">
        <v>16</v>
      </c>
      <c r="C273" s="248">
        <f>data!BG67</f>
        <v>0</v>
      </c>
      <c r="D273" s="248">
        <f>data!BH67</f>
        <v>4933363</v>
      </c>
      <c r="E273" s="248">
        <f>data!BI67</f>
        <v>0</v>
      </c>
      <c r="F273" s="248">
        <f>data!BJ67</f>
        <v>84316</v>
      </c>
      <c r="G273" s="248">
        <f>data!BK67</f>
        <v>119005</v>
      </c>
      <c r="H273" s="248">
        <f>data!BL67</f>
        <v>60335</v>
      </c>
      <c r="I273" s="248">
        <f>data!BM67</f>
        <v>0</v>
      </c>
    </row>
    <row r="274" spans="1:9" ht="20.149999999999999" customHeight="1" x14ac:dyDescent="0.35">
      <c r="A274" s="240">
        <v>13</v>
      </c>
      <c r="B274" s="248" t="s">
        <v>997</v>
      </c>
      <c r="C274" s="248">
        <f>data!BG68</f>
        <v>0</v>
      </c>
      <c r="D274" s="248">
        <f>data!BH68</f>
        <v>177076.07</v>
      </c>
      <c r="E274" s="248">
        <f>data!BI68</f>
        <v>0</v>
      </c>
      <c r="F274" s="248">
        <f>data!BJ68</f>
        <v>54.359999999999992</v>
      </c>
      <c r="G274" s="248">
        <f>data!BK68</f>
        <v>4350.1600000000008</v>
      </c>
      <c r="H274" s="248">
        <f>data!BL68</f>
        <v>0</v>
      </c>
      <c r="I274" s="248">
        <f>data!BM68</f>
        <v>0</v>
      </c>
    </row>
    <row r="275" spans="1:9" ht="20.149999999999999" customHeight="1" x14ac:dyDescent="0.35">
      <c r="A275" s="240">
        <v>14</v>
      </c>
      <c r="B275" s="248" t="s">
        <v>998</v>
      </c>
      <c r="C275" s="248">
        <f>data!BG69</f>
        <v>0</v>
      </c>
      <c r="D275" s="248">
        <f>data!BH69</f>
        <v>1137455.0899999999</v>
      </c>
      <c r="E275" s="248">
        <f>data!BI69</f>
        <v>0</v>
      </c>
      <c r="F275" s="248">
        <f>data!BJ69</f>
        <v>172929.77</v>
      </c>
      <c r="G275" s="248">
        <f>data!BK69</f>
        <v>7654.8500000000013</v>
      </c>
      <c r="H275" s="248">
        <f>data!BL69</f>
        <v>2944.97</v>
      </c>
      <c r="I275" s="248">
        <f>data!BM69</f>
        <v>0</v>
      </c>
    </row>
    <row r="276" spans="1:9" ht="20.149999999999999" customHeight="1" x14ac:dyDescent="0.35">
      <c r="A276" s="240">
        <v>15</v>
      </c>
      <c r="B276" s="248" t="s">
        <v>284</v>
      </c>
      <c r="C276" s="248">
        <f>-data!BG84</f>
        <v>0</v>
      </c>
      <c r="D276" s="248">
        <f>-data!BH84</f>
        <v>0</v>
      </c>
      <c r="E276" s="248">
        <f>-data!BI84</f>
        <v>0</v>
      </c>
      <c r="F276" s="248">
        <f>-data!BJ84</f>
        <v>0</v>
      </c>
      <c r="G276" s="248">
        <f>-data!BK84</f>
        <v>-2127.0500000000002</v>
      </c>
      <c r="H276" s="248">
        <f>-data!BL84</f>
        <v>0</v>
      </c>
      <c r="I276" s="248">
        <f>-data!BM84</f>
        <v>0</v>
      </c>
    </row>
    <row r="277" spans="1:9" ht="20.149999999999999" customHeight="1" x14ac:dyDescent="0.35">
      <c r="A277" s="240">
        <v>16</v>
      </c>
      <c r="B277" s="256" t="s">
        <v>999</v>
      </c>
      <c r="C277" s="248">
        <f>data!BG85</f>
        <v>0</v>
      </c>
      <c r="D277" s="248">
        <f>data!BH85</f>
        <v>12106910.67</v>
      </c>
      <c r="E277" s="248">
        <f>data!BI85</f>
        <v>0</v>
      </c>
      <c r="F277" s="248">
        <f>data!BJ85</f>
        <v>1106043.21</v>
      </c>
      <c r="G277" s="248">
        <f>data!BK85</f>
        <v>2622068.1100000003</v>
      </c>
      <c r="H277" s="248">
        <f>data!BL85</f>
        <v>1966038.59</v>
      </c>
      <c r="I277" s="248">
        <f>data!BM85</f>
        <v>0</v>
      </c>
    </row>
    <row r="278" spans="1:9" ht="20.149999999999999" customHeight="1" x14ac:dyDescent="0.35">
      <c r="A278" s="240">
        <v>17</v>
      </c>
      <c r="B278" s="248" t="s">
        <v>286</v>
      </c>
      <c r="C278" s="258"/>
      <c r="D278" s="258"/>
      <c r="E278" s="258"/>
      <c r="F278" s="258"/>
      <c r="G278" s="258"/>
      <c r="H278" s="258"/>
      <c r="I278" s="258"/>
    </row>
    <row r="279" spans="1:9" ht="20.149999999999999" customHeight="1" x14ac:dyDescent="0.35">
      <c r="A279" s="240">
        <v>18</v>
      </c>
      <c r="B279" s="248" t="s">
        <v>1000</v>
      </c>
      <c r="C279" s="248"/>
      <c r="D279" s="248"/>
      <c r="E279" s="248"/>
      <c r="F279" s="248"/>
      <c r="G279" s="248"/>
      <c r="H279" s="248"/>
      <c r="I279" s="248"/>
    </row>
    <row r="280" spans="1:9" ht="20.149999999999999" customHeight="1" x14ac:dyDescent="0.35">
      <c r="A280" s="240">
        <v>19</v>
      </c>
      <c r="B280" s="256" t="s">
        <v>1001</v>
      </c>
      <c r="C280" s="263" t="str">
        <f>IF(data!BG73&gt;0,data!BG73,"")</f>
        <v/>
      </c>
      <c r="D280" s="263" t="str">
        <f>IF(data!BH73&gt;0,data!BH73,"")</f>
        <v/>
      </c>
      <c r="E280" s="263" t="str">
        <f>IF(data!BI73&gt;0,data!BI73,"")</f>
        <v/>
      </c>
      <c r="F280" s="263" t="str">
        <f>IF(data!BJ73&gt;0,data!BJ73,"")</f>
        <v/>
      </c>
      <c r="G280" s="263" t="str">
        <f>IF(data!BK73&gt;0,data!BK73,"")</f>
        <v/>
      </c>
      <c r="H280" s="263" t="str">
        <f>IF(data!BL73&gt;0,data!BL73,"")</f>
        <v/>
      </c>
      <c r="I280" s="263" t="str">
        <f>IF(data!BM73&gt;0,data!BM73,"")</f>
        <v/>
      </c>
    </row>
    <row r="281" spans="1:9" ht="20.149999999999999" customHeight="1" x14ac:dyDescent="0.35">
      <c r="A281" s="240">
        <v>20</v>
      </c>
      <c r="B281" s="256" t="s">
        <v>1002</v>
      </c>
      <c r="C281" s="263" t="str">
        <f>IF(data!BG74&gt;0,data!BG74,"")</f>
        <v/>
      </c>
      <c r="D281" s="263" t="str">
        <f>IF(data!BH74&gt;0,data!BH74,"")</f>
        <v/>
      </c>
      <c r="E281" s="263" t="str">
        <f>IF(data!BI74&gt;0,data!BI74,"")</f>
        <v/>
      </c>
      <c r="F281" s="263" t="str">
        <f>IF(data!BJ74&gt;0,data!BJ74,"")</f>
        <v/>
      </c>
      <c r="G281" s="263" t="str">
        <f>IF(data!BK74&gt;0,data!BK74,"")</f>
        <v/>
      </c>
      <c r="H281" s="263" t="str">
        <f>IF(data!BL74&gt;0,data!BL74,"")</f>
        <v/>
      </c>
      <c r="I281" s="263" t="str">
        <f>IF(data!BM74&gt;0,data!BM74,"")</f>
        <v/>
      </c>
    </row>
    <row r="282" spans="1:9" ht="20.149999999999999" customHeight="1" x14ac:dyDescent="0.35">
      <c r="A282" s="240">
        <v>21</v>
      </c>
      <c r="B282" s="256" t="s">
        <v>1003</v>
      </c>
      <c r="C282" s="263" t="str">
        <f>IF(data!BG75&gt;0,data!BG75,"")</f>
        <v/>
      </c>
      <c r="D282" s="263" t="str">
        <f>IF(data!BH75&gt;0,data!BH75,"")</f>
        <v/>
      </c>
      <c r="E282" s="263" t="str">
        <f>IF(data!BI75&gt;0,data!BI75,"")</f>
        <v/>
      </c>
      <c r="F282" s="263" t="str">
        <f>IF(data!BJ75&gt;0,data!BJ75,"")</f>
        <v/>
      </c>
      <c r="G282" s="263" t="str">
        <f>IF(data!BK75&gt;0,data!BK75,"")</f>
        <v/>
      </c>
      <c r="H282" s="263" t="str">
        <f>IF(data!BL75&gt;0,data!BL75,"")</f>
        <v/>
      </c>
      <c r="I282" s="263" t="str">
        <f>IF(data!BM75&gt;0,data!BM75,"")</f>
        <v/>
      </c>
    </row>
    <row r="283" spans="1:9" ht="20.149999999999999" customHeight="1" x14ac:dyDescent="0.35">
      <c r="A283" s="240" t="s">
        <v>1004</v>
      </c>
      <c r="B283" s="248"/>
      <c r="C283" s="265"/>
      <c r="D283" s="265"/>
      <c r="E283" s="265"/>
      <c r="F283" s="265"/>
      <c r="G283" s="265"/>
      <c r="H283" s="265"/>
      <c r="I283" s="265"/>
    </row>
    <row r="284" spans="1:9" ht="20.149999999999999" customHeight="1" x14ac:dyDescent="0.35">
      <c r="A284" s="240">
        <v>22</v>
      </c>
      <c r="B284" s="248" t="s">
        <v>1005</v>
      </c>
      <c r="C284" s="264">
        <f>data!BG90</f>
        <v>0</v>
      </c>
      <c r="D284" s="264">
        <f>data!BH90</f>
        <v>8501</v>
      </c>
      <c r="E284" s="264">
        <f>data!BI90</f>
        <v>0</v>
      </c>
      <c r="F284" s="264">
        <f>data!BJ90</f>
        <v>0</v>
      </c>
      <c r="G284" s="264">
        <f>data!BK90</f>
        <v>2927</v>
      </c>
      <c r="H284" s="264">
        <f>data!BL90</f>
        <v>3694</v>
      </c>
      <c r="I284" s="264">
        <f>data!BM90</f>
        <v>0</v>
      </c>
    </row>
    <row r="285" spans="1:9" ht="20.149999999999999" customHeight="1" x14ac:dyDescent="0.35">
      <c r="A285" s="240">
        <v>23</v>
      </c>
      <c r="B285" s="248" t="s">
        <v>1006</v>
      </c>
      <c r="C285" s="263" t="str">
        <f>IF(data!BG77&gt;0,data!BG77,"")</f>
        <v/>
      </c>
      <c r="D285" s="264">
        <f>data!BH91</f>
        <v>0</v>
      </c>
      <c r="E285" s="264">
        <f>data!BI91</f>
        <v>0</v>
      </c>
      <c r="F285" s="263" t="str">
        <f>IF(data!BJ77&gt;0,data!BJ77,"")</f>
        <v/>
      </c>
      <c r="G285" s="264">
        <f>data!BK91</f>
        <v>0</v>
      </c>
      <c r="H285" s="264">
        <f>data!BL91</f>
        <v>0</v>
      </c>
      <c r="I285" s="264">
        <f>data!BM91</f>
        <v>0</v>
      </c>
    </row>
    <row r="286" spans="1:9" ht="20.149999999999999" customHeight="1" x14ac:dyDescent="0.35">
      <c r="A286" s="240">
        <v>24</v>
      </c>
      <c r="B286" s="248" t="s">
        <v>1007</v>
      </c>
      <c r="C286" s="263" t="str">
        <f>IF(data!BG78&gt;0,data!BG78,"")</f>
        <v/>
      </c>
      <c r="D286" s="264">
        <f>data!BH92</f>
        <v>0</v>
      </c>
      <c r="E286" s="264">
        <f>data!BI92</f>
        <v>0</v>
      </c>
      <c r="F286" s="263" t="str">
        <f>IF(data!BJ78&gt;0,data!BJ78,"")</f>
        <v/>
      </c>
      <c r="G286" s="264">
        <f>data!BK92</f>
        <v>0</v>
      </c>
      <c r="H286" s="264">
        <f>data!BL92</f>
        <v>0</v>
      </c>
      <c r="I286" s="264">
        <f>data!BM92</f>
        <v>0</v>
      </c>
    </row>
    <row r="287" spans="1:9" ht="20.149999999999999" customHeight="1" x14ac:dyDescent="0.35">
      <c r="A287" s="240">
        <v>25</v>
      </c>
      <c r="B287" s="248" t="s">
        <v>1008</v>
      </c>
      <c r="C287" s="263" t="str">
        <f>IF(data!BG79&gt;0,data!BG79,"")</f>
        <v/>
      </c>
      <c r="D287" s="264">
        <f>data!BH93</f>
        <v>0</v>
      </c>
      <c r="E287" s="264">
        <f>data!BI93</f>
        <v>0</v>
      </c>
      <c r="F287" s="263" t="str">
        <f>IF(data!BJ79&gt;0,data!BJ79,"")</f>
        <v/>
      </c>
      <c r="G287" s="264">
        <f>data!BK93</f>
        <v>0</v>
      </c>
      <c r="H287" s="264">
        <f>data!BL93</f>
        <v>0</v>
      </c>
      <c r="I287" s="264">
        <f>data!BM93</f>
        <v>0</v>
      </c>
    </row>
    <row r="288" spans="1:9" ht="20.149999999999999" customHeight="1" x14ac:dyDescent="0.35">
      <c r="A288" s="240">
        <v>26</v>
      </c>
      <c r="B288" s="248" t="s">
        <v>294</v>
      </c>
      <c r="C288" s="263" t="str">
        <f>IF(data!BG80&gt;0,data!BG80,"")</f>
        <v/>
      </c>
      <c r="D288" s="263" t="str">
        <f>IF(data!BH80&gt;0,data!BH80,"")</f>
        <v/>
      </c>
      <c r="E288" s="263" t="str">
        <f>IF(data!BI80&gt;0,data!BI80,"")</f>
        <v/>
      </c>
      <c r="F288" s="263" t="str">
        <f>IF(data!BJ80&gt;0,data!BJ80,"")</f>
        <v/>
      </c>
      <c r="G288" s="263" t="str">
        <f>IF(data!BK80&gt;0,data!BK80,"")</f>
        <v/>
      </c>
      <c r="H288" s="263" t="str">
        <f>IF(data!BL80&gt;0,data!BL80,"")</f>
        <v/>
      </c>
      <c r="I288" s="263" t="str">
        <f>IF(data!BM80&gt;0,data!BM80,"")</f>
        <v/>
      </c>
    </row>
    <row r="289" spans="1:9" ht="20.149999999999999" customHeight="1" x14ac:dyDescent="0.35">
      <c r="A289" s="241" t="s">
        <v>990</v>
      </c>
      <c r="B289" s="242"/>
      <c r="C289" s="242"/>
      <c r="D289" s="242"/>
      <c r="E289" s="242"/>
      <c r="F289" s="242"/>
      <c r="G289" s="242"/>
      <c r="H289" s="242"/>
      <c r="I289" s="241"/>
    </row>
    <row r="290" spans="1:9" ht="20.149999999999999" customHeight="1" x14ac:dyDescent="0.35">
      <c r="D290" s="244"/>
      <c r="I290" s="245" t="s">
        <v>1040</v>
      </c>
    </row>
    <row r="291" spans="1:9" ht="20.149999999999999" customHeight="1" x14ac:dyDescent="0.35">
      <c r="A291" s="244"/>
    </row>
    <row r="292" spans="1:9" ht="20.149999999999999" customHeight="1" x14ac:dyDescent="0.35">
      <c r="A292" s="246" t="str">
        <f>"Hospital: "&amp;data!C98</f>
        <v>Hospital: Public Hospital District No 1 of Mason County, WA, DBA Mason Health</v>
      </c>
      <c r="G292" s="247"/>
      <c r="H292" s="246" t="str">
        <f>"FYE: "&amp;data!C96</f>
        <v>FYE: 12/31/2023</v>
      </c>
    </row>
    <row r="293" spans="1:9" ht="20.149999999999999" customHeight="1" x14ac:dyDescent="0.35">
      <c r="A293" s="240">
        <v>1</v>
      </c>
      <c r="B293" s="248" t="s">
        <v>236</v>
      </c>
      <c r="C293" s="250" t="s">
        <v>99</v>
      </c>
      <c r="D293" s="250" t="s">
        <v>100</v>
      </c>
      <c r="E293" s="250" t="s">
        <v>101</v>
      </c>
      <c r="F293" s="250" t="s">
        <v>102</v>
      </c>
      <c r="G293" s="250" t="s">
        <v>103</v>
      </c>
      <c r="H293" s="250" t="s">
        <v>104</v>
      </c>
      <c r="I293" s="250" t="s">
        <v>105</v>
      </c>
    </row>
    <row r="294" spans="1:9" ht="20.149999999999999" customHeight="1" x14ac:dyDescent="0.35">
      <c r="A294" s="251">
        <v>2</v>
      </c>
      <c r="B294" s="252" t="s">
        <v>992</v>
      </c>
      <c r="C294" s="254" t="s">
        <v>175</v>
      </c>
      <c r="D294" s="254" t="s">
        <v>176</v>
      </c>
      <c r="E294" s="254" t="s">
        <v>177</v>
      </c>
      <c r="F294" s="254" t="s">
        <v>178</v>
      </c>
      <c r="G294" s="254"/>
      <c r="H294" s="254" t="s">
        <v>180</v>
      </c>
      <c r="I294" s="254" t="s">
        <v>181</v>
      </c>
    </row>
    <row r="295" spans="1:9" ht="20.149999999999999" customHeight="1" x14ac:dyDescent="0.35">
      <c r="A295" s="251"/>
      <c r="B295" s="252"/>
      <c r="C295" s="254" t="s">
        <v>1041</v>
      </c>
      <c r="D295" s="254" t="s">
        <v>221</v>
      </c>
      <c r="E295" s="254" t="s">
        <v>222</v>
      </c>
      <c r="F295" s="254" t="s">
        <v>223</v>
      </c>
      <c r="G295" s="254" t="s">
        <v>179</v>
      </c>
      <c r="H295" s="254" t="s">
        <v>224</v>
      </c>
      <c r="I295" s="254" t="s">
        <v>196</v>
      </c>
    </row>
    <row r="296" spans="1:9" ht="20.149999999999999" customHeight="1" x14ac:dyDescent="0.35">
      <c r="A296" s="240">
        <v>3</v>
      </c>
      <c r="B296" s="248" t="s">
        <v>996</v>
      </c>
      <c r="C296" s="260"/>
      <c r="D296" s="260"/>
      <c r="E296" s="260"/>
      <c r="F296" s="260"/>
      <c r="G296" s="260"/>
      <c r="H296" s="260"/>
      <c r="I296" s="260"/>
    </row>
    <row r="297" spans="1:9" ht="20.149999999999999" customHeight="1" x14ac:dyDescent="0.35">
      <c r="A297" s="240">
        <v>4</v>
      </c>
      <c r="B297" s="248" t="s">
        <v>261</v>
      </c>
      <c r="C297" s="260"/>
      <c r="D297" s="260"/>
      <c r="E297" s="260"/>
      <c r="F297" s="260"/>
      <c r="G297" s="260"/>
      <c r="H297" s="260"/>
      <c r="I297" s="260"/>
    </row>
    <row r="298" spans="1:9" ht="20.149999999999999" customHeight="1" x14ac:dyDescent="0.35">
      <c r="A298" s="240">
        <v>5</v>
      </c>
      <c r="B298" s="248" t="s">
        <v>262</v>
      </c>
      <c r="C298" s="255">
        <f>data!BN60</f>
        <v>10.321640657499998</v>
      </c>
      <c r="D298" s="255">
        <f>data!BO60</f>
        <v>1.9524949399038463</v>
      </c>
      <c r="E298" s="255">
        <f>data!BP60</f>
        <v>0</v>
      </c>
      <c r="F298" s="255">
        <f>data!BQ60</f>
        <v>0</v>
      </c>
      <c r="G298" s="255">
        <f>data!BR60</f>
        <v>6.4288979927884613</v>
      </c>
      <c r="H298" s="255">
        <f>data!BS60</f>
        <v>0</v>
      </c>
      <c r="I298" s="255">
        <f>data!BT60</f>
        <v>0</v>
      </c>
    </row>
    <row r="299" spans="1:9" ht="20.149999999999999" customHeight="1" x14ac:dyDescent="0.35">
      <c r="A299" s="240">
        <v>6</v>
      </c>
      <c r="B299" s="248" t="s">
        <v>263</v>
      </c>
      <c r="C299" s="248">
        <f>data!BN61</f>
        <v>2067701.9500000004</v>
      </c>
      <c r="D299" s="248">
        <f>data!BO61</f>
        <v>199223.81</v>
      </c>
      <c r="E299" s="248">
        <f>data!BP61</f>
        <v>0</v>
      </c>
      <c r="F299" s="248">
        <f>data!BQ61</f>
        <v>0</v>
      </c>
      <c r="G299" s="248">
        <f>data!BR61</f>
        <v>710205.14999999991</v>
      </c>
      <c r="H299" s="248">
        <f>data!BS61</f>
        <v>0</v>
      </c>
      <c r="I299" s="248">
        <f>data!BT61</f>
        <v>0</v>
      </c>
    </row>
    <row r="300" spans="1:9" ht="20.149999999999999" customHeight="1" x14ac:dyDescent="0.35">
      <c r="A300" s="240">
        <v>7</v>
      </c>
      <c r="B300" s="248" t="s">
        <v>11</v>
      </c>
      <c r="C300" s="248">
        <f>data!BN62</f>
        <v>542378</v>
      </c>
      <c r="D300" s="248">
        <f>data!BO62</f>
        <v>52055</v>
      </c>
      <c r="E300" s="248">
        <f>data!BP62</f>
        <v>0</v>
      </c>
      <c r="F300" s="248">
        <f>data!BQ62</f>
        <v>0</v>
      </c>
      <c r="G300" s="248">
        <f>data!BR62</f>
        <v>198583</v>
      </c>
      <c r="H300" s="248">
        <f>data!BS62</f>
        <v>0</v>
      </c>
      <c r="I300" s="248">
        <f>data!BT62</f>
        <v>0</v>
      </c>
    </row>
    <row r="301" spans="1:9" ht="20.149999999999999" customHeight="1" x14ac:dyDescent="0.35">
      <c r="A301" s="240">
        <v>8</v>
      </c>
      <c r="B301" s="248" t="s">
        <v>264</v>
      </c>
      <c r="C301" s="248">
        <f>data!BN63</f>
        <v>261417.92</v>
      </c>
      <c r="D301" s="248">
        <f>data!BO63</f>
        <v>0</v>
      </c>
      <c r="E301" s="248">
        <f>data!BP63</f>
        <v>0</v>
      </c>
      <c r="F301" s="248">
        <f>data!BQ63</f>
        <v>0</v>
      </c>
      <c r="G301" s="248">
        <f>data!BR63</f>
        <v>0</v>
      </c>
      <c r="H301" s="248">
        <f>data!BS63</f>
        <v>0</v>
      </c>
      <c r="I301" s="248">
        <f>data!BT63</f>
        <v>0</v>
      </c>
    </row>
    <row r="302" spans="1:9" ht="20.149999999999999" customHeight="1" x14ac:dyDescent="0.35">
      <c r="A302" s="240">
        <v>9</v>
      </c>
      <c r="B302" s="248" t="s">
        <v>265</v>
      </c>
      <c r="C302" s="248">
        <f>data!BN64</f>
        <v>52023.07</v>
      </c>
      <c r="D302" s="248">
        <f>data!BO64</f>
        <v>45534.829999999994</v>
      </c>
      <c r="E302" s="248">
        <f>data!BP64</f>
        <v>9027.1200000000008</v>
      </c>
      <c r="F302" s="248">
        <f>data!BQ64</f>
        <v>0</v>
      </c>
      <c r="G302" s="248">
        <f>data!BR64</f>
        <v>16680.84</v>
      </c>
      <c r="H302" s="248">
        <f>data!BS64</f>
        <v>0</v>
      </c>
      <c r="I302" s="248">
        <f>data!BT64</f>
        <v>0</v>
      </c>
    </row>
    <row r="303" spans="1:9" ht="20.149999999999999" customHeight="1" x14ac:dyDescent="0.35">
      <c r="A303" s="240">
        <v>10</v>
      </c>
      <c r="B303" s="248" t="s">
        <v>523</v>
      </c>
      <c r="C303" s="248">
        <f>data!BN65</f>
        <v>786.03</v>
      </c>
      <c r="D303" s="248">
        <f>data!BO65</f>
        <v>1050.93</v>
      </c>
      <c r="E303" s="248">
        <f>data!BP65</f>
        <v>0</v>
      </c>
      <c r="F303" s="248">
        <f>data!BQ65</f>
        <v>0</v>
      </c>
      <c r="G303" s="248">
        <f>data!BR65</f>
        <v>1215.1899999999998</v>
      </c>
      <c r="H303" s="248">
        <f>data!BS65</f>
        <v>0</v>
      </c>
      <c r="I303" s="248">
        <f>data!BT65</f>
        <v>0</v>
      </c>
    </row>
    <row r="304" spans="1:9" ht="20.149999999999999" customHeight="1" x14ac:dyDescent="0.35">
      <c r="A304" s="240">
        <v>11</v>
      </c>
      <c r="B304" s="248" t="s">
        <v>524</v>
      </c>
      <c r="C304" s="248">
        <f>data!BN66</f>
        <v>437556.82000000007</v>
      </c>
      <c r="D304" s="248">
        <f>data!BO66</f>
        <v>22389.64</v>
      </c>
      <c r="E304" s="248">
        <f>data!BP66</f>
        <v>278768.57</v>
      </c>
      <c r="F304" s="248">
        <f>data!BQ66</f>
        <v>0</v>
      </c>
      <c r="G304" s="248">
        <f>data!BR66</f>
        <v>239164.84000000003</v>
      </c>
      <c r="H304" s="248">
        <f>data!BS66</f>
        <v>0</v>
      </c>
      <c r="I304" s="248">
        <f>data!BT66</f>
        <v>0</v>
      </c>
    </row>
    <row r="305" spans="1:9" ht="20.149999999999999" customHeight="1" x14ac:dyDescent="0.35">
      <c r="A305" s="240">
        <v>12</v>
      </c>
      <c r="B305" s="248" t="s">
        <v>16</v>
      </c>
      <c r="C305" s="248">
        <f>data!BN67</f>
        <v>168969</v>
      </c>
      <c r="D305" s="248">
        <f>data!BO67</f>
        <v>8767</v>
      </c>
      <c r="E305" s="248">
        <f>data!BP67</f>
        <v>89410</v>
      </c>
      <c r="F305" s="248">
        <f>data!BQ67</f>
        <v>0</v>
      </c>
      <c r="G305" s="248">
        <f>data!BR67</f>
        <v>66837</v>
      </c>
      <c r="H305" s="248">
        <f>data!BS67</f>
        <v>0</v>
      </c>
      <c r="I305" s="248">
        <f>data!BT67</f>
        <v>0</v>
      </c>
    </row>
    <row r="306" spans="1:9" ht="20.149999999999999" customHeight="1" x14ac:dyDescent="0.35">
      <c r="A306" s="240">
        <v>13</v>
      </c>
      <c r="B306" s="248" t="s">
        <v>997</v>
      </c>
      <c r="C306" s="248">
        <f>data!BN68</f>
        <v>0</v>
      </c>
      <c r="D306" s="248">
        <f>data!BO68</f>
        <v>0</v>
      </c>
      <c r="E306" s="248">
        <f>data!BP68</f>
        <v>0</v>
      </c>
      <c r="F306" s="248">
        <f>data!BQ68</f>
        <v>0</v>
      </c>
      <c r="G306" s="248">
        <f>data!BR68</f>
        <v>21305.1</v>
      </c>
      <c r="H306" s="248">
        <f>data!BS68</f>
        <v>0</v>
      </c>
      <c r="I306" s="248">
        <f>data!BT68</f>
        <v>0</v>
      </c>
    </row>
    <row r="307" spans="1:9" ht="20.149999999999999" customHeight="1" x14ac:dyDescent="0.35">
      <c r="A307" s="240">
        <v>14</v>
      </c>
      <c r="B307" s="248" t="s">
        <v>998</v>
      </c>
      <c r="C307" s="248">
        <f>data!BN69</f>
        <v>337540.62</v>
      </c>
      <c r="D307" s="248">
        <f>data!BO69</f>
        <v>914.29</v>
      </c>
      <c r="E307" s="248">
        <f>data!BP69</f>
        <v>80351.56</v>
      </c>
      <c r="F307" s="248">
        <f>data!BQ69</f>
        <v>0</v>
      </c>
      <c r="G307" s="248">
        <f>data!BR69</f>
        <v>353570.59000000008</v>
      </c>
      <c r="H307" s="248">
        <f>data!BS69</f>
        <v>0</v>
      </c>
      <c r="I307" s="248">
        <f>data!BT69</f>
        <v>0</v>
      </c>
    </row>
    <row r="308" spans="1:9" ht="20.149999999999999" customHeight="1" x14ac:dyDescent="0.35">
      <c r="A308" s="240">
        <v>15</v>
      </c>
      <c r="B308" s="248" t="s">
        <v>284</v>
      </c>
      <c r="C308" s="248">
        <f>-data!BN84</f>
        <v>-41665</v>
      </c>
      <c r="D308" s="248">
        <f>-data!BO84</f>
        <v>-2500</v>
      </c>
      <c r="E308" s="248">
        <f>-data!BP84</f>
        <v>0</v>
      </c>
      <c r="F308" s="248">
        <f>-data!BQ84</f>
        <v>0</v>
      </c>
      <c r="G308" s="248">
        <f>-data!BR84</f>
        <v>0</v>
      </c>
      <c r="H308" s="248">
        <f>-data!BS84</f>
        <v>0</v>
      </c>
      <c r="I308" s="248">
        <f>-data!BT84</f>
        <v>0</v>
      </c>
    </row>
    <row r="309" spans="1:9" ht="20.149999999999999" customHeight="1" x14ac:dyDescent="0.35">
      <c r="A309" s="240">
        <v>16</v>
      </c>
      <c r="B309" s="256" t="s">
        <v>999</v>
      </c>
      <c r="C309" s="248">
        <f>data!BN85</f>
        <v>3826708.41</v>
      </c>
      <c r="D309" s="248">
        <f>data!BO85</f>
        <v>327435.5</v>
      </c>
      <c r="E309" s="248">
        <f>data!BP85</f>
        <v>457557.25</v>
      </c>
      <c r="F309" s="248">
        <f>data!BQ85</f>
        <v>0</v>
      </c>
      <c r="G309" s="248">
        <f>data!BR85</f>
        <v>1607561.71</v>
      </c>
      <c r="H309" s="248">
        <f>data!BS85</f>
        <v>0</v>
      </c>
      <c r="I309" s="248">
        <f>data!BT85</f>
        <v>0</v>
      </c>
    </row>
    <row r="310" spans="1:9" ht="20.149999999999999" customHeight="1" x14ac:dyDescent="0.35">
      <c r="A310" s="240">
        <v>17</v>
      </c>
      <c r="B310" s="248" t="s">
        <v>286</v>
      </c>
      <c r="C310" s="258"/>
      <c r="D310" s="258"/>
      <c r="E310" s="258"/>
      <c r="F310" s="258"/>
      <c r="G310" s="258"/>
      <c r="H310" s="258"/>
      <c r="I310" s="258"/>
    </row>
    <row r="311" spans="1:9" ht="20.149999999999999" customHeight="1" x14ac:dyDescent="0.35">
      <c r="A311" s="240">
        <v>18</v>
      </c>
      <c r="B311" s="248" t="s">
        <v>1000</v>
      </c>
      <c r="C311" s="248"/>
      <c r="D311" s="248"/>
      <c r="E311" s="248"/>
      <c r="F311" s="248"/>
      <c r="G311" s="248"/>
      <c r="H311" s="248"/>
      <c r="I311" s="248"/>
    </row>
    <row r="312" spans="1:9" ht="20.149999999999999" customHeight="1" x14ac:dyDescent="0.35">
      <c r="A312" s="240">
        <v>19</v>
      </c>
      <c r="B312" s="256" t="s">
        <v>1001</v>
      </c>
      <c r="C312" s="263" t="str">
        <f>IF(data!BN73&gt;0,data!BN73,"")</f>
        <v/>
      </c>
      <c r="D312" s="263" t="str">
        <f>IF(data!BO73&gt;0,data!BO73,"")</f>
        <v/>
      </c>
      <c r="E312" s="263" t="str">
        <f>IF(data!BP73&gt;0,data!BP73,"")</f>
        <v/>
      </c>
      <c r="F312" s="263" t="str">
        <f>IF(data!BQ73&gt;0,data!BQ73,"")</f>
        <v/>
      </c>
      <c r="G312" s="263" t="str">
        <f>IF(data!BR73&gt;0,data!BR73,"")</f>
        <v/>
      </c>
      <c r="H312" s="263" t="str">
        <f>IF(data!BS73&gt;0,data!BS73,"")</f>
        <v/>
      </c>
      <c r="I312" s="263" t="str">
        <f>IF(data!BT73&gt;0,data!BT73,"")</f>
        <v/>
      </c>
    </row>
    <row r="313" spans="1:9" ht="20.149999999999999" customHeight="1" x14ac:dyDescent="0.35">
      <c r="A313" s="240">
        <v>20</v>
      </c>
      <c r="B313" s="256" t="s">
        <v>1002</v>
      </c>
      <c r="C313" s="263" t="str">
        <f>IF(data!BN74&gt;0,data!BN74,"")</f>
        <v/>
      </c>
      <c r="D313" s="263" t="str">
        <f>IF(data!BO74&gt;0,data!BO74,"")</f>
        <v/>
      </c>
      <c r="E313" s="263" t="str">
        <f>IF(data!BP74&gt;0,data!BP74,"")</f>
        <v/>
      </c>
      <c r="F313" s="263" t="str">
        <f>IF(data!BQ74&gt;0,data!BQ74,"")</f>
        <v/>
      </c>
      <c r="G313" s="263" t="str">
        <f>IF(data!BR74&gt;0,data!BR74,"")</f>
        <v/>
      </c>
      <c r="H313" s="263" t="str">
        <f>IF(data!BS74&gt;0,data!BS74,"")</f>
        <v/>
      </c>
      <c r="I313" s="263" t="str">
        <f>IF(data!BT74&gt;0,data!BT74,"")</f>
        <v/>
      </c>
    </row>
    <row r="314" spans="1:9" ht="20.149999999999999" customHeight="1" x14ac:dyDescent="0.35">
      <c r="A314" s="240">
        <v>21</v>
      </c>
      <c r="B314" s="256" t="s">
        <v>1003</v>
      </c>
      <c r="C314" s="263" t="str">
        <f>IF(data!BN75&gt;0,data!BN75,"")</f>
        <v/>
      </c>
      <c r="D314" s="263" t="str">
        <f>IF(data!BO75&gt;0,data!BO75,"")</f>
        <v/>
      </c>
      <c r="E314" s="263" t="str">
        <f>IF(data!BP75&gt;0,data!BP75,"")</f>
        <v/>
      </c>
      <c r="F314" s="263" t="str">
        <f>IF(data!BQ75&gt;0,data!BQ75,"")</f>
        <v/>
      </c>
      <c r="G314" s="263" t="str">
        <f>IF(data!BR75&gt;0,data!BR75,"")</f>
        <v/>
      </c>
      <c r="H314" s="263" t="str">
        <f>IF(data!BS75&gt;0,data!BS75,"")</f>
        <v/>
      </c>
      <c r="I314" s="263" t="str">
        <f>IF(data!BT75&gt;0,data!BT75,"")</f>
        <v/>
      </c>
    </row>
    <row r="315" spans="1:9" ht="20.149999999999999" customHeight="1" x14ac:dyDescent="0.35">
      <c r="A315" s="240" t="s">
        <v>1004</v>
      </c>
      <c r="B315" s="248"/>
      <c r="C315" s="258"/>
      <c r="D315" s="258"/>
      <c r="E315" s="258"/>
      <c r="F315" s="258"/>
      <c r="G315" s="258"/>
      <c r="H315" s="258"/>
      <c r="I315" s="258"/>
    </row>
    <row r="316" spans="1:9" ht="20.149999999999999" customHeight="1" x14ac:dyDescent="0.35">
      <c r="A316" s="240">
        <v>22</v>
      </c>
      <c r="B316" s="248" t="s">
        <v>1005</v>
      </c>
      <c r="C316" s="264">
        <f>data!BN90</f>
        <v>9757</v>
      </c>
      <c r="D316" s="264">
        <f>data!BO90</f>
        <v>137</v>
      </c>
      <c r="E316" s="264">
        <f>data!BP90</f>
        <v>2848</v>
      </c>
      <c r="F316" s="264">
        <f>data!BQ90</f>
        <v>0</v>
      </c>
      <c r="G316" s="264">
        <f>data!BR90</f>
        <v>2129</v>
      </c>
      <c r="H316" s="264">
        <f>data!BS90</f>
        <v>0</v>
      </c>
      <c r="I316" s="264">
        <f>data!BT90</f>
        <v>0</v>
      </c>
    </row>
    <row r="317" spans="1:9" ht="20.149999999999999" customHeight="1" x14ac:dyDescent="0.35">
      <c r="A317" s="240">
        <v>23</v>
      </c>
      <c r="B317" s="248" t="s">
        <v>1006</v>
      </c>
      <c r="C317" s="263" t="str">
        <f>IF(data!BN77&gt;0,data!BN77,"")</f>
        <v/>
      </c>
      <c r="D317" s="263" t="str">
        <f>IF(data!BO77&gt;0,data!BO77,"")</f>
        <v/>
      </c>
      <c r="E317" s="263" t="str">
        <f>IF(data!BP77&gt;0,data!BP77,"")</f>
        <v/>
      </c>
      <c r="F317" s="263" t="str">
        <f>IF(data!BQ77&gt;0,data!BQ77,"")</f>
        <v/>
      </c>
      <c r="G317" s="264">
        <f>data!BR91</f>
        <v>0</v>
      </c>
      <c r="H317" s="264">
        <f>data!BS91</f>
        <v>0</v>
      </c>
      <c r="I317" s="264">
        <f>data!BT91</f>
        <v>0</v>
      </c>
    </row>
    <row r="318" spans="1:9" ht="20.149999999999999" customHeight="1" x14ac:dyDescent="0.35">
      <c r="A318" s="240">
        <v>24</v>
      </c>
      <c r="B318" s="248" t="s">
        <v>1007</v>
      </c>
      <c r="C318" s="263" t="str">
        <f>IF(data!BN78&gt;0,data!BN78,"")</f>
        <v/>
      </c>
      <c r="D318" s="263" t="str">
        <f>IF(data!BO78&gt;0,data!BO78,"")</f>
        <v/>
      </c>
      <c r="E318" s="263" t="str">
        <f>IF(data!BP78&gt;0,data!BP78,"")</f>
        <v/>
      </c>
      <c r="F318" s="263" t="str">
        <f>IF(data!BQ78&gt;0,data!BQ78,"")</f>
        <v/>
      </c>
      <c r="G318" s="263" t="str">
        <f>IF(data!BR78&gt;0,data!BR78,"")</f>
        <v/>
      </c>
      <c r="H318" s="264">
        <f>data!BS92</f>
        <v>0</v>
      </c>
      <c r="I318" s="264">
        <f>data!BT92</f>
        <v>0</v>
      </c>
    </row>
    <row r="319" spans="1:9" ht="20.149999999999999" customHeight="1" x14ac:dyDescent="0.35">
      <c r="A319" s="240">
        <v>25</v>
      </c>
      <c r="B319" s="248" t="s">
        <v>1008</v>
      </c>
      <c r="C319" s="263" t="str">
        <f>IF(data!BN79&gt;0,data!BN79,"")</f>
        <v/>
      </c>
      <c r="D319" s="263" t="str">
        <f>IF(data!BO79&gt;0,data!BO79,"")</f>
        <v/>
      </c>
      <c r="E319" s="263" t="str">
        <f>IF(data!BP79&gt;0,data!BP79,"")</f>
        <v/>
      </c>
      <c r="F319" s="263" t="str">
        <f>IF(data!BQ79&gt;0,data!BQ79,"")</f>
        <v/>
      </c>
      <c r="G319" s="263" t="str">
        <f>IF(data!BR79&gt;0,data!BR79,"")</f>
        <v/>
      </c>
      <c r="H319" s="264">
        <f>data!BS93</f>
        <v>0</v>
      </c>
      <c r="I319" s="264">
        <f>data!BT93</f>
        <v>0</v>
      </c>
    </row>
    <row r="320" spans="1:9" ht="20.149999999999999" customHeight="1" x14ac:dyDescent="0.35">
      <c r="A320" s="240">
        <v>26</v>
      </c>
      <c r="B320" s="248" t="s">
        <v>294</v>
      </c>
      <c r="C320" s="266" t="str">
        <f>IF(data!BN80&gt;0,data!BN80,"")</f>
        <v/>
      </c>
      <c r="D320" s="266" t="str">
        <f>IF(data!BO80&gt;0,data!BO80,"")</f>
        <v/>
      </c>
      <c r="E320" s="266" t="str">
        <f>IF(data!BP80&gt;0,data!BP80,"")</f>
        <v/>
      </c>
      <c r="F320" s="266" t="str">
        <f>IF(data!BQ80&gt;0,data!BQ80,"")</f>
        <v/>
      </c>
      <c r="G320" s="266" t="str">
        <f>IF(data!BR80&gt;0,data!BR80,"")</f>
        <v/>
      </c>
      <c r="H320" s="266" t="str">
        <f>IF(data!BS80&gt;0,data!BS80,"")</f>
        <v/>
      </c>
      <c r="I320" s="266" t="str">
        <f>IF(data!BT80&gt;0,data!BT80,"")</f>
        <v/>
      </c>
    </row>
    <row r="321" spans="1:9" ht="20.149999999999999" customHeight="1" x14ac:dyDescent="0.35">
      <c r="A321" s="241" t="s">
        <v>990</v>
      </c>
      <c r="B321" s="242"/>
      <c r="C321" s="242"/>
      <c r="D321" s="242"/>
      <c r="E321" s="242"/>
      <c r="F321" s="242"/>
      <c r="G321" s="242"/>
      <c r="H321" s="242"/>
      <c r="I321" s="241"/>
    </row>
    <row r="322" spans="1:9" ht="20.149999999999999" customHeight="1" x14ac:dyDescent="0.35">
      <c r="D322" s="244"/>
      <c r="I322" s="245" t="s">
        <v>1042</v>
      </c>
    </row>
    <row r="323" spans="1:9" ht="20.149999999999999" customHeight="1" x14ac:dyDescent="0.35">
      <c r="A323" s="244"/>
    </row>
    <row r="324" spans="1:9" ht="20.149999999999999" customHeight="1" x14ac:dyDescent="0.35">
      <c r="A324" s="246" t="str">
        <f>"Hospital: "&amp;data!C98</f>
        <v>Hospital: Public Hospital District No 1 of Mason County, WA, DBA Mason Health</v>
      </c>
      <c r="G324" s="247"/>
      <c r="H324" s="246" t="str">
        <f>"FYE: "&amp;data!C96</f>
        <v>FYE: 12/31/2023</v>
      </c>
    </row>
    <row r="325" spans="1:9" ht="20.149999999999999" customHeight="1" x14ac:dyDescent="0.35">
      <c r="A325" s="240">
        <v>1</v>
      </c>
      <c r="B325" s="248" t="s">
        <v>236</v>
      </c>
      <c r="C325" s="250" t="s">
        <v>106</v>
      </c>
      <c r="D325" s="250" t="s">
        <v>107</v>
      </c>
      <c r="E325" s="250" t="s">
        <v>108</v>
      </c>
      <c r="F325" s="250" t="s">
        <v>109</v>
      </c>
      <c r="G325" s="250" t="s">
        <v>110</v>
      </c>
      <c r="H325" s="250" t="s">
        <v>111</v>
      </c>
      <c r="I325" s="250" t="s">
        <v>112</v>
      </c>
    </row>
    <row r="326" spans="1:9" ht="20.149999999999999" customHeight="1" x14ac:dyDescent="0.35">
      <c r="A326" s="251">
        <v>2</v>
      </c>
      <c r="B326" s="252" t="s">
        <v>992</v>
      </c>
      <c r="C326" s="254" t="s">
        <v>182</v>
      </c>
      <c r="D326" s="254" t="s">
        <v>182</v>
      </c>
      <c r="E326" s="254" t="s">
        <v>182</v>
      </c>
      <c r="F326" s="254" t="s">
        <v>183</v>
      </c>
      <c r="G326" s="254" t="s">
        <v>184</v>
      </c>
      <c r="H326" s="254" t="s">
        <v>185</v>
      </c>
      <c r="I326" s="254" t="s">
        <v>186</v>
      </c>
    </row>
    <row r="327" spans="1:9" ht="20.149999999999999" customHeight="1" x14ac:dyDescent="0.35">
      <c r="A327" s="251"/>
      <c r="B327" s="252"/>
      <c r="C327" s="254" t="s">
        <v>225</v>
      </c>
      <c r="D327" s="254" t="s">
        <v>226</v>
      </c>
      <c r="E327" s="254" t="s">
        <v>227</v>
      </c>
      <c r="F327" s="254" t="s">
        <v>178</v>
      </c>
      <c r="G327" s="254" t="s">
        <v>1041</v>
      </c>
      <c r="H327" s="254" t="s">
        <v>179</v>
      </c>
      <c r="I327" s="254" t="s">
        <v>228</v>
      </c>
    </row>
    <row r="328" spans="1:9" ht="20.149999999999999" customHeight="1" x14ac:dyDescent="0.35">
      <c r="A328" s="240">
        <v>3</v>
      </c>
      <c r="B328" s="248" t="s">
        <v>996</v>
      </c>
      <c r="C328" s="260"/>
      <c r="D328" s="260"/>
      <c r="E328" s="260"/>
      <c r="F328" s="260"/>
      <c r="G328" s="260"/>
      <c r="H328" s="260"/>
      <c r="I328" s="260"/>
    </row>
    <row r="329" spans="1:9" ht="20.149999999999999" customHeight="1" x14ac:dyDescent="0.35">
      <c r="A329" s="240">
        <v>4</v>
      </c>
      <c r="B329" s="248" t="s">
        <v>261</v>
      </c>
      <c r="C329" s="260"/>
      <c r="D329" s="260"/>
      <c r="E329" s="260"/>
      <c r="F329" s="260"/>
      <c r="G329" s="260"/>
      <c r="H329" s="260"/>
      <c r="I329" s="260"/>
    </row>
    <row r="330" spans="1:9" ht="20.149999999999999" customHeight="1" x14ac:dyDescent="0.35">
      <c r="A330" s="240">
        <v>5</v>
      </c>
      <c r="B330" s="248" t="s">
        <v>262</v>
      </c>
      <c r="C330" s="255">
        <f>data!BU60</f>
        <v>0</v>
      </c>
      <c r="D330" s="255">
        <f>data!BV60</f>
        <v>22.869850711538461</v>
      </c>
      <c r="E330" s="255">
        <f>data!BW60</f>
        <v>2.0065794230769236</v>
      </c>
      <c r="F330" s="255">
        <f>data!BX60</f>
        <v>0</v>
      </c>
      <c r="G330" s="255">
        <f>data!BY60</f>
        <v>13.232125512548075</v>
      </c>
      <c r="H330" s="255">
        <f>data!BZ60</f>
        <v>0</v>
      </c>
      <c r="I330" s="255">
        <f>data!CA60</f>
        <v>1.0547237079326923</v>
      </c>
    </row>
    <row r="331" spans="1:9" ht="20.149999999999999" customHeight="1" x14ac:dyDescent="0.35">
      <c r="A331" s="240">
        <v>6</v>
      </c>
      <c r="B331" s="248" t="s">
        <v>263</v>
      </c>
      <c r="C331" s="267">
        <f>data!BU61</f>
        <v>0</v>
      </c>
      <c r="D331" s="267">
        <f>data!BV61</f>
        <v>1413227.0999999999</v>
      </c>
      <c r="E331" s="267">
        <f>data!BW61</f>
        <v>167530.35999999999</v>
      </c>
      <c r="F331" s="267">
        <f>data!BX61</f>
        <v>0</v>
      </c>
      <c r="G331" s="267">
        <f>data!BY61</f>
        <v>1810067.6400000001</v>
      </c>
      <c r="H331" s="267">
        <f>data!BZ61</f>
        <v>0</v>
      </c>
      <c r="I331" s="267">
        <f>data!CA61</f>
        <v>85098.34</v>
      </c>
    </row>
    <row r="332" spans="1:9" ht="20.149999999999999" customHeight="1" x14ac:dyDescent="0.35">
      <c r="A332" s="240">
        <v>7</v>
      </c>
      <c r="B332" s="248" t="s">
        <v>11</v>
      </c>
      <c r="C332" s="267">
        <f>data!BU62</f>
        <v>0</v>
      </c>
      <c r="D332" s="267">
        <f>data!BV62</f>
        <v>608167</v>
      </c>
      <c r="E332" s="267">
        <f>data!BW62</f>
        <v>58613</v>
      </c>
      <c r="F332" s="267">
        <f>data!BX62</f>
        <v>0</v>
      </c>
      <c r="G332" s="267">
        <f>data!BY62</f>
        <v>465919</v>
      </c>
      <c r="H332" s="267">
        <f>data!BZ62</f>
        <v>0</v>
      </c>
      <c r="I332" s="267">
        <f>data!CA62</f>
        <v>28028</v>
      </c>
    </row>
    <row r="333" spans="1:9" ht="20.149999999999999" customHeight="1" x14ac:dyDescent="0.35">
      <c r="A333" s="240">
        <v>8</v>
      </c>
      <c r="B333" s="248" t="s">
        <v>264</v>
      </c>
      <c r="C333" s="267">
        <f>data!BU63</f>
        <v>0</v>
      </c>
      <c r="D333" s="267">
        <f>data!BV63</f>
        <v>153457.50000000003</v>
      </c>
      <c r="E333" s="267">
        <f>data!BW63</f>
        <v>8000</v>
      </c>
      <c r="F333" s="267">
        <f>data!BX63</f>
        <v>0</v>
      </c>
      <c r="G333" s="267">
        <f>data!BY63</f>
        <v>0</v>
      </c>
      <c r="H333" s="267">
        <f>data!BZ63</f>
        <v>0</v>
      </c>
      <c r="I333" s="267">
        <f>data!CA63</f>
        <v>0</v>
      </c>
    </row>
    <row r="334" spans="1:9" ht="20.149999999999999" customHeight="1" x14ac:dyDescent="0.35">
      <c r="A334" s="240">
        <v>9</v>
      </c>
      <c r="B334" s="248" t="s">
        <v>265</v>
      </c>
      <c r="C334" s="267">
        <f>data!BU64</f>
        <v>0</v>
      </c>
      <c r="D334" s="267">
        <f>data!BV64</f>
        <v>6055.26</v>
      </c>
      <c r="E334" s="267">
        <f>data!BW64</f>
        <v>2156.91</v>
      </c>
      <c r="F334" s="267">
        <f>data!BX64</f>
        <v>0</v>
      </c>
      <c r="G334" s="267">
        <f>data!BY64</f>
        <v>4526.88</v>
      </c>
      <c r="H334" s="267">
        <f>data!BZ64</f>
        <v>0</v>
      </c>
      <c r="I334" s="267">
        <f>data!CA64</f>
        <v>4344.6099999999997</v>
      </c>
    </row>
    <row r="335" spans="1:9" ht="20.149999999999999" customHeight="1" x14ac:dyDescent="0.35">
      <c r="A335" s="240">
        <v>10</v>
      </c>
      <c r="B335" s="248" t="s">
        <v>523</v>
      </c>
      <c r="C335" s="267">
        <f>data!BU65</f>
        <v>0</v>
      </c>
      <c r="D335" s="267">
        <f>data!BV65</f>
        <v>511.14</v>
      </c>
      <c r="E335" s="267">
        <f>data!BW65</f>
        <v>0</v>
      </c>
      <c r="F335" s="267">
        <f>data!BX65</f>
        <v>0</v>
      </c>
      <c r="G335" s="267">
        <f>data!BY65</f>
        <v>291.84000000000009</v>
      </c>
      <c r="H335" s="267">
        <f>data!BZ65</f>
        <v>0</v>
      </c>
      <c r="I335" s="267">
        <f>data!CA65</f>
        <v>0</v>
      </c>
    </row>
    <row r="336" spans="1:9" ht="20.149999999999999" customHeight="1" x14ac:dyDescent="0.35">
      <c r="A336" s="240">
        <v>11</v>
      </c>
      <c r="B336" s="248" t="s">
        <v>524</v>
      </c>
      <c r="C336" s="267">
        <f>data!BU66</f>
        <v>0</v>
      </c>
      <c r="D336" s="267">
        <f>data!BV66</f>
        <v>8769.7299999999977</v>
      </c>
      <c r="E336" s="267">
        <f>data!BW66</f>
        <v>45601.290000000008</v>
      </c>
      <c r="F336" s="267">
        <f>data!BX66</f>
        <v>0</v>
      </c>
      <c r="G336" s="267">
        <f>data!BY66</f>
        <v>286891.86</v>
      </c>
      <c r="H336" s="267">
        <f>data!BZ66</f>
        <v>0</v>
      </c>
      <c r="I336" s="267">
        <f>data!CA66</f>
        <v>50925.02</v>
      </c>
    </row>
    <row r="337" spans="1:9" ht="20.149999999999999" customHeight="1" x14ac:dyDescent="0.35">
      <c r="A337" s="240">
        <v>12</v>
      </c>
      <c r="B337" s="248" t="s">
        <v>16</v>
      </c>
      <c r="C337" s="267">
        <f>data!BU67</f>
        <v>0</v>
      </c>
      <c r="D337" s="267">
        <f>data!BV67</f>
        <v>172709</v>
      </c>
      <c r="E337" s="267">
        <f>data!BW67</f>
        <v>32078</v>
      </c>
      <c r="F337" s="267">
        <f>data!BX67</f>
        <v>0</v>
      </c>
      <c r="G337" s="267">
        <f>data!BY67</f>
        <v>54327</v>
      </c>
      <c r="H337" s="267">
        <f>data!BZ67</f>
        <v>0</v>
      </c>
      <c r="I337" s="267">
        <f>data!CA67</f>
        <v>50164</v>
      </c>
    </row>
    <row r="338" spans="1:9" ht="20.149999999999999" customHeight="1" x14ac:dyDescent="0.35">
      <c r="A338" s="240">
        <v>13</v>
      </c>
      <c r="B338" s="248" t="s">
        <v>997</v>
      </c>
      <c r="C338" s="267">
        <f>data!BU68</f>
        <v>0</v>
      </c>
      <c r="D338" s="267">
        <f>data!BV68</f>
        <v>81.449999999999974</v>
      </c>
      <c r="E338" s="267">
        <f>data!BW68</f>
        <v>1264.95</v>
      </c>
      <c r="F338" s="267">
        <f>data!BX68</f>
        <v>0</v>
      </c>
      <c r="G338" s="267">
        <f>data!BY68</f>
        <v>0</v>
      </c>
      <c r="H338" s="267">
        <f>data!BZ68</f>
        <v>0</v>
      </c>
      <c r="I338" s="267">
        <f>data!CA68</f>
        <v>-4195.2400000000007</v>
      </c>
    </row>
    <row r="339" spans="1:9" ht="20.149999999999999" customHeight="1" x14ac:dyDescent="0.35">
      <c r="A339" s="240">
        <v>14</v>
      </c>
      <c r="B339" s="248" t="s">
        <v>998</v>
      </c>
      <c r="C339" s="267">
        <f>data!BU69</f>
        <v>0</v>
      </c>
      <c r="D339" s="267">
        <f>data!BV69</f>
        <v>8500.27</v>
      </c>
      <c r="E339" s="267">
        <f>data!BW69</f>
        <v>46976.88</v>
      </c>
      <c r="F339" s="267">
        <f>data!BX69</f>
        <v>0</v>
      </c>
      <c r="G339" s="267">
        <f>data!BY69</f>
        <v>20254.939999999999</v>
      </c>
      <c r="H339" s="267">
        <f>data!BZ69</f>
        <v>0</v>
      </c>
      <c r="I339" s="267">
        <f>data!CA69</f>
        <v>25598.62</v>
      </c>
    </row>
    <row r="340" spans="1:9" ht="20.149999999999999" customHeight="1" x14ac:dyDescent="0.35">
      <c r="A340" s="240">
        <v>15</v>
      </c>
      <c r="B340" s="248" t="s">
        <v>284</v>
      </c>
      <c r="C340" s="248">
        <f>-data!BU84</f>
        <v>0</v>
      </c>
      <c r="D340" s="248">
        <f>-data!BV84</f>
        <v>-26289.43</v>
      </c>
      <c r="E340" s="248">
        <f>-data!BW84</f>
        <v>-3700</v>
      </c>
      <c r="F340" s="248">
        <f>-data!BX84</f>
        <v>0</v>
      </c>
      <c r="G340" s="248">
        <f>-data!BY84</f>
        <v>-90000</v>
      </c>
      <c r="H340" s="248">
        <f>-data!BZ84</f>
        <v>0</v>
      </c>
      <c r="I340" s="248">
        <f>-data!CA84</f>
        <v>0</v>
      </c>
    </row>
    <row r="341" spans="1:9" ht="20.149999999999999" customHeight="1" x14ac:dyDescent="0.35">
      <c r="A341" s="240">
        <v>16</v>
      </c>
      <c r="B341" s="256" t="s">
        <v>999</v>
      </c>
      <c r="C341" s="248">
        <f>data!BU85</f>
        <v>0</v>
      </c>
      <c r="D341" s="248">
        <f>data!BV85</f>
        <v>2345189.02</v>
      </c>
      <c r="E341" s="248">
        <f>data!BW85</f>
        <v>358521.39</v>
      </c>
      <c r="F341" s="248">
        <f>data!BX85</f>
        <v>0</v>
      </c>
      <c r="G341" s="248">
        <f>data!BY85</f>
        <v>2552279.1599999997</v>
      </c>
      <c r="H341" s="248">
        <f>data!BZ85</f>
        <v>0</v>
      </c>
      <c r="I341" s="248">
        <f>data!CA85</f>
        <v>239963.35</v>
      </c>
    </row>
    <row r="342" spans="1:9" ht="20.149999999999999" customHeight="1" x14ac:dyDescent="0.35">
      <c r="A342" s="240">
        <v>17</v>
      </c>
      <c r="B342" s="248" t="s">
        <v>286</v>
      </c>
      <c r="C342" s="258"/>
      <c r="D342" s="258"/>
      <c r="E342" s="258"/>
      <c r="F342" s="258"/>
      <c r="G342" s="258"/>
      <c r="H342" s="258"/>
      <c r="I342" s="258"/>
    </row>
    <row r="343" spans="1:9" ht="20.149999999999999" customHeight="1" x14ac:dyDescent="0.35">
      <c r="A343" s="240">
        <v>18</v>
      </c>
      <c r="B343" s="248" t="s">
        <v>1000</v>
      </c>
      <c r="C343" s="248"/>
      <c r="D343" s="248"/>
      <c r="E343" s="248"/>
      <c r="F343" s="248"/>
      <c r="G343" s="248"/>
      <c r="H343" s="248"/>
      <c r="I343" s="248"/>
    </row>
    <row r="344" spans="1:9" ht="20.149999999999999" customHeight="1" x14ac:dyDescent="0.35">
      <c r="A344" s="240">
        <v>19</v>
      </c>
      <c r="B344" s="256" t="s">
        <v>1001</v>
      </c>
      <c r="C344" s="263" t="str">
        <f>IF(data!BU73&gt;0,data!BU73,"")</f>
        <v/>
      </c>
      <c r="D344" s="263" t="str">
        <f>IF(data!BV73&gt;0,data!BV73,"")</f>
        <v/>
      </c>
      <c r="E344" s="263" t="str">
        <f>IF(data!BW73&gt;0,data!BW73,"")</f>
        <v/>
      </c>
      <c r="F344" s="263" t="str">
        <f>IF(data!BX73&gt;0,data!BX73,"")</f>
        <v/>
      </c>
      <c r="G344" s="263" t="str">
        <f>IF(data!BY73&gt;0,data!BY73,"")</f>
        <v/>
      </c>
      <c r="H344" s="263" t="str">
        <f>IF(data!BZ73&gt;0,data!BZ73,"")</f>
        <v/>
      </c>
      <c r="I344" s="263" t="str">
        <f>IF(data!CA73&gt;0,data!CA73,"")</f>
        <v/>
      </c>
    </row>
    <row r="345" spans="1:9" ht="20.149999999999999" customHeight="1" x14ac:dyDescent="0.35">
      <c r="A345" s="240">
        <v>20</v>
      </c>
      <c r="B345" s="256" t="s">
        <v>1002</v>
      </c>
      <c r="C345" s="263" t="str">
        <f>IF(data!BU74&gt;0,data!BU74,"")</f>
        <v/>
      </c>
      <c r="D345" s="263" t="str">
        <f>IF(data!BV74&gt;0,data!BV74,"")</f>
        <v/>
      </c>
      <c r="E345" s="263" t="str">
        <f>IF(data!BW74&gt;0,data!BW74,"")</f>
        <v/>
      </c>
      <c r="F345" s="263" t="str">
        <f>IF(data!BX74&gt;0,data!BX74,"")</f>
        <v/>
      </c>
      <c r="G345" s="263" t="str">
        <f>IF(data!BY74&gt;0,data!BY74,"")</f>
        <v/>
      </c>
      <c r="H345" s="263" t="str">
        <f>IF(data!BZ74&gt;0,data!BZ74,"")</f>
        <v/>
      </c>
      <c r="I345" s="263" t="str">
        <f>IF(data!CA74&gt;0,data!CA74,"")</f>
        <v/>
      </c>
    </row>
    <row r="346" spans="1:9" ht="20.149999999999999" customHeight="1" x14ac:dyDescent="0.35">
      <c r="A346" s="240">
        <v>21</v>
      </c>
      <c r="B346" s="256" t="s">
        <v>1003</v>
      </c>
      <c r="C346" s="263" t="str">
        <f>IF(data!BU75&gt;0,data!BU75,"")</f>
        <v/>
      </c>
      <c r="D346" s="263" t="str">
        <f>IF(data!BV75&gt;0,data!BV75,"")</f>
        <v/>
      </c>
      <c r="E346" s="263" t="str">
        <f>IF(data!BW75&gt;0,data!BW75,"")</f>
        <v/>
      </c>
      <c r="F346" s="263" t="str">
        <f>IF(data!BX75&gt;0,data!BX75,"")</f>
        <v/>
      </c>
      <c r="G346" s="263" t="str">
        <f>IF(data!BY75&gt;0,data!BY75,"")</f>
        <v/>
      </c>
      <c r="H346" s="263" t="str">
        <f>IF(data!BZ75&gt;0,data!BZ75,"")</f>
        <v/>
      </c>
      <c r="I346" s="263" t="str">
        <f>IF(data!CA75&gt;0,data!CA75,"")</f>
        <v/>
      </c>
    </row>
    <row r="347" spans="1:9" ht="20.149999999999999" customHeight="1" x14ac:dyDescent="0.35">
      <c r="A347" s="240" t="s">
        <v>1004</v>
      </c>
      <c r="B347" s="248"/>
      <c r="C347" s="258"/>
      <c r="D347" s="258"/>
      <c r="E347" s="258"/>
      <c r="F347" s="258"/>
      <c r="G347" s="258"/>
      <c r="H347" s="258"/>
      <c r="I347" s="258"/>
    </row>
    <row r="348" spans="1:9" ht="20.149999999999999" customHeight="1" x14ac:dyDescent="0.35">
      <c r="A348" s="240">
        <v>22</v>
      </c>
      <c r="B348" s="248" t="s">
        <v>1005</v>
      </c>
      <c r="C348" s="264">
        <f>data!BU90</f>
        <v>0</v>
      </c>
      <c r="D348" s="264">
        <f>data!BV90</f>
        <v>4546</v>
      </c>
      <c r="E348" s="264">
        <f>data!BW90</f>
        <v>1022</v>
      </c>
      <c r="F348" s="264">
        <f>data!BX90</f>
        <v>0</v>
      </c>
      <c r="G348" s="264">
        <f>data!BY90</f>
        <v>920</v>
      </c>
      <c r="H348" s="264">
        <f>data!BZ90</f>
        <v>0</v>
      </c>
      <c r="I348" s="264">
        <f>data!CA90</f>
        <v>1046</v>
      </c>
    </row>
    <row r="349" spans="1:9" ht="20.149999999999999" customHeight="1" x14ac:dyDescent="0.35">
      <c r="A349" s="240">
        <v>23</v>
      </c>
      <c r="B349" s="248" t="s">
        <v>1006</v>
      </c>
      <c r="C349" s="264">
        <f>data!BU91</f>
        <v>0</v>
      </c>
      <c r="D349" s="264">
        <f>data!BV91</f>
        <v>0</v>
      </c>
      <c r="E349" s="264">
        <f>data!BW91</f>
        <v>0</v>
      </c>
      <c r="F349" s="264">
        <f>data!BX91</f>
        <v>0</v>
      </c>
      <c r="G349" s="264">
        <f>data!BY91</f>
        <v>0</v>
      </c>
      <c r="H349" s="264">
        <f>data!BZ91</f>
        <v>0</v>
      </c>
      <c r="I349" s="264">
        <f>data!CA91</f>
        <v>0</v>
      </c>
    </row>
    <row r="350" spans="1:9" ht="20.149999999999999" customHeight="1" x14ac:dyDescent="0.35">
      <c r="A350" s="240">
        <v>24</v>
      </c>
      <c r="B350" s="248" t="s">
        <v>1007</v>
      </c>
      <c r="C350" s="264">
        <f>data!BU92</f>
        <v>0</v>
      </c>
      <c r="D350" s="264">
        <f>data!BV92</f>
        <v>0</v>
      </c>
      <c r="E350" s="264">
        <f>data!BW92</f>
        <v>0</v>
      </c>
      <c r="F350" s="264">
        <f>data!BX92</f>
        <v>0</v>
      </c>
      <c r="G350" s="264">
        <f>data!BY92</f>
        <v>0</v>
      </c>
      <c r="H350" s="264">
        <f>data!BZ92</f>
        <v>0</v>
      </c>
      <c r="I350" s="264">
        <f>data!CA92</f>
        <v>0</v>
      </c>
    </row>
    <row r="351" spans="1:9" ht="20.149999999999999" customHeight="1" x14ac:dyDescent="0.35">
      <c r="A351" s="240">
        <v>25</v>
      </c>
      <c r="B351" s="248" t="s">
        <v>1008</v>
      </c>
      <c r="C351" s="264">
        <f>data!BU93</f>
        <v>0</v>
      </c>
      <c r="D351" s="264">
        <f>data!BV93</f>
        <v>0</v>
      </c>
      <c r="E351" s="264">
        <f>data!BW93</f>
        <v>0</v>
      </c>
      <c r="F351" s="264">
        <f>data!BX93</f>
        <v>0</v>
      </c>
      <c r="G351" s="264">
        <f>data!BY93</f>
        <v>0</v>
      </c>
      <c r="H351" s="264">
        <f>data!BZ93</f>
        <v>0</v>
      </c>
      <c r="I351" s="264">
        <f>data!CA93</f>
        <v>0</v>
      </c>
    </row>
    <row r="352" spans="1:9" ht="20.149999999999999" customHeight="1" x14ac:dyDescent="0.35">
      <c r="A352" s="240">
        <v>26</v>
      </c>
      <c r="B352" s="248" t="s">
        <v>294</v>
      </c>
      <c r="C352" s="266" t="str">
        <f>IF(data!BU80&gt;0,data!BU80,"")</f>
        <v/>
      </c>
      <c r="D352" s="266" t="str">
        <f>IF(data!BV80&gt;0,data!BV80,"")</f>
        <v/>
      </c>
      <c r="E352" s="266" t="str">
        <f>IF(data!BW80&gt;0,data!BW80,"")</f>
        <v/>
      </c>
      <c r="F352" s="266" t="str">
        <f>IF(data!BX80&gt;0,data!BX80,"")</f>
        <v/>
      </c>
      <c r="G352" s="266" t="str">
        <f>IF(data!BY80&gt;0,data!BY80,"")</f>
        <v/>
      </c>
      <c r="H352" s="266" t="str">
        <f>IF(data!BZ80&gt;0,data!BZ80,"")</f>
        <v/>
      </c>
      <c r="I352" s="266" t="str">
        <f>IF(data!CA80&gt;0,data!CA80,"")</f>
        <v/>
      </c>
    </row>
    <row r="353" spans="1:9" ht="20.149999999999999" customHeight="1" x14ac:dyDescent="0.35">
      <c r="A353" s="241" t="s">
        <v>990</v>
      </c>
      <c r="B353" s="242"/>
      <c r="C353" s="242"/>
      <c r="D353" s="242"/>
      <c r="E353" s="242"/>
      <c r="F353" s="242"/>
      <c r="G353" s="242"/>
      <c r="H353" s="242"/>
      <c r="I353" s="241"/>
    </row>
    <row r="354" spans="1:9" ht="20.149999999999999" customHeight="1" x14ac:dyDescent="0.35">
      <c r="D354" s="244"/>
      <c r="I354" s="245" t="s">
        <v>1043</v>
      </c>
    </row>
    <row r="355" spans="1:9" ht="20.149999999999999" customHeight="1" x14ac:dyDescent="0.35">
      <c r="A355" s="244"/>
    </row>
    <row r="356" spans="1:9" ht="20.149999999999999" customHeight="1" x14ac:dyDescent="0.35">
      <c r="A356" s="246" t="str">
        <f>"Hospital: "&amp;data!C98</f>
        <v>Hospital: Public Hospital District No 1 of Mason County, WA, DBA Mason Health</v>
      </c>
      <c r="G356" s="247"/>
      <c r="H356" s="246" t="str">
        <f>"FYE: "&amp;data!C96</f>
        <v>FYE: 12/31/2023</v>
      </c>
    </row>
    <row r="357" spans="1:9" ht="20.149999999999999" customHeight="1" x14ac:dyDescent="0.35">
      <c r="A357" s="240">
        <v>1</v>
      </c>
      <c r="B357" s="248" t="s">
        <v>236</v>
      </c>
      <c r="C357" s="250" t="s">
        <v>113</v>
      </c>
      <c r="D357" s="250" t="s">
        <v>114</v>
      </c>
      <c r="E357" s="250" t="s">
        <v>115</v>
      </c>
      <c r="F357" s="268"/>
      <c r="G357" s="268"/>
      <c r="H357" s="268"/>
      <c r="I357" s="250"/>
    </row>
    <row r="358" spans="1:9" ht="20.149999999999999" customHeight="1" x14ac:dyDescent="0.35">
      <c r="A358" s="251">
        <v>2</v>
      </c>
      <c r="B358" s="252" t="s">
        <v>992</v>
      </c>
      <c r="C358" s="254" t="s">
        <v>187</v>
      </c>
      <c r="D358" s="254" t="s">
        <v>159</v>
      </c>
      <c r="E358" s="254" t="s">
        <v>238</v>
      </c>
      <c r="F358" s="269"/>
      <c r="G358" s="269"/>
      <c r="H358" s="269"/>
      <c r="I358" s="254" t="s">
        <v>188</v>
      </c>
    </row>
    <row r="359" spans="1:9" ht="20.149999999999999" customHeight="1" x14ac:dyDescent="0.35">
      <c r="A359" s="251"/>
      <c r="B359" s="252"/>
      <c r="C359" s="254" t="s">
        <v>228</v>
      </c>
      <c r="D359" s="254" t="s">
        <v>1044</v>
      </c>
      <c r="E359" s="254" t="s">
        <v>240</v>
      </c>
      <c r="F359" s="269"/>
      <c r="G359" s="269"/>
      <c r="H359" s="269"/>
      <c r="I359" s="254" t="s">
        <v>230</v>
      </c>
    </row>
    <row r="360" spans="1:9" ht="20.149999999999999" customHeight="1" x14ac:dyDescent="0.35">
      <c r="A360" s="240">
        <v>3</v>
      </c>
      <c r="B360" s="248" t="s">
        <v>996</v>
      </c>
      <c r="C360" s="260"/>
      <c r="D360" s="260"/>
      <c r="E360" s="260"/>
      <c r="F360" s="260"/>
      <c r="G360" s="260"/>
      <c r="H360" s="260"/>
      <c r="I360" s="260"/>
    </row>
    <row r="361" spans="1:9" ht="20.149999999999999" customHeight="1" x14ac:dyDescent="0.35">
      <c r="A361" s="240">
        <v>4</v>
      </c>
      <c r="B361" s="248" t="s">
        <v>261</v>
      </c>
      <c r="C361" s="260"/>
      <c r="D361" s="260"/>
      <c r="E361" s="260"/>
      <c r="F361" s="260"/>
      <c r="G361" s="260"/>
      <c r="H361" s="260"/>
      <c r="I361" s="260"/>
    </row>
    <row r="362" spans="1:9" ht="20.149999999999999" customHeight="1" x14ac:dyDescent="0.35">
      <c r="A362" s="240">
        <v>5</v>
      </c>
      <c r="B362" s="248" t="s">
        <v>262</v>
      </c>
      <c r="C362" s="255">
        <f>data!CB60</f>
        <v>0</v>
      </c>
      <c r="D362" s="255">
        <f>data!CC60</f>
        <v>16.850000000000001</v>
      </c>
      <c r="E362" s="270"/>
      <c r="F362" s="258"/>
      <c r="G362" s="258"/>
      <c r="H362" s="258"/>
      <c r="I362" s="271">
        <f>data!CE60</f>
        <v>609.88495496105782</v>
      </c>
    </row>
    <row r="363" spans="1:9" ht="20.149999999999999" customHeight="1" x14ac:dyDescent="0.35">
      <c r="A363" s="240">
        <v>6</v>
      </c>
      <c r="B363" s="248" t="s">
        <v>263</v>
      </c>
      <c r="C363" s="267">
        <f>data!CB61</f>
        <v>0</v>
      </c>
      <c r="D363" s="267">
        <f>data!CC61</f>
        <v>1796158</v>
      </c>
      <c r="E363" s="272"/>
      <c r="F363" s="272"/>
      <c r="G363" s="272"/>
      <c r="H363" s="272"/>
      <c r="I363" s="267">
        <f>data!CE61</f>
        <v>60854332.550000019</v>
      </c>
    </row>
    <row r="364" spans="1:9" ht="20.149999999999999" customHeight="1" x14ac:dyDescent="0.35">
      <c r="A364" s="240">
        <v>7</v>
      </c>
      <c r="B364" s="248" t="s">
        <v>11</v>
      </c>
      <c r="C364" s="267">
        <f>data!CB62</f>
        <v>0</v>
      </c>
      <c r="D364" s="267">
        <f>data!CC62</f>
        <v>574429</v>
      </c>
      <c r="E364" s="272"/>
      <c r="F364" s="272"/>
      <c r="G364" s="272"/>
      <c r="H364" s="272"/>
      <c r="I364" s="267">
        <f>data!CE62</f>
        <v>18816586</v>
      </c>
    </row>
    <row r="365" spans="1:9" ht="20.149999999999999" customHeight="1" x14ac:dyDescent="0.35">
      <c r="A365" s="240">
        <v>8</v>
      </c>
      <c r="B365" s="248" t="s">
        <v>264</v>
      </c>
      <c r="C365" s="267">
        <f>data!CB63</f>
        <v>0</v>
      </c>
      <c r="D365" s="267">
        <f>data!CC63</f>
        <v>312.5</v>
      </c>
      <c r="E365" s="272"/>
      <c r="F365" s="272"/>
      <c r="G365" s="272"/>
      <c r="H365" s="272"/>
      <c r="I365" s="267">
        <f>data!CE63</f>
        <v>11313643.48</v>
      </c>
    </row>
    <row r="366" spans="1:9" ht="20.149999999999999" customHeight="1" x14ac:dyDescent="0.35">
      <c r="A366" s="240">
        <v>9</v>
      </c>
      <c r="B366" s="248" t="s">
        <v>265</v>
      </c>
      <c r="C366" s="267">
        <f>data!CB64</f>
        <v>0</v>
      </c>
      <c r="D366" s="267">
        <f>data!CC64</f>
        <v>29036</v>
      </c>
      <c r="E366" s="272"/>
      <c r="F366" s="272"/>
      <c r="G366" s="272"/>
      <c r="H366" s="272"/>
      <c r="I366" s="267">
        <f>data!CE64</f>
        <v>15201655.729999997</v>
      </c>
    </row>
    <row r="367" spans="1:9" ht="20.149999999999999" customHeight="1" x14ac:dyDescent="0.35">
      <c r="A367" s="240">
        <v>10</v>
      </c>
      <c r="B367" s="248" t="s">
        <v>523</v>
      </c>
      <c r="C367" s="267">
        <f>data!CB65</f>
        <v>0</v>
      </c>
      <c r="D367" s="267">
        <f>data!CC65</f>
        <v>4429.4799999999996</v>
      </c>
      <c r="E367" s="272"/>
      <c r="F367" s="272"/>
      <c r="G367" s="272"/>
      <c r="H367" s="272"/>
      <c r="I367" s="267">
        <f>data!CE65</f>
        <v>1314812.6999999997</v>
      </c>
    </row>
    <row r="368" spans="1:9" ht="20.149999999999999" customHeight="1" x14ac:dyDescent="0.35">
      <c r="A368" s="240">
        <v>11</v>
      </c>
      <c r="B368" s="248" t="s">
        <v>524</v>
      </c>
      <c r="C368" s="267">
        <f>data!CB66</f>
        <v>0</v>
      </c>
      <c r="D368" s="267">
        <f>data!CC66</f>
        <v>989443.92</v>
      </c>
      <c r="E368" s="272"/>
      <c r="F368" s="272"/>
      <c r="G368" s="272"/>
      <c r="H368" s="272"/>
      <c r="I368" s="267">
        <f>data!CE66</f>
        <v>13049019.970000001</v>
      </c>
    </row>
    <row r="369" spans="1:9" ht="20.149999999999999" customHeight="1" x14ac:dyDescent="0.35">
      <c r="A369" s="240">
        <v>12</v>
      </c>
      <c r="B369" s="248" t="s">
        <v>16</v>
      </c>
      <c r="C369" s="267">
        <f>data!CB67</f>
        <v>0</v>
      </c>
      <c r="D369" s="267">
        <f>data!CC67</f>
        <v>593966</v>
      </c>
      <c r="E369" s="272"/>
      <c r="F369" s="272"/>
      <c r="G369" s="272"/>
      <c r="H369" s="272"/>
      <c r="I369" s="267">
        <f>data!CE67</f>
        <v>12671902</v>
      </c>
    </row>
    <row r="370" spans="1:9" ht="20.149999999999999" customHeight="1" x14ac:dyDescent="0.35">
      <c r="A370" s="240">
        <v>13</v>
      </c>
      <c r="B370" s="248" t="s">
        <v>997</v>
      </c>
      <c r="C370" s="267">
        <f>data!CB68</f>
        <v>0</v>
      </c>
      <c r="D370" s="267">
        <f>data!CC68</f>
        <v>61</v>
      </c>
      <c r="E370" s="272"/>
      <c r="F370" s="272"/>
      <c r="G370" s="272"/>
      <c r="H370" s="272"/>
      <c r="I370" s="267">
        <f>data!CE68</f>
        <v>324369.34000000003</v>
      </c>
    </row>
    <row r="371" spans="1:9" ht="20.149999999999999" customHeight="1" x14ac:dyDescent="0.35">
      <c r="A371" s="240">
        <v>14</v>
      </c>
      <c r="B371" s="248" t="s">
        <v>998</v>
      </c>
      <c r="C371" s="267">
        <f>data!CB69</f>
        <v>0</v>
      </c>
      <c r="D371" s="267">
        <f>data!CC69</f>
        <v>41506.83</v>
      </c>
      <c r="E371" s="267">
        <f>data!CD69</f>
        <v>3824158.15</v>
      </c>
      <c r="F371" s="272"/>
      <c r="G371" s="272"/>
      <c r="H371" s="272"/>
      <c r="I371" s="267">
        <f>data!CE69</f>
        <v>18810409.609999999</v>
      </c>
    </row>
    <row r="372" spans="1:9" ht="20.149999999999999" customHeight="1" x14ac:dyDescent="0.35">
      <c r="A372" s="240">
        <v>15</v>
      </c>
      <c r="B372" s="248" t="s">
        <v>284</v>
      </c>
      <c r="C372" s="248">
        <f>-data!CB84</f>
        <v>0</v>
      </c>
      <c r="D372" s="248">
        <f>-data!CC84</f>
        <v>0</v>
      </c>
      <c r="E372" s="248">
        <f>-data!CD84</f>
        <v>-7475919.0999999996</v>
      </c>
      <c r="F372" s="258"/>
      <c r="G372" s="258"/>
      <c r="H372" s="258"/>
      <c r="I372" s="248">
        <f>-data!CE84</f>
        <v>-12051165.93</v>
      </c>
    </row>
    <row r="373" spans="1:9" ht="20.149999999999999" customHeight="1" x14ac:dyDescent="0.35">
      <c r="A373" s="240">
        <v>16</v>
      </c>
      <c r="B373" s="256" t="s">
        <v>999</v>
      </c>
      <c r="C373" s="267">
        <f>data!CB85</f>
        <v>0</v>
      </c>
      <c r="D373" s="267">
        <f>data!CC85</f>
        <v>4029342.73</v>
      </c>
      <c r="E373" s="267">
        <f>data!CD85</f>
        <v>-3651760.9499999997</v>
      </c>
      <c r="F373" s="272"/>
      <c r="G373" s="272"/>
      <c r="H373" s="272"/>
      <c r="I373" s="248">
        <f>data!CE85</f>
        <v>128254399.51999998</v>
      </c>
    </row>
    <row r="374" spans="1:9" ht="20.149999999999999" customHeight="1" x14ac:dyDescent="0.35">
      <c r="A374" s="240">
        <v>17</v>
      </c>
      <c r="B374" s="248" t="s">
        <v>286</v>
      </c>
      <c r="C374" s="272"/>
      <c r="D374" s="272"/>
      <c r="E374" s="272"/>
      <c r="F374" s="272"/>
      <c r="G374" s="272"/>
      <c r="H374" s="272"/>
      <c r="I374" s="248">
        <f>data!CE86</f>
        <v>2444828</v>
      </c>
    </row>
    <row r="375" spans="1:9" ht="20.149999999999999" customHeight="1" x14ac:dyDescent="0.35">
      <c r="A375" s="240">
        <v>18</v>
      </c>
      <c r="B375" s="248" t="s">
        <v>1000</v>
      </c>
      <c r="C375" s="248"/>
      <c r="D375" s="248"/>
      <c r="E375" s="248"/>
      <c r="F375" s="248"/>
      <c r="G375" s="248"/>
      <c r="H375" s="248"/>
      <c r="I375" s="248"/>
    </row>
    <row r="376" spans="1:9" ht="20.149999999999999" customHeight="1" x14ac:dyDescent="0.35">
      <c r="A376" s="240">
        <v>19</v>
      </c>
      <c r="B376" s="256" t="s">
        <v>1001</v>
      </c>
      <c r="C376" s="263" t="str">
        <f>IF(data!CB73&gt;0,data!CB73,"")</f>
        <v/>
      </c>
      <c r="D376" s="263" t="str">
        <f>IF(data!CC73&gt;0,data!CC73,"")</f>
        <v/>
      </c>
      <c r="E376" s="258"/>
      <c r="F376" s="258"/>
      <c r="G376" s="258"/>
      <c r="H376" s="258"/>
      <c r="I376" s="264">
        <f>data!CE87</f>
        <v>69086651.579999998</v>
      </c>
    </row>
    <row r="377" spans="1:9" ht="20.149999999999999" customHeight="1" x14ac:dyDescent="0.35">
      <c r="A377" s="240">
        <v>20</v>
      </c>
      <c r="B377" s="256" t="s">
        <v>1002</v>
      </c>
      <c r="C377" s="263" t="str">
        <f>IF(data!CB74&gt;0,data!CB74,"")</f>
        <v/>
      </c>
      <c r="D377" s="263" t="str">
        <f>IF(data!CC74&gt;0,data!CC74,"")</f>
        <v/>
      </c>
      <c r="E377" s="258"/>
      <c r="F377" s="258"/>
      <c r="G377" s="258"/>
      <c r="H377" s="258"/>
      <c r="I377" s="264">
        <f>data!CE88</f>
        <v>266733237.25</v>
      </c>
    </row>
    <row r="378" spans="1:9" ht="20.149999999999999" customHeight="1" x14ac:dyDescent="0.35">
      <c r="A378" s="240">
        <v>21</v>
      </c>
      <c r="B378" s="256" t="s">
        <v>1003</v>
      </c>
      <c r="C378" s="263" t="str">
        <f>IF(data!CB75&gt;0,data!CB75,"")</f>
        <v/>
      </c>
      <c r="D378" s="263" t="str">
        <f>IF(data!CC75&gt;0,data!CC75,"")</f>
        <v/>
      </c>
      <c r="E378" s="258"/>
      <c r="F378" s="258"/>
      <c r="G378" s="258"/>
      <c r="H378" s="258"/>
      <c r="I378" s="264">
        <f>data!CE89</f>
        <v>335819888.82999998</v>
      </c>
    </row>
    <row r="379" spans="1:9" ht="20.149999999999999" customHeight="1" x14ac:dyDescent="0.35">
      <c r="A379" s="240" t="s">
        <v>1004</v>
      </c>
      <c r="B379" s="248"/>
      <c r="C379" s="258"/>
      <c r="D379" s="258"/>
      <c r="E379" s="258"/>
      <c r="F379" s="258"/>
      <c r="G379" s="258"/>
      <c r="H379" s="258"/>
      <c r="I379" s="258"/>
    </row>
    <row r="380" spans="1:9" ht="20.149999999999999" customHeight="1" x14ac:dyDescent="0.35">
      <c r="A380" s="240">
        <v>22</v>
      </c>
      <c r="B380" s="248" t="s">
        <v>1005</v>
      </c>
      <c r="C380" s="264">
        <f>data!CB90</f>
        <v>0</v>
      </c>
      <c r="D380" s="264">
        <f>data!CC90</f>
        <v>2881</v>
      </c>
      <c r="E380" s="258"/>
      <c r="F380" s="258"/>
      <c r="G380" s="258"/>
      <c r="H380" s="258"/>
      <c r="I380" s="248">
        <f>data!CE90</f>
        <v>227969</v>
      </c>
    </row>
    <row r="381" spans="1:9" ht="20.149999999999999" customHeight="1" x14ac:dyDescent="0.35">
      <c r="A381" s="240">
        <v>23</v>
      </c>
      <c r="B381" s="248" t="s">
        <v>1006</v>
      </c>
      <c r="C381" s="264">
        <f>data!CB91</f>
        <v>0</v>
      </c>
      <c r="D381" s="263" t="str">
        <f>IF(data!CC77&gt;0,data!CC77,"")</f>
        <v/>
      </c>
      <c r="E381" s="258"/>
      <c r="F381" s="258"/>
      <c r="G381" s="258"/>
      <c r="H381" s="258"/>
      <c r="I381" s="248">
        <f>data!CE91</f>
        <v>33431.114391143914</v>
      </c>
    </row>
    <row r="382" spans="1:9" ht="20.149999999999999" customHeight="1" x14ac:dyDescent="0.35">
      <c r="A382" s="240">
        <v>24</v>
      </c>
      <c r="B382" s="248" t="s">
        <v>1007</v>
      </c>
      <c r="C382" s="264">
        <f>data!CB92</f>
        <v>0</v>
      </c>
      <c r="D382" s="263" t="str">
        <f>IF(data!CC78&gt;0,data!CC78,"")</f>
        <v/>
      </c>
      <c r="E382" s="258"/>
      <c r="F382" s="258"/>
      <c r="G382" s="258"/>
      <c r="H382" s="258"/>
      <c r="I382" s="248">
        <f>data!CE92</f>
        <v>0</v>
      </c>
    </row>
    <row r="383" spans="1:9" ht="20.149999999999999" customHeight="1" x14ac:dyDescent="0.35">
      <c r="A383" s="240">
        <v>25</v>
      </c>
      <c r="B383" s="248" t="s">
        <v>1008</v>
      </c>
      <c r="C383" s="264">
        <f>data!CB93</f>
        <v>0</v>
      </c>
      <c r="D383" s="263" t="str">
        <f>IF(data!CC79&gt;0,data!CC79,"")</f>
        <v/>
      </c>
      <c r="E383" s="258"/>
      <c r="F383" s="258"/>
      <c r="G383" s="258"/>
      <c r="H383" s="258"/>
      <c r="I383" s="248">
        <f>data!CE93</f>
        <v>228298</v>
      </c>
    </row>
    <row r="384" spans="1:9" ht="20.149999999999999" customHeight="1" x14ac:dyDescent="0.35">
      <c r="A384" s="240">
        <v>26</v>
      </c>
      <c r="B384" s="248" t="s">
        <v>294</v>
      </c>
      <c r="C384" s="263" t="str">
        <f>IF(data!CB80&gt;0,data!CB80,"")</f>
        <v/>
      </c>
      <c r="D384" s="263" t="str">
        <f>IF(data!CC80&gt;0,data!CC80,"")</f>
        <v/>
      </c>
      <c r="E384" s="270"/>
      <c r="F384" s="258"/>
      <c r="G384" s="258"/>
      <c r="H384" s="258"/>
      <c r="I384" s="255">
        <f>data!CE94</f>
        <v>129.30452536528844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A27A-100B-4CDD-B454-BA3AC76D87B1}">
  <sheetPr syncVertical="1" syncRef="R48" transitionEvaluation="1" transitionEntry="1" codeName="Sheet1">
    <tabColor rgb="FF92D050"/>
    <pageSetUpPr autoPageBreaks="0" fitToPage="1"/>
  </sheetPr>
  <dimension ref="A1:CG716"/>
  <sheetViews>
    <sheetView topLeftCell="R48" zoomScaleNormal="100" workbookViewId="0">
      <selection activeCell="AA64" sqref="AA6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13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87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98" t="s">
        <v>28</v>
      </c>
      <c r="B36" s="299"/>
      <c r="C36" s="300"/>
      <c r="D36" s="299"/>
      <c r="E36" s="299"/>
      <c r="F36" s="299"/>
      <c r="G36" s="301"/>
    </row>
    <row r="37" spans="1:83" x14ac:dyDescent="0.35">
      <c r="A37" s="302" t="s">
        <v>29</v>
      </c>
      <c r="B37" s="303"/>
      <c r="C37" s="304"/>
      <c r="D37" s="305"/>
      <c r="E37" s="305"/>
      <c r="F37" s="305"/>
      <c r="G37" s="306"/>
    </row>
    <row r="38" spans="1:83" x14ac:dyDescent="0.35">
      <c r="A38" s="307" t="s">
        <v>30</v>
      </c>
      <c r="B38" s="303"/>
      <c r="C38" s="304"/>
      <c r="D38" s="305"/>
      <c r="E38" s="305"/>
      <c r="F38" s="305"/>
      <c r="G38" s="306"/>
    </row>
    <row r="39" spans="1:83" x14ac:dyDescent="0.35">
      <c r="A39" s="308" t="s">
        <v>31</v>
      </c>
      <c r="B39" s="305"/>
      <c r="C39" s="304"/>
      <c r="D39" s="305"/>
      <c r="E39" s="305"/>
      <c r="F39" s="305"/>
      <c r="G39" s="306"/>
    </row>
    <row r="40" spans="1:83" x14ac:dyDescent="0.35">
      <c r="A40" s="309" t="s">
        <v>32</v>
      </c>
      <c r="B40" s="310"/>
      <c r="C40" s="311"/>
      <c r="D40" s="310"/>
      <c r="E40" s="310"/>
      <c r="F40" s="310"/>
      <c r="G40" s="312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73">
        <v>18816586</v>
      </c>
      <c r="C47" s="20">
        <v>707429</v>
      </c>
      <c r="D47" s="20"/>
      <c r="E47" s="20">
        <v>1446107</v>
      </c>
      <c r="F47" s="20"/>
      <c r="G47" s="20"/>
      <c r="H47" s="20"/>
      <c r="I47" s="20"/>
      <c r="J47" s="20">
        <v>0</v>
      </c>
      <c r="K47" s="20"/>
      <c r="L47" s="20"/>
      <c r="M47" s="20"/>
      <c r="N47" s="20"/>
      <c r="O47" s="20">
        <v>0</v>
      </c>
      <c r="P47" s="20">
        <v>438044</v>
      </c>
      <c r="Q47" s="20">
        <v>462880</v>
      </c>
      <c r="R47" s="20">
        <v>185176</v>
      </c>
      <c r="S47" s="20">
        <v>0</v>
      </c>
      <c r="T47" s="20"/>
      <c r="U47" s="20">
        <v>768774</v>
      </c>
      <c r="V47" s="20"/>
      <c r="W47" s="20">
        <v>86968</v>
      </c>
      <c r="X47" s="20">
        <v>159514</v>
      </c>
      <c r="Y47" s="20">
        <v>734136</v>
      </c>
      <c r="Z47" s="20"/>
      <c r="AA47" s="20">
        <v>45508</v>
      </c>
      <c r="AB47" s="20">
        <v>581724</v>
      </c>
      <c r="AC47" s="20">
        <v>263760</v>
      </c>
      <c r="AD47" s="20"/>
      <c r="AE47" s="20">
        <v>626038</v>
      </c>
      <c r="AF47" s="20"/>
      <c r="AG47" s="20">
        <v>1023950</v>
      </c>
      <c r="AH47" s="20"/>
      <c r="AI47" s="20"/>
      <c r="AJ47" s="20"/>
      <c r="AK47" s="20"/>
      <c r="AL47" s="20"/>
      <c r="AM47" s="20"/>
      <c r="AN47" s="20"/>
      <c r="AO47" s="20"/>
      <c r="AP47" s="20">
        <v>5647972</v>
      </c>
      <c r="AQ47" s="20"/>
      <c r="AR47" s="20"/>
      <c r="AS47" s="20"/>
      <c r="AT47" s="20"/>
      <c r="AU47" s="20"/>
      <c r="AV47" s="20">
        <v>141599</v>
      </c>
      <c r="AW47" s="20"/>
      <c r="AX47" s="20"/>
      <c r="AY47" s="20">
        <v>376415</v>
      </c>
      <c r="AZ47" s="20"/>
      <c r="BA47" s="20">
        <v>41919</v>
      </c>
      <c r="BB47" s="20"/>
      <c r="BC47" s="20"/>
      <c r="BD47" s="20">
        <v>195084</v>
      </c>
      <c r="BE47" s="20">
        <v>322758</v>
      </c>
      <c r="BF47" s="20">
        <v>655254</v>
      </c>
      <c r="BG47" s="20"/>
      <c r="BH47" s="20">
        <v>0</v>
      </c>
      <c r="BI47" s="20"/>
      <c r="BJ47" s="20">
        <v>210598</v>
      </c>
      <c r="BK47" s="20">
        <v>612699</v>
      </c>
      <c r="BL47" s="20">
        <v>554108</v>
      </c>
      <c r="BM47" s="20"/>
      <c r="BN47" s="20">
        <v>542378</v>
      </c>
      <c r="BO47" s="20">
        <v>52055</v>
      </c>
      <c r="BP47" s="20">
        <v>0</v>
      </c>
      <c r="BQ47" s="20"/>
      <c r="BR47" s="20">
        <v>198583</v>
      </c>
      <c r="BS47" s="20"/>
      <c r="BT47" s="20"/>
      <c r="BU47" s="20"/>
      <c r="BV47" s="20">
        <v>608167</v>
      </c>
      <c r="BW47" s="20">
        <v>58613</v>
      </c>
      <c r="BX47" s="20"/>
      <c r="BY47" s="20">
        <v>465919</v>
      </c>
      <c r="BZ47" s="20"/>
      <c r="CA47" s="20">
        <v>28028</v>
      </c>
      <c r="CB47" s="20"/>
      <c r="CC47" s="20">
        <v>574429</v>
      </c>
      <c r="CD47" s="16"/>
      <c r="CE47" s="28">
        <f>SUM(C47:CC47)</f>
        <v>18816586</v>
      </c>
    </row>
    <row r="48" spans="1:83" x14ac:dyDescent="0.35">
      <c r="A48" s="28" t="s">
        <v>232</v>
      </c>
      <c r="B48" s="273">
        <v>0</v>
      </c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35">
      <c r="A49" s="16" t="s">
        <v>233</v>
      </c>
      <c r="B49" s="28">
        <f>B47+B48</f>
        <v>18816586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16" t="s">
        <v>234</v>
      </c>
      <c r="B51" s="20">
        <v>12671902</v>
      </c>
      <c r="C51" s="20">
        <v>414062</v>
      </c>
      <c r="D51" s="20"/>
      <c r="E51" s="20">
        <v>1223089</v>
      </c>
      <c r="F51" s="20"/>
      <c r="G51" s="20"/>
      <c r="H51" s="20"/>
      <c r="I51" s="20"/>
      <c r="J51" s="20">
        <v>30621</v>
      </c>
      <c r="K51" s="20"/>
      <c r="L51" s="20"/>
      <c r="M51" s="20"/>
      <c r="N51" s="20"/>
      <c r="O51" s="20">
        <v>61930</v>
      </c>
      <c r="P51" s="20">
        <v>417071</v>
      </c>
      <c r="Q51" s="20">
        <v>460379</v>
      </c>
      <c r="R51" s="20">
        <v>19795</v>
      </c>
      <c r="S51" s="20">
        <v>188694</v>
      </c>
      <c r="T51" s="20"/>
      <c r="U51" s="20">
        <v>279061</v>
      </c>
      <c r="V51" s="20"/>
      <c r="W51" s="20">
        <v>135782</v>
      </c>
      <c r="X51" s="20">
        <v>50291</v>
      </c>
      <c r="Y51" s="20">
        <v>444175</v>
      </c>
      <c r="Z51" s="20"/>
      <c r="AA51" s="20">
        <v>43842</v>
      </c>
      <c r="AB51" s="20">
        <v>122118</v>
      </c>
      <c r="AC51" s="20">
        <v>51169</v>
      </c>
      <c r="AD51" s="20"/>
      <c r="AE51" s="20">
        <v>505720</v>
      </c>
      <c r="AF51" s="20"/>
      <c r="AG51" s="20">
        <v>606219</v>
      </c>
      <c r="AH51" s="20"/>
      <c r="AI51" s="20"/>
      <c r="AJ51" s="20"/>
      <c r="AK51" s="20"/>
      <c r="AL51" s="20"/>
      <c r="AM51" s="20"/>
      <c r="AN51" s="20"/>
      <c r="AO51" s="20"/>
      <c r="AP51" s="20">
        <v>2824964</v>
      </c>
      <c r="AQ51" s="20"/>
      <c r="AR51" s="20"/>
      <c r="AS51" s="20"/>
      <c r="AT51" s="20"/>
      <c r="AU51" s="20"/>
      <c r="AV51" s="20">
        <v>17021</v>
      </c>
      <c r="AW51" s="20"/>
      <c r="AX51" s="20"/>
      <c r="AY51" s="20">
        <v>320159</v>
      </c>
      <c r="AZ51" s="20"/>
      <c r="BA51" s="20">
        <v>92797</v>
      </c>
      <c r="BB51" s="20"/>
      <c r="BC51" s="20"/>
      <c r="BD51" s="20">
        <v>216131</v>
      </c>
      <c r="BE51" s="20">
        <v>1007373</v>
      </c>
      <c r="BF51" s="20">
        <v>145789</v>
      </c>
      <c r="BG51" s="20"/>
      <c r="BH51" s="20">
        <v>0</v>
      </c>
      <c r="BI51" s="20"/>
      <c r="BJ51" s="20">
        <v>125874</v>
      </c>
      <c r="BK51" s="20">
        <v>173708</v>
      </c>
      <c r="BL51" s="20">
        <v>122092</v>
      </c>
      <c r="BM51" s="20"/>
      <c r="BN51" s="20">
        <v>341921</v>
      </c>
      <c r="BO51" s="20">
        <v>17741</v>
      </c>
      <c r="BP51" s="20">
        <v>180928</v>
      </c>
      <c r="BQ51" s="20"/>
      <c r="BR51" s="20">
        <v>135250</v>
      </c>
      <c r="BS51" s="20"/>
      <c r="BT51" s="20"/>
      <c r="BU51" s="20"/>
      <c r="BV51" s="20">
        <v>288762</v>
      </c>
      <c r="BW51" s="20">
        <v>64912</v>
      </c>
      <c r="BX51" s="20"/>
      <c r="BY51" s="20">
        <v>109935</v>
      </c>
      <c r="BZ51" s="20"/>
      <c r="CA51" s="20">
        <v>66447</v>
      </c>
      <c r="CB51" s="20"/>
      <c r="CC51" s="20">
        <v>1159422</v>
      </c>
      <c r="CD51" s="16"/>
      <c r="CE51" s="28">
        <f>SUM(C51:CD51)</f>
        <v>12465244</v>
      </c>
    </row>
    <row r="52" spans="1:83" x14ac:dyDescent="0.35">
      <c r="A52" s="35" t="s">
        <v>235</v>
      </c>
      <c r="B52" s="291">
        <v>0</v>
      </c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35">
      <c r="A53" s="16" t="s">
        <v>233</v>
      </c>
      <c r="B53" s="28">
        <f>B51+B52</f>
        <v>12671902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ht="15" customHeight="1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711</v>
      </c>
      <c r="D59" s="20"/>
      <c r="E59" s="20">
        <v>4340</v>
      </c>
      <c r="F59" s="20"/>
      <c r="G59" s="20"/>
      <c r="H59" s="20"/>
      <c r="I59" s="20"/>
      <c r="J59" s="20">
        <v>624</v>
      </c>
      <c r="K59" s="20"/>
      <c r="L59" s="20"/>
      <c r="M59" s="20"/>
      <c r="N59" s="20"/>
      <c r="O59" s="20">
        <v>1126</v>
      </c>
      <c r="P59" s="292">
        <v>143380</v>
      </c>
      <c r="Q59" s="26">
        <v>111131</v>
      </c>
      <c r="R59" s="292">
        <v>143380</v>
      </c>
      <c r="S59" s="274">
        <v>0</v>
      </c>
      <c r="T59" s="274">
        <v>0</v>
      </c>
      <c r="U59" s="27">
        <v>306871.00000000006</v>
      </c>
      <c r="V59" s="26"/>
      <c r="W59" s="26">
        <v>1945</v>
      </c>
      <c r="X59" s="26">
        <v>36639</v>
      </c>
      <c r="Y59" s="292">
        <v>26121</v>
      </c>
      <c r="Z59" s="26"/>
      <c r="AA59" s="26">
        <v>62</v>
      </c>
      <c r="AB59" s="274">
        <v>0</v>
      </c>
      <c r="AC59" s="26">
        <v>4269</v>
      </c>
      <c r="AD59" s="26"/>
      <c r="AE59" s="26">
        <v>19464</v>
      </c>
      <c r="AF59" s="26"/>
      <c r="AG59" s="26">
        <v>17670</v>
      </c>
      <c r="AH59" s="26"/>
      <c r="AI59" s="26"/>
      <c r="AJ59" s="26"/>
      <c r="AK59" s="26"/>
      <c r="AL59" s="26"/>
      <c r="AM59" s="26"/>
      <c r="AN59" s="26"/>
      <c r="AO59" s="26"/>
      <c r="AP59" s="26">
        <v>90556</v>
      </c>
      <c r="AQ59" s="26"/>
      <c r="AR59" s="26"/>
      <c r="AS59" s="26"/>
      <c r="AT59" s="26"/>
      <c r="AU59" s="26"/>
      <c r="AV59" s="274">
        <v>0</v>
      </c>
      <c r="AW59" s="274">
        <v>0</v>
      </c>
      <c r="AX59" s="274">
        <v>0</v>
      </c>
      <c r="AY59" s="26">
        <v>33431.114391143914</v>
      </c>
      <c r="AZ59" s="26"/>
      <c r="BA59" s="274">
        <v>0</v>
      </c>
      <c r="BB59" s="274">
        <v>0</v>
      </c>
      <c r="BC59" s="274">
        <v>0</v>
      </c>
      <c r="BD59" s="274">
        <v>0</v>
      </c>
      <c r="BE59" s="26">
        <v>241487</v>
      </c>
      <c r="BF59" s="274">
        <v>0</v>
      </c>
      <c r="BG59" s="274">
        <v>0</v>
      </c>
      <c r="BH59" s="274">
        <v>0</v>
      </c>
      <c r="BI59" s="274">
        <v>0</v>
      </c>
      <c r="BJ59" s="274">
        <v>0</v>
      </c>
      <c r="BK59" s="274">
        <v>0</v>
      </c>
      <c r="BL59" s="274">
        <v>0</v>
      </c>
      <c r="BM59" s="274">
        <v>0</v>
      </c>
      <c r="BN59" s="274">
        <v>0</v>
      </c>
      <c r="BO59" s="274">
        <v>0</v>
      </c>
      <c r="BP59" s="274">
        <v>0</v>
      </c>
      <c r="BQ59" s="274">
        <v>0</v>
      </c>
      <c r="BR59" s="274">
        <v>0</v>
      </c>
      <c r="BS59" s="274">
        <v>0</v>
      </c>
      <c r="BT59" s="274">
        <v>0</v>
      </c>
      <c r="BU59" s="274">
        <v>0</v>
      </c>
      <c r="BV59" s="274">
        <v>0</v>
      </c>
      <c r="BW59" s="274">
        <v>0</v>
      </c>
      <c r="BX59" s="274">
        <v>0</v>
      </c>
      <c r="BY59" s="274">
        <v>0</v>
      </c>
      <c r="BZ59" s="274">
        <v>0</v>
      </c>
      <c r="CA59" s="274">
        <v>0</v>
      </c>
      <c r="CB59" s="274">
        <v>0</v>
      </c>
      <c r="CC59" s="274">
        <v>0</v>
      </c>
      <c r="CD59" s="233">
        <v>0</v>
      </c>
      <c r="CE59" s="28">
        <v>0</v>
      </c>
    </row>
    <row r="60" spans="1:83" s="210" customFormat="1" ht="15.75" customHeight="1" x14ac:dyDescent="0.35">
      <c r="A60" s="216" t="s">
        <v>262</v>
      </c>
      <c r="B60" s="217"/>
      <c r="C60" s="275">
        <v>21</v>
      </c>
      <c r="D60" s="275"/>
      <c r="E60" s="275">
        <v>46.190289563379118</v>
      </c>
      <c r="F60" s="275"/>
      <c r="G60" s="275"/>
      <c r="H60" s="275"/>
      <c r="I60" s="275"/>
      <c r="J60" s="275">
        <v>0</v>
      </c>
      <c r="K60" s="275"/>
      <c r="L60" s="275"/>
      <c r="M60" s="275"/>
      <c r="N60" s="275"/>
      <c r="O60" s="275">
        <v>0</v>
      </c>
      <c r="P60" s="276">
        <v>15.346290783406591</v>
      </c>
      <c r="Q60" s="276">
        <v>13.75642740521978</v>
      </c>
      <c r="R60" s="276">
        <v>4.200418241758241</v>
      </c>
      <c r="S60" s="277"/>
      <c r="T60" s="277"/>
      <c r="U60" s="278">
        <v>25.229263267170332</v>
      </c>
      <c r="V60" s="276"/>
      <c r="W60" s="276">
        <v>2.0531624271978024</v>
      </c>
      <c r="X60" s="276">
        <v>3.6339177005494507</v>
      </c>
      <c r="Y60" s="276">
        <v>22.359999361263732</v>
      </c>
      <c r="Z60" s="276"/>
      <c r="AA60" s="276">
        <v>0.13052091002747251</v>
      </c>
      <c r="AB60" s="277">
        <v>13.888524671016484</v>
      </c>
      <c r="AC60" s="276">
        <v>7.3841693976648344</v>
      </c>
      <c r="AD60" s="276"/>
      <c r="AE60" s="276">
        <v>20.92620639282967</v>
      </c>
      <c r="AF60" s="276"/>
      <c r="AG60" s="276">
        <v>31.635080711126374</v>
      </c>
      <c r="AH60" s="276"/>
      <c r="AI60" s="276"/>
      <c r="AJ60" s="276"/>
      <c r="AK60" s="276"/>
      <c r="AL60" s="276"/>
      <c r="AM60" s="276"/>
      <c r="AN60" s="276"/>
      <c r="AO60" s="276"/>
      <c r="AP60" s="276">
        <v>159.31309956728023</v>
      </c>
      <c r="AQ60" s="276"/>
      <c r="AR60" s="276"/>
      <c r="AS60" s="276"/>
      <c r="AT60" s="276"/>
      <c r="AU60" s="276"/>
      <c r="AV60" s="277">
        <v>4.5009676057692305</v>
      </c>
      <c r="AW60" s="277"/>
      <c r="AX60" s="277"/>
      <c r="AY60" s="276">
        <v>17.090655161456045</v>
      </c>
      <c r="AZ60" s="276"/>
      <c r="BA60" s="277">
        <v>1.0247097870879123</v>
      </c>
      <c r="BB60" s="277"/>
      <c r="BC60" s="277"/>
      <c r="BD60" s="277">
        <v>7.2392514958791221</v>
      </c>
      <c r="BE60" s="276">
        <v>11.77357475</v>
      </c>
      <c r="BF60" s="277">
        <v>29.672183696428572</v>
      </c>
      <c r="BG60" s="277"/>
      <c r="BH60" s="277"/>
      <c r="BI60" s="277"/>
      <c r="BJ60" s="277">
        <v>6.3559991222527481</v>
      </c>
      <c r="BK60" s="277">
        <v>22.425194930631868</v>
      </c>
      <c r="BL60" s="277">
        <v>23.205958408653846</v>
      </c>
      <c r="BM60" s="277"/>
      <c r="BN60" s="277">
        <v>11.219139061126373</v>
      </c>
      <c r="BO60" s="277">
        <v>1.9649964434065932</v>
      </c>
      <c r="BP60" s="277"/>
      <c r="BQ60" s="277"/>
      <c r="BR60" s="277">
        <v>6.7729531826923086</v>
      </c>
      <c r="BS60" s="277"/>
      <c r="BT60" s="277"/>
      <c r="BU60" s="277"/>
      <c r="BV60" s="277">
        <v>22.169668415137366</v>
      </c>
      <c r="BW60" s="277">
        <v>2.0256898997252746</v>
      </c>
      <c r="BX60" s="277"/>
      <c r="BY60" s="277">
        <v>21.815177200549446</v>
      </c>
      <c r="BZ60" s="277"/>
      <c r="CA60" s="277">
        <v>1.2126852657967035</v>
      </c>
      <c r="CB60" s="277"/>
      <c r="CC60" s="277">
        <v>17.111894063186813</v>
      </c>
      <c r="CD60" s="218" t="s">
        <v>248</v>
      </c>
      <c r="CE60" s="28">
        <f t="shared" ref="CE60:CE68" si="6">SUM(C60:CD60)</f>
        <v>594.62806888967032</v>
      </c>
    </row>
    <row r="61" spans="1:83" x14ac:dyDescent="0.35">
      <c r="A61" s="35" t="s">
        <v>263</v>
      </c>
      <c r="B61" s="16"/>
      <c r="C61" s="20">
        <v>2333543</v>
      </c>
      <c r="D61" s="20"/>
      <c r="E61" s="20">
        <v>4912186.1900000004</v>
      </c>
      <c r="F61" s="20"/>
      <c r="G61" s="20"/>
      <c r="H61" s="20"/>
      <c r="I61" s="20"/>
      <c r="J61" s="20">
        <v>0</v>
      </c>
      <c r="K61" s="20"/>
      <c r="L61" s="20"/>
      <c r="M61" s="20"/>
      <c r="N61" s="20"/>
      <c r="O61" s="20">
        <v>0</v>
      </c>
      <c r="P61" s="26">
        <v>1435145.13</v>
      </c>
      <c r="Q61" s="26">
        <v>1499385.61</v>
      </c>
      <c r="R61" s="26">
        <v>922623.09999999986</v>
      </c>
      <c r="S61" s="279"/>
      <c r="T61" s="279"/>
      <c r="U61" s="27">
        <v>1800483.22</v>
      </c>
      <c r="V61" s="26"/>
      <c r="W61" s="26">
        <v>208163.07999999996</v>
      </c>
      <c r="X61" s="26">
        <v>423130.06000000006</v>
      </c>
      <c r="Y61" s="26">
        <v>1913289.4400000002</v>
      </c>
      <c r="Z61" s="26"/>
      <c r="AA61" s="26">
        <v>16480.009999999998</v>
      </c>
      <c r="AB61" s="280">
        <v>1608147.9999999998</v>
      </c>
      <c r="AC61" s="26">
        <v>715439.17999999993</v>
      </c>
      <c r="AD61" s="26"/>
      <c r="AE61" s="26">
        <v>1731002.1</v>
      </c>
      <c r="AF61" s="26"/>
      <c r="AG61" s="26">
        <v>4105518.49</v>
      </c>
      <c r="AH61" s="26"/>
      <c r="AI61" s="26"/>
      <c r="AJ61" s="26"/>
      <c r="AK61" s="26"/>
      <c r="AL61" s="26"/>
      <c r="AM61" s="26"/>
      <c r="AN61" s="26"/>
      <c r="AO61" s="26"/>
      <c r="AP61" s="26">
        <v>17655396.73</v>
      </c>
      <c r="AQ61" s="26"/>
      <c r="AR61" s="26"/>
      <c r="AS61" s="26"/>
      <c r="AT61" s="26"/>
      <c r="AU61" s="26"/>
      <c r="AV61" s="279">
        <v>372072.87000000005</v>
      </c>
      <c r="AW61" s="279"/>
      <c r="AX61" s="279"/>
      <c r="AY61" s="26">
        <v>854813.09</v>
      </c>
      <c r="AZ61" s="26"/>
      <c r="BA61" s="279">
        <v>51483.609999999993</v>
      </c>
      <c r="BB61" s="279"/>
      <c r="BC61" s="279"/>
      <c r="BD61" s="279">
        <v>495027.31999999995</v>
      </c>
      <c r="BE61" s="26">
        <v>862430.63</v>
      </c>
      <c r="BF61" s="279">
        <v>1447512.07</v>
      </c>
      <c r="BG61" s="279"/>
      <c r="BH61" s="279"/>
      <c r="BI61" s="279"/>
      <c r="BJ61" s="279">
        <v>531935.87999999989</v>
      </c>
      <c r="BK61" s="279">
        <v>1344505.7799999998</v>
      </c>
      <c r="BL61" s="279">
        <v>1170967.01</v>
      </c>
      <c r="BM61" s="279"/>
      <c r="BN61" s="279">
        <v>2230097.59</v>
      </c>
      <c r="BO61" s="279">
        <v>175349.36</v>
      </c>
      <c r="BP61" s="279"/>
      <c r="BQ61" s="279"/>
      <c r="BR61" s="279">
        <v>679043.17</v>
      </c>
      <c r="BS61" s="279"/>
      <c r="BT61" s="279"/>
      <c r="BU61" s="279"/>
      <c r="BV61" s="279">
        <v>1315662.3500000001</v>
      </c>
      <c r="BW61" s="279">
        <v>211391.13</v>
      </c>
      <c r="BX61" s="279"/>
      <c r="BY61" s="279">
        <v>2379239.6100000003</v>
      </c>
      <c r="BZ61" s="279"/>
      <c r="CA61" s="279">
        <v>91627.450000000012</v>
      </c>
      <c r="CB61" s="279"/>
      <c r="CC61" s="279">
        <v>1554031.8699999999</v>
      </c>
      <c r="CD61" s="25" t="s">
        <v>248</v>
      </c>
      <c r="CE61" s="28">
        <f t="shared" si="6"/>
        <v>57047124.130000018</v>
      </c>
    </row>
    <row r="62" spans="1:83" x14ac:dyDescent="0.35">
      <c r="A62" s="35" t="s">
        <v>11</v>
      </c>
      <c r="B62" s="16"/>
      <c r="C62" s="28">
        <f t="shared" ref="C62:AH62" si="7">ROUND(C47+C48,0)</f>
        <v>707429</v>
      </c>
      <c r="D62" s="28">
        <f t="shared" si="7"/>
        <v>0</v>
      </c>
      <c r="E62" s="28">
        <f t="shared" si="7"/>
        <v>1446107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438044</v>
      </c>
      <c r="Q62" s="28">
        <f t="shared" si="7"/>
        <v>462880</v>
      </c>
      <c r="R62" s="28">
        <f t="shared" si="7"/>
        <v>185176</v>
      </c>
      <c r="S62" s="28">
        <f t="shared" si="7"/>
        <v>0</v>
      </c>
      <c r="T62" s="28">
        <f t="shared" si="7"/>
        <v>0</v>
      </c>
      <c r="U62" s="28">
        <f t="shared" si="7"/>
        <v>768774</v>
      </c>
      <c r="V62" s="28">
        <f t="shared" si="7"/>
        <v>0</v>
      </c>
      <c r="W62" s="28">
        <f t="shared" si="7"/>
        <v>86968</v>
      </c>
      <c r="X62" s="28">
        <f t="shared" si="7"/>
        <v>159514</v>
      </c>
      <c r="Y62" s="28">
        <f t="shared" si="7"/>
        <v>734136</v>
      </c>
      <c r="Z62" s="28">
        <f t="shared" si="7"/>
        <v>0</v>
      </c>
      <c r="AA62" s="28">
        <f t="shared" si="7"/>
        <v>45508</v>
      </c>
      <c r="AB62" s="28">
        <f t="shared" si="7"/>
        <v>581724</v>
      </c>
      <c r="AC62" s="28">
        <f t="shared" si="7"/>
        <v>263760</v>
      </c>
      <c r="AD62" s="28">
        <f t="shared" si="7"/>
        <v>0</v>
      </c>
      <c r="AE62" s="28">
        <f t="shared" si="7"/>
        <v>626038</v>
      </c>
      <c r="AF62" s="28">
        <f t="shared" si="7"/>
        <v>0</v>
      </c>
      <c r="AG62" s="28">
        <f t="shared" si="7"/>
        <v>1023950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5647972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141599</v>
      </c>
      <c r="AW62" s="28">
        <f t="shared" si="8"/>
        <v>0</v>
      </c>
      <c r="AX62" s="28">
        <f t="shared" si="8"/>
        <v>0</v>
      </c>
      <c r="AY62" s="28">
        <f t="shared" si="8"/>
        <v>376415</v>
      </c>
      <c r="AZ62" s="28">
        <f t="shared" si="8"/>
        <v>0</v>
      </c>
      <c r="BA62" s="28">
        <f t="shared" si="8"/>
        <v>41919</v>
      </c>
      <c r="BB62" s="28">
        <f t="shared" si="8"/>
        <v>0</v>
      </c>
      <c r="BC62" s="28">
        <f t="shared" si="8"/>
        <v>0</v>
      </c>
      <c r="BD62" s="28">
        <f t="shared" si="8"/>
        <v>195084</v>
      </c>
      <c r="BE62" s="28">
        <f t="shared" si="8"/>
        <v>322758</v>
      </c>
      <c r="BF62" s="28">
        <f t="shared" si="8"/>
        <v>655254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210598</v>
      </c>
      <c r="BK62" s="28">
        <f t="shared" si="8"/>
        <v>612699</v>
      </c>
      <c r="BL62" s="28">
        <f t="shared" si="8"/>
        <v>554108</v>
      </c>
      <c r="BM62" s="28">
        <f t="shared" si="8"/>
        <v>0</v>
      </c>
      <c r="BN62" s="28">
        <f t="shared" si="8"/>
        <v>542378</v>
      </c>
      <c r="BO62" s="28">
        <f t="shared" ref="BO62:CC62" si="9">ROUND(BO47+BO48,0)</f>
        <v>52055</v>
      </c>
      <c r="BP62" s="28">
        <f t="shared" si="9"/>
        <v>0</v>
      </c>
      <c r="BQ62" s="28">
        <f t="shared" si="9"/>
        <v>0</v>
      </c>
      <c r="BR62" s="28">
        <f t="shared" si="9"/>
        <v>198583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608167</v>
      </c>
      <c r="BW62" s="28">
        <f t="shared" si="9"/>
        <v>58613</v>
      </c>
      <c r="BX62" s="28">
        <f t="shared" si="9"/>
        <v>0</v>
      </c>
      <c r="BY62" s="28">
        <f t="shared" si="9"/>
        <v>465919</v>
      </c>
      <c r="BZ62" s="28">
        <f t="shared" si="9"/>
        <v>0</v>
      </c>
      <c r="CA62" s="28">
        <f t="shared" si="9"/>
        <v>28028</v>
      </c>
      <c r="CB62" s="28">
        <f t="shared" si="9"/>
        <v>0</v>
      </c>
      <c r="CC62" s="28">
        <f t="shared" si="9"/>
        <v>574429</v>
      </c>
      <c r="CD62" s="25" t="s">
        <v>248</v>
      </c>
      <c r="CE62" s="28">
        <f t="shared" si="6"/>
        <v>18816586</v>
      </c>
    </row>
    <row r="63" spans="1:83" x14ac:dyDescent="0.35">
      <c r="A63" s="35" t="s">
        <v>264</v>
      </c>
      <c r="B63" s="16"/>
      <c r="C63" s="20">
        <v>443080</v>
      </c>
      <c r="D63" s="20"/>
      <c r="E63" s="20">
        <v>1428584</v>
      </c>
      <c r="F63" s="20"/>
      <c r="G63" s="20"/>
      <c r="H63" s="20"/>
      <c r="I63" s="20"/>
      <c r="J63" s="20">
        <v>0</v>
      </c>
      <c r="K63" s="20"/>
      <c r="L63" s="20"/>
      <c r="M63" s="20"/>
      <c r="N63" s="20"/>
      <c r="O63" s="20">
        <v>7500</v>
      </c>
      <c r="P63" s="26">
        <v>397584.49000000005</v>
      </c>
      <c r="Q63" s="26">
        <v>0</v>
      </c>
      <c r="R63" s="26">
        <v>75712</v>
      </c>
      <c r="S63" s="279"/>
      <c r="T63" s="279"/>
      <c r="U63" s="27">
        <v>541250.82999999996</v>
      </c>
      <c r="V63" s="26"/>
      <c r="W63" s="26">
        <v>0</v>
      </c>
      <c r="X63" s="26">
        <v>0</v>
      </c>
      <c r="Y63" s="26">
        <v>1530</v>
      </c>
      <c r="Z63" s="26"/>
      <c r="AA63" s="26">
        <v>0</v>
      </c>
      <c r="AB63" s="280">
        <v>0</v>
      </c>
      <c r="AC63" s="26">
        <v>294852.5</v>
      </c>
      <c r="AD63" s="26"/>
      <c r="AE63" s="26">
        <v>170574.64</v>
      </c>
      <c r="AF63" s="26"/>
      <c r="AG63" s="26">
        <v>2988005.5399999996</v>
      </c>
      <c r="AH63" s="26"/>
      <c r="AI63" s="26"/>
      <c r="AJ63" s="26"/>
      <c r="AK63" s="26"/>
      <c r="AL63" s="26"/>
      <c r="AM63" s="26"/>
      <c r="AN63" s="26"/>
      <c r="AO63" s="26"/>
      <c r="AP63" s="26">
        <v>1587673.0699999998</v>
      </c>
      <c r="AQ63" s="26"/>
      <c r="AR63" s="26"/>
      <c r="AS63" s="26"/>
      <c r="AT63" s="26"/>
      <c r="AU63" s="26"/>
      <c r="AV63" s="279">
        <v>0</v>
      </c>
      <c r="AW63" s="279"/>
      <c r="AX63" s="279"/>
      <c r="AY63" s="26">
        <v>0</v>
      </c>
      <c r="AZ63" s="26"/>
      <c r="BA63" s="279">
        <v>0</v>
      </c>
      <c r="BB63" s="279"/>
      <c r="BC63" s="279"/>
      <c r="BD63" s="279">
        <v>2545.4299999999998</v>
      </c>
      <c r="BE63" s="26">
        <v>0</v>
      </c>
      <c r="BF63" s="279">
        <v>0</v>
      </c>
      <c r="BG63" s="279"/>
      <c r="BH63" s="279"/>
      <c r="BI63" s="279"/>
      <c r="BJ63" s="279">
        <v>0</v>
      </c>
      <c r="BK63" s="279">
        <v>102504.24999999999</v>
      </c>
      <c r="BL63" s="279">
        <v>0</v>
      </c>
      <c r="BM63" s="279"/>
      <c r="BN63" s="279">
        <v>219301.95</v>
      </c>
      <c r="BO63" s="279">
        <v>0</v>
      </c>
      <c r="BP63" s="279"/>
      <c r="BQ63" s="279"/>
      <c r="BR63" s="279">
        <v>0</v>
      </c>
      <c r="BS63" s="279"/>
      <c r="BT63" s="279"/>
      <c r="BU63" s="279"/>
      <c r="BV63" s="279">
        <v>333177.5</v>
      </c>
      <c r="BW63" s="279">
        <v>0</v>
      </c>
      <c r="BX63" s="279"/>
      <c r="BY63" s="279">
        <v>0</v>
      </c>
      <c r="BZ63" s="279"/>
      <c r="CA63" s="279">
        <v>0</v>
      </c>
      <c r="CB63" s="279"/>
      <c r="CC63" s="279">
        <v>1136567.5900000001</v>
      </c>
      <c r="CD63" s="25" t="s">
        <v>248</v>
      </c>
      <c r="CE63" s="28">
        <f t="shared" si="6"/>
        <v>9730443.7899999991</v>
      </c>
    </row>
    <row r="64" spans="1:83" x14ac:dyDescent="0.35">
      <c r="A64" s="35" t="s">
        <v>265</v>
      </c>
      <c r="B64" s="16"/>
      <c r="C64" s="20">
        <v>228962.95000000004</v>
      </c>
      <c r="D64" s="20"/>
      <c r="E64" s="20">
        <v>332274.61999999994</v>
      </c>
      <c r="F64" s="20"/>
      <c r="G64" s="20"/>
      <c r="H64" s="20"/>
      <c r="I64" s="20"/>
      <c r="J64" s="20">
        <v>43635.28</v>
      </c>
      <c r="K64" s="20"/>
      <c r="L64" s="20"/>
      <c r="M64" s="20"/>
      <c r="N64" s="20"/>
      <c r="O64" s="20">
        <v>108309.39999999998</v>
      </c>
      <c r="P64" s="26">
        <v>887096.88000000012</v>
      </c>
      <c r="Q64" s="26">
        <v>110592</v>
      </c>
      <c r="R64" s="26">
        <v>80247.349999999991</v>
      </c>
      <c r="S64" s="279"/>
      <c r="T64" s="279"/>
      <c r="U64" s="27">
        <v>2059322.1700000002</v>
      </c>
      <c r="V64" s="26"/>
      <c r="W64" s="26">
        <v>22243.599999999999</v>
      </c>
      <c r="X64" s="26">
        <v>171812.88999999998</v>
      </c>
      <c r="Y64" s="26">
        <v>197966.52</v>
      </c>
      <c r="Z64" s="26"/>
      <c r="AA64" s="26">
        <v>10299.879999999999</v>
      </c>
      <c r="AB64" s="280">
        <v>2399391.94</v>
      </c>
      <c r="AC64" s="26">
        <v>104563.24</v>
      </c>
      <c r="AD64" s="26"/>
      <c r="AE64" s="26">
        <v>46843.630000000005</v>
      </c>
      <c r="AF64" s="26"/>
      <c r="AG64" s="26">
        <v>353423.28000000009</v>
      </c>
      <c r="AH64" s="26"/>
      <c r="AI64" s="26"/>
      <c r="AJ64" s="26"/>
      <c r="AK64" s="26"/>
      <c r="AL64" s="26"/>
      <c r="AM64" s="26"/>
      <c r="AN64" s="26"/>
      <c r="AO64" s="26"/>
      <c r="AP64" s="26">
        <v>1128107.4000000001</v>
      </c>
      <c r="AQ64" s="26"/>
      <c r="AR64" s="26"/>
      <c r="AS64" s="26"/>
      <c r="AT64" s="26"/>
      <c r="AU64" s="26"/>
      <c r="AV64" s="279">
        <v>8538.0499999999975</v>
      </c>
      <c r="AW64" s="279"/>
      <c r="AX64" s="279"/>
      <c r="AY64" s="26">
        <v>777344.77999999991</v>
      </c>
      <c r="AZ64" s="26"/>
      <c r="BA64" s="279">
        <v>24905.52</v>
      </c>
      <c r="BB64" s="279"/>
      <c r="BC64" s="279"/>
      <c r="BD64" s="279">
        <v>106892.28</v>
      </c>
      <c r="BE64" s="26">
        <v>80818.13</v>
      </c>
      <c r="BF64" s="279">
        <v>217290.98</v>
      </c>
      <c r="BG64" s="279"/>
      <c r="BH64" s="279"/>
      <c r="BI64" s="279"/>
      <c r="BJ64" s="279">
        <v>4467.55</v>
      </c>
      <c r="BK64" s="279">
        <v>18315.079999999998</v>
      </c>
      <c r="BL64" s="279">
        <v>20616.47</v>
      </c>
      <c r="BM64" s="279"/>
      <c r="BN64" s="279">
        <v>38971.589999999997</v>
      </c>
      <c r="BO64" s="279">
        <v>12493.18</v>
      </c>
      <c r="BP64" s="279"/>
      <c r="BQ64" s="279"/>
      <c r="BR64" s="279">
        <v>21679.93</v>
      </c>
      <c r="BS64" s="279"/>
      <c r="BT64" s="279"/>
      <c r="BU64" s="279"/>
      <c r="BV64" s="279">
        <v>667.07999999999959</v>
      </c>
      <c r="BW64" s="279">
        <v>3294.75</v>
      </c>
      <c r="BX64" s="279"/>
      <c r="BY64" s="279">
        <v>6888.38</v>
      </c>
      <c r="BZ64" s="279"/>
      <c r="CA64" s="279">
        <v>8032.0200000000013</v>
      </c>
      <c r="CB64" s="279"/>
      <c r="CC64" s="279">
        <v>182137.2</v>
      </c>
      <c r="CD64" s="25" t="s">
        <v>248</v>
      </c>
      <c r="CE64" s="28">
        <f t="shared" si="6"/>
        <v>9818446.0000000019</v>
      </c>
    </row>
    <row r="65" spans="1:84" x14ac:dyDescent="0.35">
      <c r="A65" s="35" t="s">
        <v>266</v>
      </c>
      <c r="B65" s="16"/>
      <c r="C65" s="20">
        <v>615.67999999999995</v>
      </c>
      <c r="D65" s="20"/>
      <c r="E65" s="20">
        <v>1396.6399999999996</v>
      </c>
      <c r="F65" s="20"/>
      <c r="G65" s="20"/>
      <c r="H65" s="20"/>
      <c r="I65" s="20"/>
      <c r="J65" s="20">
        <v>0</v>
      </c>
      <c r="K65" s="20"/>
      <c r="L65" s="20"/>
      <c r="M65" s="20"/>
      <c r="N65" s="20"/>
      <c r="O65" s="20">
        <v>564.36</v>
      </c>
      <c r="P65" s="26">
        <v>630.6</v>
      </c>
      <c r="Q65" s="26">
        <v>0</v>
      </c>
      <c r="R65" s="26">
        <v>102.69</v>
      </c>
      <c r="S65" s="279"/>
      <c r="T65" s="279"/>
      <c r="U65" s="27">
        <v>125.83</v>
      </c>
      <c r="V65" s="26"/>
      <c r="W65" s="26">
        <v>0</v>
      </c>
      <c r="X65" s="26">
        <v>0</v>
      </c>
      <c r="Y65" s="26">
        <v>256.45000000000005</v>
      </c>
      <c r="Z65" s="26"/>
      <c r="AA65" s="26">
        <v>0</v>
      </c>
      <c r="AB65" s="280">
        <v>0</v>
      </c>
      <c r="AC65" s="26">
        <v>0</v>
      </c>
      <c r="AD65" s="26"/>
      <c r="AE65" s="26">
        <v>0</v>
      </c>
      <c r="AF65" s="26"/>
      <c r="AG65" s="26">
        <v>480.11999999999995</v>
      </c>
      <c r="AH65" s="26"/>
      <c r="AI65" s="26"/>
      <c r="AJ65" s="26"/>
      <c r="AK65" s="26"/>
      <c r="AL65" s="26"/>
      <c r="AM65" s="26"/>
      <c r="AN65" s="26"/>
      <c r="AO65" s="26"/>
      <c r="AP65" s="26">
        <v>21424.32</v>
      </c>
      <c r="AQ65" s="26"/>
      <c r="AR65" s="26"/>
      <c r="AS65" s="26"/>
      <c r="AT65" s="26"/>
      <c r="AU65" s="26"/>
      <c r="AV65" s="279">
        <v>0</v>
      </c>
      <c r="AW65" s="279"/>
      <c r="AX65" s="279"/>
      <c r="AY65" s="26">
        <v>0</v>
      </c>
      <c r="AZ65" s="26"/>
      <c r="BA65" s="279">
        <v>0</v>
      </c>
      <c r="BB65" s="279"/>
      <c r="BC65" s="279"/>
      <c r="BD65" s="279">
        <v>3062.8800000000006</v>
      </c>
      <c r="BE65" s="26">
        <v>771044.92999999993</v>
      </c>
      <c r="BF65" s="279">
        <v>179680.90000000002</v>
      </c>
      <c r="BG65" s="279"/>
      <c r="BH65" s="279"/>
      <c r="BI65" s="279"/>
      <c r="BJ65" s="279">
        <v>1056.01</v>
      </c>
      <c r="BK65" s="279">
        <v>670.24</v>
      </c>
      <c r="BL65" s="279">
        <v>0</v>
      </c>
      <c r="BM65" s="279"/>
      <c r="BN65" s="279">
        <v>1079.29</v>
      </c>
      <c r="BO65" s="279">
        <v>1048.5</v>
      </c>
      <c r="BP65" s="279"/>
      <c r="BQ65" s="279"/>
      <c r="BR65" s="279">
        <v>1052.08</v>
      </c>
      <c r="BS65" s="279"/>
      <c r="BT65" s="279"/>
      <c r="BU65" s="279"/>
      <c r="BV65" s="279">
        <v>386.39999999999992</v>
      </c>
      <c r="BW65" s="279">
        <v>0</v>
      </c>
      <c r="BX65" s="279"/>
      <c r="BY65" s="279">
        <v>4702.72</v>
      </c>
      <c r="BZ65" s="279"/>
      <c r="CA65" s="279">
        <v>0</v>
      </c>
      <c r="CB65" s="279"/>
      <c r="CC65" s="279">
        <v>3965.5199999999995</v>
      </c>
      <c r="CD65" s="25" t="s">
        <v>248</v>
      </c>
      <c r="CE65" s="28">
        <f t="shared" si="6"/>
        <v>993346.15999999992</v>
      </c>
    </row>
    <row r="66" spans="1:84" x14ac:dyDescent="0.35">
      <c r="A66" s="35" t="s">
        <v>267</v>
      </c>
      <c r="B66" s="16"/>
      <c r="C66" s="20">
        <v>23413.86</v>
      </c>
      <c r="D66" s="20"/>
      <c r="E66" s="20">
        <v>15435.75</v>
      </c>
      <c r="F66" s="20"/>
      <c r="G66" s="20"/>
      <c r="H66" s="20"/>
      <c r="I66" s="20"/>
      <c r="J66" s="20">
        <v>721.91000000000008</v>
      </c>
      <c r="K66" s="20"/>
      <c r="L66" s="20"/>
      <c r="M66" s="20"/>
      <c r="N66" s="20"/>
      <c r="O66" s="20">
        <v>8095.170000000001</v>
      </c>
      <c r="P66" s="26">
        <v>329908.09999999992</v>
      </c>
      <c r="Q66" s="26">
        <v>1550.07</v>
      </c>
      <c r="R66" s="26">
        <v>53194.36</v>
      </c>
      <c r="S66" s="279"/>
      <c r="T66" s="279"/>
      <c r="U66" s="27">
        <v>1386259.23</v>
      </c>
      <c r="V66" s="26"/>
      <c r="W66" s="26">
        <v>11270.28</v>
      </c>
      <c r="X66" s="26">
        <v>138544.92999999996</v>
      </c>
      <c r="Y66" s="26">
        <v>841366.05999999994</v>
      </c>
      <c r="Z66" s="26"/>
      <c r="AA66" s="26">
        <v>57524.969999999994</v>
      </c>
      <c r="AB66" s="280">
        <v>346920.72000000009</v>
      </c>
      <c r="AC66" s="26">
        <v>62882.7</v>
      </c>
      <c r="AD66" s="26"/>
      <c r="AE66" s="26">
        <v>9393.43</v>
      </c>
      <c r="AF66" s="26"/>
      <c r="AG66" s="26">
        <v>453937.41000000003</v>
      </c>
      <c r="AH66" s="26"/>
      <c r="AI66" s="26"/>
      <c r="AJ66" s="26"/>
      <c r="AK66" s="26"/>
      <c r="AL66" s="26"/>
      <c r="AM66" s="26"/>
      <c r="AN66" s="26"/>
      <c r="AO66" s="26"/>
      <c r="AP66" s="26">
        <v>281662.35000000003</v>
      </c>
      <c r="AQ66" s="26"/>
      <c r="AR66" s="26"/>
      <c r="AS66" s="26"/>
      <c r="AT66" s="26"/>
      <c r="AU66" s="26"/>
      <c r="AV66" s="279">
        <v>3066</v>
      </c>
      <c r="AW66" s="279"/>
      <c r="AX66" s="279"/>
      <c r="AY66" s="26">
        <v>47904.91</v>
      </c>
      <c r="AZ66" s="26"/>
      <c r="BA66" s="279">
        <v>165180.48000000001</v>
      </c>
      <c r="BB66" s="279"/>
      <c r="BC66" s="279"/>
      <c r="BD66" s="279">
        <v>40173.99</v>
      </c>
      <c r="BE66" s="26">
        <v>837186.82</v>
      </c>
      <c r="BF66" s="279">
        <v>151888.18</v>
      </c>
      <c r="BG66" s="279"/>
      <c r="BH66" s="279"/>
      <c r="BI66" s="279"/>
      <c r="BJ66" s="279">
        <v>5217.0599999999977</v>
      </c>
      <c r="BK66" s="279">
        <v>408345.52999999997</v>
      </c>
      <c r="BL66" s="279">
        <v>15877.990000000002</v>
      </c>
      <c r="BM66" s="279"/>
      <c r="BN66" s="279">
        <v>729209.49999999988</v>
      </c>
      <c r="BO66" s="279">
        <v>22856.2</v>
      </c>
      <c r="BP66" s="279"/>
      <c r="BQ66" s="279"/>
      <c r="BR66" s="279">
        <v>116035.51</v>
      </c>
      <c r="BS66" s="279"/>
      <c r="BT66" s="279"/>
      <c r="BU66" s="279"/>
      <c r="BV66" s="279">
        <v>0</v>
      </c>
      <c r="BW66" s="279">
        <v>31896.18</v>
      </c>
      <c r="BX66" s="279"/>
      <c r="BY66" s="279">
        <v>363659.02</v>
      </c>
      <c r="BZ66" s="279"/>
      <c r="CA66" s="279">
        <v>53933.99</v>
      </c>
      <c r="CB66" s="279"/>
      <c r="CC66" s="279">
        <v>1045653.53</v>
      </c>
      <c r="CD66" s="25" t="s">
        <v>248</v>
      </c>
      <c r="CE66" s="28">
        <f t="shared" si="6"/>
        <v>8060166.1900000023</v>
      </c>
    </row>
    <row r="67" spans="1:84" x14ac:dyDescent="0.35">
      <c r="A67" s="35" t="s">
        <v>16</v>
      </c>
      <c r="B67" s="16"/>
      <c r="C67" s="28">
        <f t="shared" ref="C67:AH67" si="10">ROUND(C51+C52,0)</f>
        <v>414062</v>
      </c>
      <c r="D67" s="28">
        <f t="shared" si="10"/>
        <v>0</v>
      </c>
      <c r="E67" s="28">
        <f t="shared" si="10"/>
        <v>1223089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30621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61930</v>
      </c>
      <c r="P67" s="28">
        <f t="shared" si="10"/>
        <v>417071</v>
      </c>
      <c r="Q67" s="28">
        <f t="shared" si="10"/>
        <v>460379</v>
      </c>
      <c r="R67" s="28">
        <f t="shared" si="10"/>
        <v>19795</v>
      </c>
      <c r="S67" s="28">
        <f t="shared" si="10"/>
        <v>188694</v>
      </c>
      <c r="T67" s="28">
        <f t="shared" si="10"/>
        <v>0</v>
      </c>
      <c r="U67" s="28">
        <f t="shared" si="10"/>
        <v>279061</v>
      </c>
      <c r="V67" s="28">
        <f t="shared" si="10"/>
        <v>0</v>
      </c>
      <c r="W67" s="28">
        <f t="shared" si="10"/>
        <v>135782</v>
      </c>
      <c r="X67" s="28">
        <f t="shared" si="10"/>
        <v>50291</v>
      </c>
      <c r="Y67" s="28">
        <f t="shared" si="10"/>
        <v>444175</v>
      </c>
      <c r="Z67" s="28">
        <f t="shared" si="10"/>
        <v>0</v>
      </c>
      <c r="AA67" s="28">
        <f t="shared" si="10"/>
        <v>43842</v>
      </c>
      <c r="AB67" s="28">
        <f t="shared" si="10"/>
        <v>122118</v>
      </c>
      <c r="AC67" s="28">
        <f t="shared" si="10"/>
        <v>51169</v>
      </c>
      <c r="AD67" s="28">
        <f t="shared" si="10"/>
        <v>0</v>
      </c>
      <c r="AE67" s="28">
        <f t="shared" si="10"/>
        <v>505720</v>
      </c>
      <c r="AF67" s="28">
        <f t="shared" si="10"/>
        <v>0</v>
      </c>
      <c r="AG67" s="28">
        <f t="shared" si="10"/>
        <v>606219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2824964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17021</v>
      </c>
      <c r="AW67" s="28">
        <f t="shared" si="11"/>
        <v>0</v>
      </c>
      <c r="AX67" s="28">
        <f t="shared" si="11"/>
        <v>0</v>
      </c>
      <c r="AY67" s="28">
        <f t="shared" si="11"/>
        <v>320159</v>
      </c>
      <c r="AZ67" s="28">
        <f t="shared" si="11"/>
        <v>0</v>
      </c>
      <c r="BA67" s="28">
        <f t="shared" si="11"/>
        <v>92797</v>
      </c>
      <c r="BB67" s="28">
        <f t="shared" si="11"/>
        <v>0</v>
      </c>
      <c r="BC67" s="28">
        <f t="shared" si="11"/>
        <v>0</v>
      </c>
      <c r="BD67" s="28">
        <f t="shared" si="11"/>
        <v>216131</v>
      </c>
      <c r="BE67" s="28">
        <f t="shared" si="11"/>
        <v>1007373</v>
      </c>
      <c r="BF67" s="28">
        <f t="shared" si="11"/>
        <v>145789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125874</v>
      </c>
      <c r="BK67" s="28">
        <f t="shared" si="11"/>
        <v>173708</v>
      </c>
      <c r="BL67" s="28">
        <f t="shared" si="11"/>
        <v>122092</v>
      </c>
      <c r="BM67" s="28">
        <f t="shared" si="11"/>
        <v>0</v>
      </c>
      <c r="BN67" s="28">
        <f t="shared" si="11"/>
        <v>341921</v>
      </c>
      <c r="BO67" s="28">
        <f t="shared" ref="BO67:CC67" si="12">ROUND(BO51+BO52,0)</f>
        <v>17741</v>
      </c>
      <c r="BP67" s="28">
        <f t="shared" si="12"/>
        <v>180928</v>
      </c>
      <c r="BQ67" s="28">
        <f t="shared" si="12"/>
        <v>0</v>
      </c>
      <c r="BR67" s="28">
        <f t="shared" si="12"/>
        <v>135250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288762</v>
      </c>
      <c r="BW67" s="28">
        <f t="shared" si="12"/>
        <v>64912</v>
      </c>
      <c r="BX67" s="28">
        <f t="shared" si="12"/>
        <v>0</v>
      </c>
      <c r="BY67" s="28">
        <f t="shared" si="12"/>
        <v>109935</v>
      </c>
      <c r="BZ67" s="28">
        <f t="shared" si="12"/>
        <v>0</v>
      </c>
      <c r="CA67" s="28">
        <f t="shared" si="12"/>
        <v>66447</v>
      </c>
      <c r="CB67" s="28">
        <f t="shared" si="12"/>
        <v>0</v>
      </c>
      <c r="CC67" s="28">
        <f t="shared" si="12"/>
        <v>1159422</v>
      </c>
      <c r="CD67" s="25" t="s">
        <v>248</v>
      </c>
      <c r="CE67" s="28">
        <f t="shared" si="6"/>
        <v>12465244</v>
      </c>
    </row>
    <row r="68" spans="1:84" x14ac:dyDescent="0.35">
      <c r="A68" s="35" t="s">
        <v>268</v>
      </c>
      <c r="B68" s="28"/>
      <c r="C68" s="20">
        <v>13.6</v>
      </c>
      <c r="D68" s="20"/>
      <c r="E68" s="20">
        <v>950.02</v>
      </c>
      <c r="F68" s="20"/>
      <c r="G68" s="20"/>
      <c r="H68" s="20"/>
      <c r="I68" s="20"/>
      <c r="J68" s="20">
        <v>0</v>
      </c>
      <c r="K68" s="20"/>
      <c r="L68" s="20"/>
      <c r="M68" s="20"/>
      <c r="N68" s="20"/>
      <c r="O68" s="20">
        <v>0</v>
      </c>
      <c r="P68" s="26">
        <v>50618.33</v>
      </c>
      <c r="Q68" s="26">
        <v>100.59</v>
      </c>
      <c r="R68" s="26">
        <v>942.9899999999999</v>
      </c>
      <c r="S68" s="279"/>
      <c r="T68" s="279"/>
      <c r="U68" s="27">
        <v>69.459999999999994</v>
      </c>
      <c r="V68" s="26"/>
      <c r="W68" s="26">
        <v>0</v>
      </c>
      <c r="X68" s="26">
        <v>0</v>
      </c>
      <c r="Y68" s="26">
        <v>621.33000000000004</v>
      </c>
      <c r="Z68" s="26"/>
      <c r="AA68" s="26">
        <v>0</v>
      </c>
      <c r="AB68" s="280">
        <v>0</v>
      </c>
      <c r="AC68" s="26">
        <v>13127.39</v>
      </c>
      <c r="AD68" s="26"/>
      <c r="AE68" s="26">
        <v>36.99</v>
      </c>
      <c r="AF68" s="26"/>
      <c r="AG68" s="26">
        <v>159.77000000000001</v>
      </c>
      <c r="AH68" s="26"/>
      <c r="AI68" s="26"/>
      <c r="AJ68" s="26"/>
      <c r="AK68" s="26"/>
      <c r="AL68" s="26"/>
      <c r="AM68" s="26"/>
      <c r="AN68" s="26"/>
      <c r="AO68" s="26"/>
      <c r="AP68" s="26">
        <v>43293.68</v>
      </c>
      <c r="AQ68" s="26"/>
      <c r="AR68" s="26"/>
      <c r="AS68" s="26"/>
      <c r="AT68" s="26"/>
      <c r="AU68" s="26"/>
      <c r="AV68" s="279">
        <v>0</v>
      </c>
      <c r="AW68" s="279"/>
      <c r="AX68" s="279"/>
      <c r="AY68" s="26">
        <v>0</v>
      </c>
      <c r="AZ68" s="26"/>
      <c r="BA68" s="279">
        <v>0</v>
      </c>
      <c r="BB68" s="279"/>
      <c r="BC68" s="279"/>
      <c r="BD68" s="279">
        <v>25397.74</v>
      </c>
      <c r="BE68" s="26">
        <v>3114.1199999999953</v>
      </c>
      <c r="BF68" s="279">
        <v>0</v>
      </c>
      <c r="BG68" s="279"/>
      <c r="BH68" s="279"/>
      <c r="BI68" s="279"/>
      <c r="BJ68" s="279">
        <v>0</v>
      </c>
      <c r="BK68" s="279">
        <v>0</v>
      </c>
      <c r="BL68" s="279">
        <v>0</v>
      </c>
      <c r="BM68" s="279"/>
      <c r="BN68" s="279">
        <v>0</v>
      </c>
      <c r="BO68" s="279">
        <v>0</v>
      </c>
      <c r="BP68" s="279"/>
      <c r="BQ68" s="279"/>
      <c r="BR68" s="279">
        <v>16310</v>
      </c>
      <c r="BS68" s="279"/>
      <c r="BT68" s="279"/>
      <c r="BU68" s="279"/>
      <c r="BV68" s="279">
        <v>0</v>
      </c>
      <c r="BW68" s="279">
        <v>779.84999999999991</v>
      </c>
      <c r="BX68" s="279"/>
      <c r="BY68" s="279">
        <v>0</v>
      </c>
      <c r="BZ68" s="279"/>
      <c r="CA68" s="279">
        <v>-1.8189999999999998E-12</v>
      </c>
      <c r="CB68" s="279"/>
      <c r="CC68" s="279">
        <v>64213.64</v>
      </c>
      <c r="CD68" s="25" t="s">
        <v>248</v>
      </c>
      <c r="CE68" s="28">
        <f t="shared" si="6"/>
        <v>219749.5</v>
      </c>
    </row>
    <row r="69" spans="1:84" x14ac:dyDescent="0.35">
      <c r="A69" s="35" t="s">
        <v>269</v>
      </c>
      <c r="B69" s="16"/>
      <c r="C69" s="28">
        <f t="shared" ref="C69:AH69" si="13">SUM(C70:C83)</f>
        <v>-78</v>
      </c>
      <c r="D69" s="28">
        <f t="shared" si="13"/>
        <v>0</v>
      </c>
      <c r="E69" s="28">
        <f t="shared" si="13"/>
        <v>1376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1742.73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8441.91</v>
      </c>
      <c r="P69" s="28">
        <f t="shared" si="13"/>
        <v>13148.34</v>
      </c>
      <c r="Q69" s="28">
        <f t="shared" si="13"/>
        <v>0</v>
      </c>
      <c r="R69" s="28">
        <f t="shared" si="13"/>
        <v>17730.04</v>
      </c>
      <c r="S69" s="28">
        <f t="shared" si="13"/>
        <v>0</v>
      </c>
      <c r="T69" s="28">
        <f t="shared" si="13"/>
        <v>0</v>
      </c>
      <c r="U69" s="28">
        <f t="shared" si="13"/>
        <v>3034.92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1232.18</v>
      </c>
      <c r="Z69" s="28">
        <f t="shared" si="13"/>
        <v>0</v>
      </c>
      <c r="AA69" s="28">
        <f t="shared" si="13"/>
        <v>0</v>
      </c>
      <c r="AB69" s="28">
        <f t="shared" si="13"/>
        <v>19335.89</v>
      </c>
      <c r="AC69" s="28">
        <f t="shared" si="13"/>
        <v>5043.0200000000004</v>
      </c>
      <c r="AD69" s="28">
        <f t="shared" si="13"/>
        <v>0</v>
      </c>
      <c r="AE69" s="28">
        <f t="shared" si="13"/>
        <v>13788.35</v>
      </c>
      <c r="AF69" s="28">
        <f t="shared" si="13"/>
        <v>0</v>
      </c>
      <c r="AG69" s="28">
        <f t="shared" si="13"/>
        <v>45397.2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461054.57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7868.9799999999987</v>
      </c>
      <c r="AW69" s="28">
        <f t="shared" si="14"/>
        <v>0</v>
      </c>
      <c r="AX69" s="28">
        <f t="shared" si="14"/>
        <v>0</v>
      </c>
      <c r="AY69" s="28">
        <f t="shared" si="14"/>
        <v>13497.19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-64313.790000000008</v>
      </c>
      <c r="BE69" s="28">
        <f t="shared" si="14"/>
        <v>23294.83</v>
      </c>
      <c r="BF69" s="28">
        <f t="shared" si="14"/>
        <v>7762.0400000000009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179594.16000000003</v>
      </c>
      <c r="BK69" s="28">
        <f t="shared" si="14"/>
        <v>2904</v>
      </c>
      <c r="BL69" s="28">
        <f t="shared" si="14"/>
        <v>3400.54</v>
      </c>
      <c r="BM69" s="28">
        <f t="shared" si="14"/>
        <v>0</v>
      </c>
      <c r="BN69" s="28">
        <f t="shared" si="14"/>
        <v>471889.58999999997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295450.65000000002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3954.23</v>
      </c>
      <c r="BW69" s="28">
        <f t="shared" si="15"/>
        <v>45772.12999999999</v>
      </c>
      <c r="BX69" s="28">
        <f t="shared" si="15"/>
        <v>0</v>
      </c>
      <c r="BY69" s="28">
        <f t="shared" si="15"/>
        <v>15509.34</v>
      </c>
      <c r="BZ69" s="28">
        <f t="shared" si="15"/>
        <v>0</v>
      </c>
      <c r="CA69" s="28">
        <f t="shared" si="15"/>
        <v>14946.45</v>
      </c>
      <c r="CB69" s="28">
        <f t="shared" si="15"/>
        <v>0</v>
      </c>
      <c r="CC69" s="28">
        <f t="shared" si="15"/>
        <v>47524.24</v>
      </c>
      <c r="CD69" s="28">
        <f t="shared" si="15"/>
        <v>3790587.9899999998</v>
      </c>
      <c r="CE69" s="28">
        <f>SUM(CE70:CE84)</f>
        <v>16661911.93</v>
      </c>
      <c r="CF69" s="290"/>
    </row>
    <row r="70" spans="1:84" x14ac:dyDescent="0.35">
      <c r="A70" s="29" t="s">
        <v>270</v>
      </c>
      <c r="B70" s="30"/>
      <c r="C70" s="237">
        <v>0</v>
      </c>
      <c r="D70" s="237"/>
      <c r="E70" s="237">
        <v>0</v>
      </c>
      <c r="F70" s="237"/>
      <c r="G70" s="237"/>
      <c r="H70" s="237"/>
      <c r="I70" s="237"/>
      <c r="J70" s="237">
        <v>0</v>
      </c>
      <c r="K70" s="237"/>
      <c r="L70" s="237"/>
      <c r="M70" s="237"/>
      <c r="N70" s="237"/>
      <c r="O70" s="237">
        <v>0</v>
      </c>
      <c r="P70" s="237">
        <v>0</v>
      </c>
      <c r="Q70" s="237">
        <v>0</v>
      </c>
      <c r="R70" s="237">
        <v>0</v>
      </c>
      <c r="S70" s="237"/>
      <c r="T70" s="237"/>
      <c r="U70" s="237">
        <v>0</v>
      </c>
      <c r="V70" s="237"/>
      <c r="W70" s="237">
        <v>0</v>
      </c>
      <c r="X70" s="237">
        <v>0</v>
      </c>
      <c r="Y70" s="237">
        <v>0</v>
      </c>
      <c r="Z70" s="237"/>
      <c r="AA70" s="237">
        <v>0</v>
      </c>
      <c r="AB70" s="237">
        <v>0</v>
      </c>
      <c r="AC70" s="237">
        <v>0</v>
      </c>
      <c r="AD70" s="237"/>
      <c r="AE70" s="237">
        <v>0</v>
      </c>
      <c r="AF70" s="237"/>
      <c r="AG70" s="237">
        <v>0</v>
      </c>
      <c r="AH70" s="237"/>
      <c r="AI70" s="237"/>
      <c r="AJ70" s="237"/>
      <c r="AK70" s="237"/>
      <c r="AL70" s="237"/>
      <c r="AM70" s="237"/>
      <c r="AN70" s="237"/>
      <c r="AO70" s="237"/>
      <c r="AP70" s="237">
        <v>0</v>
      </c>
      <c r="AQ70" s="237"/>
      <c r="AR70" s="237"/>
      <c r="AS70" s="237"/>
      <c r="AT70" s="237"/>
      <c r="AU70" s="237"/>
      <c r="AV70" s="237">
        <v>0</v>
      </c>
      <c r="AW70" s="237"/>
      <c r="AX70" s="237"/>
      <c r="AY70" s="237">
        <v>0</v>
      </c>
      <c r="AZ70" s="237"/>
      <c r="BA70" s="237">
        <v>0</v>
      </c>
      <c r="BB70" s="237"/>
      <c r="BC70" s="237"/>
      <c r="BD70" s="237">
        <v>0</v>
      </c>
      <c r="BE70" s="237">
        <v>0</v>
      </c>
      <c r="BF70" s="237">
        <v>0</v>
      </c>
      <c r="BG70" s="237"/>
      <c r="BH70" s="237"/>
      <c r="BI70" s="237"/>
      <c r="BJ70" s="237">
        <v>0</v>
      </c>
      <c r="BK70" s="237">
        <v>0</v>
      </c>
      <c r="BL70" s="237">
        <v>0</v>
      </c>
      <c r="BM70" s="237"/>
      <c r="BN70" s="237">
        <v>0</v>
      </c>
      <c r="BO70" s="237">
        <v>0</v>
      </c>
      <c r="BP70" s="237"/>
      <c r="BQ70" s="237"/>
      <c r="BR70" s="237">
        <v>0</v>
      </c>
      <c r="BS70" s="237"/>
      <c r="BT70" s="237"/>
      <c r="BU70" s="237"/>
      <c r="BV70" s="237">
        <v>0</v>
      </c>
      <c r="BW70" s="237">
        <v>0</v>
      </c>
      <c r="BX70" s="237"/>
      <c r="BY70" s="237">
        <v>0</v>
      </c>
      <c r="BZ70" s="237"/>
      <c r="CA70" s="237">
        <v>0</v>
      </c>
      <c r="CB70" s="237"/>
      <c r="CC70" s="237">
        <v>0</v>
      </c>
      <c r="CD70" s="237">
        <v>0</v>
      </c>
      <c r="CE70" s="28">
        <f t="shared" ref="CE70:CE85" si="16">SUM(C70:CD70)</f>
        <v>0</v>
      </c>
    </row>
    <row r="71" spans="1:84" x14ac:dyDescent="0.35">
      <c r="A71" s="29" t="s">
        <v>271</v>
      </c>
      <c r="B71" s="30"/>
      <c r="C71" s="237">
        <v>0</v>
      </c>
      <c r="D71" s="237"/>
      <c r="E71" s="237">
        <v>0</v>
      </c>
      <c r="F71" s="237"/>
      <c r="G71" s="237"/>
      <c r="H71" s="237"/>
      <c r="I71" s="237"/>
      <c r="J71" s="237">
        <v>0</v>
      </c>
      <c r="K71" s="237"/>
      <c r="L71" s="237"/>
      <c r="M71" s="237"/>
      <c r="N71" s="237"/>
      <c r="O71" s="237">
        <v>0</v>
      </c>
      <c r="P71" s="237">
        <v>0</v>
      </c>
      <c r="Q71" s="237">
        <v>0</v>
      </c>
      <c r="R71" s="237">
        <v>0</v>
      </c>
      <c r="S71" s="237"/>
      <c r="T71" s="237"/>
      <c r="U71" s="237">
        <v>0</v>
      </c>
      <c r="V71" s="237"/>
      <c r="W71" s="237">
        <v>0</v>
      </c>
      <c r="X71" s="237">
        <v>0</v>
      </c>
      <c r="Y71" s="237">
        <v>0</v>
      </c>
      <c r="Z71" s="237"/>
      <c r="AA71" s="237">
        <v>0</v>
      </c>
      <c r="AB71" s="237">
        <v>0</v>
      </c>
      <c r="AC71" s="237">
        <v>0</v>
      </c>
      <c r="AD71" s="237"/>
      <c r="AE71" s="237">
        <v>0</v>
      </c>
      <c r="AF71" s="237"/>
      <c r="AG71" s="237">
        <v>0</v>
      </c>
      <c r="AH71" s="237"/>
      <c r="AI71" s="237"/>
      <c r="AJ71" s="237"/>
      <c r="AK71" s="237"/>
      <c r="AL71" s="237"/>
      <c r="AM71" s="237"/>
      <c r="AN71" s="237"/>
      <c r="AO71" s="237"/>
      <c r="AP71" s="237">
        <v>0</v>
      </c>
      <c r="AQ71" s="237"/>
      <c r="AR71" s="237"/>
      <c r="AS71" s="237"/>
      <c r="AT71" s="237"/>
      <c r="AU71" s="237"/>
      <c r="AV71" s="237">
        <v>0</v>
      </c>
      <c r="AW71" s="237"/>
      <c r="AX71" s="237"/>
      <c r="AY71" s="237">
        <v>0</v>
      </c>
      <c r="AZ71" s="237"/>
      <c r="BA71" s="237">
        <v>0</v>
      </c>
      <c r="BB71" s="237"/>
      <c r="BC71" s="237"/>
      <c r="BD71" s="237">
        <v>0</v>
      </c>
      <c r="BE71" s="237">
        <v>0</v>
      </c>
      <c r="BF71" s="237">
        <v>0</v>
      </c>
      <c r="BG71" s="237"/>
      <c r="BH71" s="237"/>
      <c r="BI71" s="237"/>
      <c r="BJ71" s="237">
        <v>0</v>
      </c>
      <c r="BK71" s="237">
        <v>0</v>
      </c>
      <c r="BL71" s="237">
        <v>0</v>
      </c>
      <c r="BM71" s="237"/>
      <c r="BN71" s="237">
        <v>0</v>
      </c>
      <c r="BO71" s="237">
        <v>0</v>
      </c>
      <c r="BP71" s="237"/>
      <c r="BQ71" s="237"/>
      <c r="BR71" s="237">
        <v>0</v>
      </c>
      <c r="BS71" s="237"/>
      <c r="BT71" s="237"/>
      <c r="BU71" s="237"/>
      <c r="BV71" s="237">
        <v>0</v>
      </c>
      <c r="BW71" s="237">
        <v>0</v>
      </c>
      <c r="BX71" s="237"/>
      <c r="BY71" s="237">
        <v>0</v>
      </c>
      <c r="BZ71" s="237"/>
      <c r="CA71" s="237">
        <v>0</v>
      </c>
      <c r="CB71" s="237"/>
      <c r="CC71" s="237">
        <v>0</v>
      </c>
      <c r="CD71" s="237">
        <v>0</v>
      </c>
      <c r="CE71" s="28">
        <f t="shared" si="16"/>
        <v>0</v>
      </c>
    </row>
    <row r="72" spans="1:84" x14ac:dyDescent="0.35">
      <c r="A72" s="29" t="s">
        <v>272</v>
      </c>
      <c r="B72" s="30"/>
      <c r="C72" s="237">
        <v>0</v>
      </c>
      <c r="D72" s="237"/>
      <c r="E72" s="237">
        <v>0</v>
      </c>
      <c r="F72" s="237"/>
      <c r="G72" s="237"/>
      <c r="H72" s="237"/>
      <c r="I72" s="237"/>
      <c r="J72" s="237">
        <v>0</v>
      </c>
      <c r="K72" s="237"/>
      <c r="L72" s="237"/>
      <c r="M72" s="237"/>
      <c r="N72" s="237"/>
      <c r="O72" s="237">
        <v>0</v>
      </c>
      <c r="P72" s="237">
        <v>0</v>
      </c>
      <c r="Q72" s="237">
        <v>0</v>
      </c>
      <c r="R72" s="237">
        <v>0</v>
      </c>
      <c r="S72" s="237"/>
      <c r="T72" s="237"/>
      <c r="U72" s="237">
        <v>0</v>
      </c>
      <c r="V72" s="237"/>
      <c r="W72" s="237">
        <v>0</v>
      </c>
      <c r="X72" s="237">
        <v>0</v>
      </c>
      <c r="Y72" s="237">
        <v>0</v>
      </c>
      <c r="Z72" s="237"/>
      <c r="AA72" s="237">
        <v>0</v>
      </c>
      <c r="AB72" s="237">
        <v>0</v>
      </c>
      <c r="AC72" s="237">
        <v>0</v>
      </c>
      <c r="AD72" s="237"/>
      <c r="AE72" s="237">
        <v>0</v>
      </c>
      <c r="AF72" s="237"/>
      <c r="AG72" s="237">
        <v>0</v>
      </c>
      <c r="AH72" s="237"/>
      <c r="AI72" s="237"/>
      <c r="AJ72" s="237"/>
      <c r="AK72" s="237"/>
      <c r="AL72" s="237"/>
      <c r="AM72" s="237"/>
      <c r="AN72" s="237"/>
      <c r="AO72" s="237"/>
      <c r="AP72" s="237">
        <v>0</v>
      </c>
      <c r="AQ72" s="237"/>
      <c r="AR72" s="237"/>
      <c r="AS72" s="237"/>
      <c r="AT72" s="237"/>
      <c r="AU72" s="237"/>
      <c r="AV72" s="237">
        <v>0</v>
      </c>
      <c r="AW72" s="237"/>
      <c r="AX72" s="237"/>
      <c r="AY72" s="237">
        <v>0</v>
      </c>
      <c r="AZ72" s="237"/>
      <c r="BA72" s="237">
        <v>0</v>
      </c>
      <c r="BB72" s="237"/>
      <c r="BC72" s="237"/>
      <c r="BD72" s="237">
        <v>0</v>
      </c>
      <c r="BE72" s="237">
        <v>0</v>
      </c>
      <c r="BF72" s="237">
        <v>0</v>
      </c>
      <c r="BG72" s="237"/>
      <c r="BH72" s="237"/>
      <c r="BI72" s="237"/>
      <c r="BJ72" s="237">
        <v>0</v>
      </c>
      <c r="BK72" s="237">
        <v>0</v>
      </c>
      <c r="BL72" s="237">
        <v>0</v>
      </c>
      <c r="BM72" s="237"/>
      <c r="BN72" s="237">
        <v>0</v>
      </c>
      <c r="BO72" s="237">
        <v>0</v>
      </c>
      <c r="BP72" s="237"/>
      <c r="BQ72" s="237"/>
      <c r="BR72" s="237">
        <v>0</v>
      </c>
      <c r="BS72" s="237"/>
      <c r="BT72" s="237"/>
      <c r="BU72" s="237"/>
      <c r="BV72" s="237">
        <v>0</v>
      </c>
      <c r="BW72" s="237">
        <v>0</v>
      </c>
      <c r="BX72" s="237"/>
      <c r="BY72" s="237">
        <v>0</v>
      </c>
      <c r="BZ72" s="237"/>
      <c r="CA72" s="237">
        <v>0</v>
      </c>
      <c r="CB72" s="237"/>
      <c r="CC72" s="237">
        <v>0</v>
      </c>
      <c r="CD72" s="237">
        <v>0</v>
      </c>
      <c r="CE72" s="28">
        <f t="shared" si="16"/>
        <v>0</v>
      </c>
    </row>
    <row r="73" spans="1:84" x14ac:dyDescent="0.35">
      <c r="A73" s="29" t="s">
        <v>273</v>
      </c>
      <c r="B73" s="30"/>
      <c r="C73" s="237">
        <v>0</v>
      </c>
      <c r="D73" s="237"/>
      <c r="E73" s="237">
        <v>0</v>
      </c>
      <c r="F73" s="237"/>
      <c r="G73" s="237"/>
      <c r="H73" s="237"/>
      <c r="I73" s="237"/>
      <c r="J73" s="237">
        <v>0</v>
      </c>
      <c r="K73" s="237"/>
      <c r="L73" s="237"/>
      <c r="M73" s="237"/>
      <c r="N73" s="237"/>
      <c r="O73" s="237">
        <v>0</v>
      </c>
      <c r="P73" s="237">
        <v>0</v>
      </c>
      <c r="Q73" s="237">
        <v>0</v>
      </c>
      <c r="R73" s="237">
        <v>0</v>
      </c>
      <c r="S73" s="237"/>
      <c r="T73" s="237"/>
      <c r="U73" s="237">
        <v>0</v>
      </c>
      <c r="V73" s="237"/>
      <c r="W73" s="237">
        <v>0</v>
      </c>
      <c r="X73" s="237">
        <v>0</v>
      </c>
      <c r="Y73" s="237">
        <v>0</v>
      </c>
      <c r="Z73" s="237"/>
      <c r="AA73" s="237">
        <v>0</v>
      </c>
      <c r="AB73" s="237">
        <v>0</v>
      </c>
      <c r="AC73" s="237">
        <v>0</v>
      </c>
      <c r="AD73" s="237"/>
      <c r="AE73" s="237">
        <v>0</v>
      </c>
      <c r="AF73" s="237"/>
      <c r="AG73" s="237">
        <v>0</v>
      </c>
      <c r="AH73" s="237"/>
      <c r="AI73" s="237"/>
      <c r="AJ73" s="237"/>
      <c r="AK73" s="237"/>
      <c r="AL73" s="237"/>
      <c r="AM73" s="237"/>
      <c r="AN73" s="237"/>
      <c r="AO73" s="237"/>
      <c r="AP73" s="237">
        <v>0</v>
      </c>
      <c r="AQ73" s="237"/>
      <c r="AR73" s="237"/>
      <c r="AS73" s="237"/>
      <c r="AT73" s="237"/>
      <c r="AU73" s="237"/>
      <c r="AV73" s="237">
        <v>0</v>
      </c>
      <c r="AW73" s="237"/>
      <c r="AX73" s="237"/>
      <c r="AY73" s="237">
        <v>0</v>
      </c>
      <c r="AZ73" s="237"/>
      <c r="BA73" s="237">
        <v>0</v>
      </c>
      <c r="BB73" s="237"/>
      <c r="BC73" s="237"/>
      <c r="BD73" s="237">
        <v>0</v>
      </c>
      <c r="BE73" s="237">
        <v>0</v>
      </c>
      <c r="BF73" s="237">
        <v>0</v>
      </c>
      <c r="BG73" s="237"/>
      <c r="BH73" s="237"/>
      <c r="BI73" s="237"/>
      <c r="BJ73" s="237">
        <v>0</v>
      </c>
      <c r="BK73" s="237">
        <v>0</v>
      </c>
      <c r="BL73" s="237">
        <v>0</v>
      </c>
      <c r="BM73" s="237"/>
      <c r="BN73" s="237">
        <v>0</v>
      </c>
      <c r="BO73" s="237">
        <v>0</v>
      </c>
      <c r="BP73" s="237"/>
      <c r="BQ73" s="237"/>
      <c r="BR73" s="237">
        <v>0</v>
      </c>
      <c r="BS73" s="237"/>
      <c r="BT73" s="237"/>
      <c r="BU73" s="237"/>
      <c r="BV73" s="237">
        <v>0</v>
      </c>
      <c r="BW73" s="237">
        <v>0</v>
      </c>
      <c r="BX73" s="237"/>
      <c r="BY73" s="237">
        <v>0</v>
      </c>
      <c r="BZ73" s="237"/>
      <c r="CA73" s="237">
        <v>0</v>
      </c>
      <c r="CB73" s="237"/>
      <c r="CC73" s="237">
        <v>0</v>
      </c>
      <c r="CD73" s="237">
        <v>0</v>
      </c>
      <c r="CE73" s="28">
        <f t="shared" si="16"/>
        <v>0</v>
      </c>
    </row>
    <row r="74" spans="1:84" x14ac:dyDescent="0.35">
      <c r="A74" s="29" t="s">
        <v>274</v>
      </c>
      <c r="B74" s="30"/>
      <c r="C74" s="237">
        <v>0</v>
      </c>
      <c r="D74" s="237"/>
      <c r="E74" s="237">
        <v>0</v>
      </c>
      <c r="F74" s="237"/>
      <c r="G74" s="237"/>
      <c r="H74" s="237"/>
      <c r="I74" s="237"/>
      <c r="J74" s="237">
        <v>0</v>
      </c>
      <c r="K74" s="237"/>
      <c r="L74" s="237"/>
      <c r="M74" s="237"/>
      <c r="N74" s="237"/>
      <c r="O74" s="237">
        <v>0</v>
      </c>
      <c r="P74" s="237">
        <v>0</v>
      </c>
      <c r="Q74" s="237">
        <v>0</v>
      </c>
      <c r="R74" s="237">
        <v>0</v>
      </c>
      <c r="S74" s="237"/>
      <c r="T74" s="237"/>
      <c r="U74" s="237">
        <v>0</v>
      </c>
      <c r="V74" s="237"/>
      <c r="W74" s="237">
        <v>0</v>
      </c>
      <c r="X74" s="237">
        <v>0</v>
      </c>
      <c r="Y74" s="237">
        <v>0</v>
      </c>
      <c r="Z74" s="237"/>
      <c r="AA74" s="237">
        <v>0</v>
      </c>
      <c r="AB74" s="237">
        <v>0</v>
      </c>
      <c r="AC74" s="237">
        <v>0</v>
      </c>
      <c r="AD74" s="237"/>
      <c r="AE74" s="237">
        <v>0</v>
      </c>
      <c r="AF74" s="237"/>
      <c r="AG74" s="237">
        <v>0</v>
      </c>
      <c r="AH74" s="237"/>
      <c r="AI74" s="237"/>
      <c r="AJ74" s="237"/>
      <c r="AK74" s="237"/>
      <c r="AL74" s="237"/>
      <c r="AM74" s="237"/>
      <c r="AN74" s="237"/>
      <c r="AO74" s="237"/>
      <c r="AP74" s="237">
        <v>0</v>
      </c>
      <c r="AQ74" s="237"/>
      <c r="AR74" s="237"/>
      <c r="AS74" s="237"/>
      <c r="AT74" s="237"/>
      <c r="AU74" s="237"/>
      <c r="AV74" s="237">
        <v>0</v>
      </c>
      <c r="AW74" s="237"/>
      <c r="AX74" s="237"/>
      <c r="AY74" s="237">
        <v>0</v>
      </c>
      <c r="AZ74" s="237"/>
      <c r="BA74" s="237">
        <v>0</v>
      </c>
      <c r="BB74" s="237"/>
      <c r="BC74" s="237"/>
      <c r="BD74" s="237">
        <v>0</v>
      </c>
      <c r="BE74" s="237">
        <v>0</v>
      </c>
      <c r="BF74" s="237">
        <v>0</v>
      </c>
      <c r="BG74" s="237"/>
      <c r="BH74" s="237"/>
      <c r="BI74" s="237"/>
      <c r="BJ74" s="237">
        <v>0</v>
      </c>
      <c r="BK74" s="237">
        <v>0</v>
      </c>
      <c r="BL74" s="237">
        <v>0</v>
      </c>
      <c r="BM74" s="237"/>
      <c r="BN74" s="237">
        <v>0</v>
      </c>
      <c r="BO74" s="237">
        <v>0</v>
      </c>
      <c r="BP74" s="237"/>
      <c r="BQ74" s="237"/>
      <c r="BR74" s="237">
        <v>0</v>
      </c>
      <c r="BS74" s="237"/>
      <c r="BT74" s="237"/>
      <c r="BU74" s="237"/>
      <c r="BV74" s="237">
        <v>0</v>
      </c>
      <c r="BW74" s="237">
        <v>0</v>
      </c>
      <c r="BX74" s="237"/>
      <c r="BY74" s="237">
        <v>0</v>
      </c>
      <c r="BZ74" s="237"/>
      <c r="CA74" s="237">
        <v>0</v>
      </c>
      <c r="CB74" s="237"/>
      <c r="CC74" s="237">
        <v>0</v>
      </c>
      <c r="CD74" s="237">
        <v>0</v>
      </c>
      <c r="CE74" s="28">
        <f t="shared" si="16"/>
        <v>0</v>
      </c>
    </row>
    <row r="75" spans="1:84" x14ac:dyDescent="0.35">
      <c r="A75" s="29" t="s">
        <v>275</v>
      </c>
      <c r="B75" s="30"/>
      <c r="C75" s="237">
        <v>0</v>
      </c>
      <c r="D75" s="237"/>
      <c r="E75" s="237">
        <v>0</v>
      </c>
      <c r="F75" s="237"/>
      <c r="G75" s="237"/>
      <c r="H75" s="237"/>
      <c r="I75" s="237"/>
      <c r="J75" s="237">
        <v>0</v>
      </c>
      <c r="K75" s="237"/>
      <c r="L75" s="237"/>
      <c r="M75" s="237"/>
      <c r="N75" s="237"/>
      <c r="O75" s="237">
        <v>0</v>
      </c>
      <c r="P75" s="237">
        <v>0</v>
      </c>
      <c r="Q75" s="237">
        <v>0</v>
      </c>
      <c r="R75" s="237">
        <v>0</v>
      </c>
      <c r="S75" s="237"/>
      <c r="T75" s="237"/>
      <c r="U75" s="237">
        <v>0</v>
      </c>
      <c r="V75" s="237"/>
      <c r="W75" s="237">
        <v>0</v>
      </c>
      <c r="X75" s="237">
        <v>0</v>
      </c>
      <c r="Y75" s="237">
        <v>0</v>
      </c>
      <c r="Z75" s="237"/>
      <c r="AA75" s="237">
        <v>0</v>
      </c>
      <c r="AB75" s="237">
        <v>0</v>
      </c>
      <c r="AC75" s="237">
        <v>0</v>
      </c>
      <c r="AD75" s="237"/>
      <c r="AE75" s="237">
        <v>0</v>
      </c>
      <c r="AF75" s="237"/>
      <c r="AG75" s="237">
        <v>0</v>
      </c>
      <c r="AH75" s="237"/>
      <c r="AI75" s="237"/>
      <c r="AJ75" s="237"/>
      <c r="AK75" s="237"/>
      <c r="AL75" s="237"/>
      <c r="AM75" s="237"/>
      <c r="AN75" s="237"/>
      <c r="AO75" s="237"/>
      <c r="AP75" s="237">
        <v>0</v>
      </c>
      <c r="AQ75" s="237"/>
      <c r="AR75" s="237"/>
      <c r="AS75" s="237"/>
      <c r="AT75" s="237"/>
      <c r="AU75" s="237"/>
      <c r="AV75" s="237">
        <v>0</v>
      </c>
      <c r="AW75" s="237"/>
      <c r="AX75" s="237"/>
      <c r="AY75" s="237">
        <v>0</v>
      </c>
      <c r="AZ75" s="237"/>
      <c r="BA75" s="237">
        <v>0</v>
      </c>
      <c r="BB75" s="237"/>
      <c r="BC75" s="237"/>
      <c r="BD75" s="237">
        <v>0</v>
      </c>
      <c r="BE75" s="237">
        <v>0</v>
      </c>
      <c r="BF75" s="237">
        <v>0</v>
      </c>
      <c r="BG75" s="237"/>
      <c r="BH75" s="237"/>
      <c r="BI75" s="237"/>
      <c r="BJ75" s="237">
        <v>0</v>
      </c>
      <c r="BK75" s="237">
        <v>0</v>
      </c>
      <c r="BL75" s="237">
        <v>0</v>
      </c>
      <c r="BM75" s="237"/>
      <c r="BN75" s="237">
        <v>0</v>
      </c>
      <c r="BO75" s="237">
        <v>0</v>
      </c>
      <c r="BP75" s="237"/>
      <c r="BQ75" s="237"/>
      <c r="BR75" s="237">
        <v>0</v>
      </c>
      <c r="BS75" s="237"/>
      <c r="BT75" s="237"/>
      <c r="BU75" s="237"/>
      <c r="BV75" s="237">
        <v>0</v>
      </c>
      <c r="BW75" s="237">
        <v>0</v>
      </c>
      <c r="BX75" s="237"/>
      <c r="BY75" s="237">
        <v>0</v>
      </c>
      <c r="BZ75" s="237"/>
      <c r="CA75" s="237">
        <v>0</v>
      </c>
      <c r="CB75" s="237"/>
      <c r="CC75" s="237">
        <v>0</v>
      </c>
      <c r="CD75" s="237">
        <v>0</v>
      </c>
      <c r="CE75" s="28">
        <f t="shared" si="16"/>
        <v>0</v>
      </c>
    </row>
    <row r="76" spans="1:84" x14ac:dyDescent="0.35">
      <c r="A76" s="29" t="s">
        <v>276</v>
      </c>
      <c r="B76" s="212"/>
      <c r="C76" s="237">
        <v>0</v>
      </c>
      <c r="D76" s="237"/>
      <c r="E76" s="237">
        <v>0</v>
      </c>
      <c r="F76" s="237"/>
      <c r="G76" s="237"/>
      <c r="H76" s="237"/>
      <c r="I76" s="237"/>
      <c r="J76" s="237">
        <v>0</v>
      </c>
      <c r="K76" s="237"/>
      <c r="L76" s="237"/>
      <c r="M76" s="237"/>
      <c r="N76" s="237"/>
      <c r="O76" s="237">
        <v>0</v>
      </c>
      <c r="P76" s="237">
        <v>0</v>
      </c>
      <c r="Q76" s="237">
        <v>0</v>
      </c>
      <c r="R76" s="237">
        <v>0</v>
      </c>
      <c r="S76" s="237"/>
      <c r="T76" s="237"/>
      <c r="U76" s="237">
        <v>0</v>
      </c>
      <c r="V76" s="237"/>
      <c r="W76" s="237">
        <v>0</v>
      </c>
      <c r="X76" s="237">
        <v>0</v>
      </c>
      <c r="Y76" s="237">
        <v>0</v>
      </c>
      <c r="Z76" s="237"/>
      <c r="AA76" s="237">
        <v>0</v>
      </c>
      <c r="AB76" s="237">
        <v>0</v>
      </c>
      <c r="AC76" s="237">
        <v>0</v>
      </c>
      <c r="AD76" s="237"/>
      <c r="AE76" s="237">
        <v>0</v>
      </c>
      <c r="AF76" s="237"/>
      <c r="AG76" s="237">
        <v>0</v>
      </c>
      <c r="AH76" s="237"/>
      <c r="AI76" s="237"/>
      <c r="AJ76" s="237"/>
      <c r="AK76" s="237"/>
      <c r="AL76" s="237"/>
      <c r="AM76" s="237"/>
      <c r="AN76" s="237"/>
      <c r="AO76" s="237"/>
      <c r="AP76" s="237">
        <v>0</v>
      </c>
      <c r="AQ76" s="237"/>
      <c r="AR76" s="237"/>
      <c r="AS76" s="237"/>
      <c r="AT76" s="237"/>
      <c r="AU76" s="237"/>
      <c r="AV76" s="237">
        <v>0</v>
      </c>
      <c r="AW76" s="237"/>
      <c r="AX76" s="237"/>
      <c r="AY76" s="237">
        <v>0</v>
      </c>
      <c r="AZ76" s="237"/>
      <c r="BA76" s="237">
        <v>0</v>
      </c>
      <c r="BB76" s="237"/>
      <c r="BC76" s="237"/>
      <c r="BD76" s="237">
        <v>0</v>
      </c>
      <c r="BE76" s="237">
        <v>0</v>
      </c>
      <c r="BF76" s="237">
        <v>0</v>
      </c>
      <c r="BG76" s="237"/>
      <c r="BH76" s="237"/>
      <c r="BI76" s="237"/>
      <c r="BJ76" s="237">
        <v>0</v>
      </c>
      <c r="BK76" s="237">
        <v>0</v>
      </c>
      <c r="BL76" s="237">
        <v>0</v>
      </c>
      <c r="BM76" s="237"/>
      <c r="BN76" s="237">
        <v>0</v>
      </c>
      <c r="BO76" s="237">
        <v>0</v>
      </c>
      <c r="BP76" s="237"/>
      <c r="BQ76" s="237"/>
      <c r="BR76" s="237">
        <v>0</v>
      </c>
      <c r="BS76" s="237"/>
      <c r="BT76" s="237"/>
      <c r="BU76" s="237"/>
      <c r="BV76" s="237">
        <v>0</v>
      </c>
      <c r="BW76" s="237">
        <v>0</v>
      </c>
      <c r="BX76" s="237"/>
      <c r="BY76" s="237">
        <v>0</v>
      </c>
      <c r="BZ76" s="237"/>
      <c r="CA76" s="237">
        <v>0</v>
      </c>
      <c r="CB76" s="237"/>
      <c r="CC76" s="237">
        <v>0</v>
      </c>
      <c r="CD76" s="237">
        <v>0</v>
      </c>
      <c r="CE76" s="28">
        <f t="shared" si="16"/>
        <v>0</v>
      </c>
    </row>
    <row r="77" spans="1:84" x14ac:dyDescent="0.35">
      <c r="A77" s="29" t="s">
        <v>277</v>
      </c>
      <c r="B77" s="30"/>
      <c r="C77" s="237">
        <v>0</v>
      </c>
      <c r="D77" s="237"/>
      <c r="E77" s="237">
        <v>0</v>
      </c>
      <c r="F77" s="237"/>
      <c r="G77" s="237"/>
      <c r="H77" s="237"/>
      <c r="I77" s="237"/>
      <c r="J77" s="237">
        <v>0</v>
      </c>
      <c r="K77" s="237"/>
      <c r="L77" s="237"/>
      <c r="M77" s="237"/>
      <c r="N77" s="237"/>
      <c r="O77" s="237">
        <v>0</v>
      </c>
      <c r="P77" s="237">
        <v>0</v>
      </c>
      <c r="Q77" s="237">
        <v>0</v>
      </c>
      <c r="R77" s="237">
        <v>0</v>
      </c>
      <c r="S77" s="237"/>
      <c r="T77" s="237"/>
      <c r="U77" s="237">
        <v>0</v>
      </c>
      <c r="V77" s="237"/>
      <c r="W77" s="237">
        <v>0</v>
      </c>
      <c r="X77" s="237">
        <v>0</v>
      </c>
      <c r="Y77" s="237">
        <v>0</v>
      </c>
      <c r="Z77" s="237"/>
      <c r="AA77" s="237">
        <v>0</v>
      </c>
      <c r="AB77" s="237">
        <v>0</v>
      </c>
      <c r="AC77" s="237">
        <v>0</v>
      </c>
      <c r="AD77" s="237"/>
      <c r="AE77" s="237">
        <v>0</v>
      </c>
      <c r="AF77" s="237"/>
      <c r="AG77" s="237">
        <v>0</v>
      </c>
      <c r="AH77" s="237"/>
      <c r="AI77" s="237"/>
      <c r="AJ77" s="237"/>
      <c r="AK77" s="237"/>
      <c r="AL77" s="237"/>
      <c r="AM77" s="237"/>
      <c r="AN77" s="237"/>
      <c r="AO77" s="237"/>
      <c r="AP77" s="237">
        <v>0</v>
      </c>
      <c r="AQ77" s="237"/>
      <c r="AR77" s="237"/>
      <c r="AS77" s="237"/>
      <c r="AT77" s="237"/>
      <c r="AU77" s="237"/>
      <c r="AV77" s="237">
        <v>0</v>
      </c>
      <c r="AW77" s="237"/>
      <c r="AX77" s="237"/>
      <c r="AY77" s="237">
        <v>0</v>
      </c>
      <c r="AZ77" s="237"/>
      <c r="BA77" s="237">
        <v>0</v>
      </c>
      <c r="BB77" s="237"/>
      <c r="BC77" s="237"/>
      <c r="BD77" s="237">
        <v>0</v>
      </c>
      <c r="BE77" s="237">
        <v>0</v>
      </c>
      <c r="BF77" s="237">
        <v>0</v>
      </c>
      <c r="BG77" s="237"/>
      <c r="BH77" s="237"/>
      <c r="BI77" s="237"/>
      <c r="BJ77" s="237">
        <v>0</v>
      </c>
      <c r="BK77" s="237">
        <v>0</v>
      </c>
      <c r="BL77" s="237">
        <v>0</v>
      </c>
      <c r="BM77" s="237"/>
      <c r="BN77" s="237">
        <v>0</v>
      </c>
      <c r="BO77" s="237">
        <v>0</v>
      </c>
      <c r="BP77" s="237"/>
      <c r="BQ77" s="237"/>
      <c r="BR77" s="237">
        <v>0</v>
      </c>
      <c r="BS77" s="237"/>
      <c r="BT77" s="237"/>
      <c r="BU77" s="237"/>
      <c r="BV77" s="237">
        <v>0</v>
      </c>
      <c r="BW77" s="237">
        <v>0</v>
      </c>
      <c r="BX77" s="237"/>
      <c r="BY77" s="237">
        <v>0</v>
      </c>
      <c r="BZ77" s="237"/>
      <c r="CA77" s="237">
        <v>0</v>
      </c>
      <c r="CB77" s="237"/>
      <c r="CC77" s="237">
        <v>0</v>
      </c>
      <c r="CD77" s="237">
        <v>0</v>
      </c>
      <c r="CE77" s="28">
        <f t="shared" si="16"/>
        <v>0</v>
      </c>
    </row>
    <row r="78" spans="1:84" x14ac:dyDescent="0.35">
      <c r="A78" s="29" t="s">
        <v>278</v>
      </c>
      <c r="B78" s="16"/>
      <c r="C78" s="237">
        <v>0</v>
      </c>
      <c r="D78" s="237"/>
      <c r="E78" s="237">
        <v>0</v>
      </c>
      <c r="F78" s="237"/>
      <c r="G78" s="237"/>
      <c r="H78" s="237"/>
      <c r="I78" s="237"/>
      <c r="J78" s="237">
        <v>0</v>
      </c>
      <c r="K78" s="237"/>
      <c r="L78" s="237"/>
      <c r="M78" s="237"/>
      <c r="N78" s="237"/>
      <c r="O78" s="237">
        <v>0</v>
      </c>
      <c r="P78" s="237">
        <v>0</v>
      </c>
      <c r="Q78" s="237">
        <v>0</v>
      </c>
      <c r="R78" s="237">
        <v>0</v>
      </c>
      <c r="S78" s="237"/>
      <c r="T78" s="237"/>
      <c r="U78" s="237">
        <v>0</v>
      </c>
      <c r="V78" s="237"/>
      <c r="W78" s="237">
        <v>0</v>
      </c>
      <c r="X78" s="237">
        <v>0</v>
      </c>
      <c r="Y78" s="237">
        <v>0</v>
      </c>
      <c r="Z78" s="237"/>
      <c r="AA78" s="237">
        <v>0</v>
      </c>
      <c r="AB78" s="237">
        <v>0</v>
      </c>
      <c r="AC78" s="237">
        <v>0</v>
      </c>
      <c r="AD78" s="237"/>
      <c r="AE78" s="237">
        <v>0</v>
      </c>
      <c r="AF78" s="237"/>
      <c r="AG78" s="237">
        <v>0</v>
      </c>
      <c r="AH78" s="237"/>
      <c r="AI78" s="237"/>
      <c r="AJ78" s="237"/>
      <c r="AK78" s="237"/>
      <c r="AL78" s="237"/>
      <c r="AM78" s="237"/>
      <c r="AN78" s="237"/>
      <c r="AO78" s="237"/>
      <c r="AP78" s="237">
        <v>0</v>
      </c>
      <c r="AQ78" s="237"/>
      <c r="AR78" s="237"/>
      <c r="AS78" s="237"/>
      <c r="AT78" s="237"/>
      <c r="AU78" s="237"/>
      <c r="AV78" s="237">
        <v>0</v>
      </c>
      <c r="AW78" s="237"/>
      <c r="AX78" s="237"/>
      <c r="AY78" s="237">
        <v>0</v>
      </c>
      <c r="AZ78" s="237"/>
      <c r="BA78" s="237">
        <v>0</v>
      </c>
      <c r="BB78" s="237"/>
      <c r="BC78" s="237"/>
      <c r="BD78" s="237">
        <v>0</v>
      </c>
      <c r="BE78" s="237">
        <v>0</v>
      </c>
      <c r="BF78" s="237">
        <v>0</v>
      </c>
      <c r="BG78" s="237"/>
      <c r="BH78" s="237"/>
      <c r="BI78" s="237"/>
      <c r="BJ78" s="237">
        <v>0</v>
      </c>
      <c r="BK78" s="237">
        <v>0</v>
      </c>
      <c r="BL78" s="237">
        <v>0</v>
      </c>
      <c r="BM78" s="237"/>
      <c r="BN78" s="237">
        <v>0</v>
      </c>
      <c r="BO78" s="237">
        <v>0</v>
      </c>
      <c r="BP78" s="237"/>
      <c r="BQ78" s="237"/>
      <c r="BR78" s="237">
        <v>0</v>
      </c>
      <c r="BS78" s="237"/>
      <c r="BT78" s="237"/>
      <c r="BU78" s="237"/>
      <c r="BV78" s="237">
        <v>0</v>
      </c>
      <c r="BW78" s="237">
        <v>0</v>
      </c>
      <c r="BX78" s="237"/>
      <c r="BY78" s="237">
        <v>0</v>
      </c>
      <c r="BZ78" s="237"/>
      <c r="CA78" s="237">
        <v>0</v>
      </c>
      <c r="CB78" s="237"/>
      <c r="CC78" s="237">
        <v>0</v>
      </c>
      <c r="CD78" s="237">
        <v>0</v>
      </c>
      <c r="CE78" s="28">
        <f t="shared" si="16"/>
        <v>0</v>
      </c>
    </row>
    <row r="79" spans="1:84" x14ac:dyDescent="0.35">
      <c r="A79" s="29" t="s">
        <v>279</v>
      </c>
      <c r="B79" s="16"/>
      <c r="C79" s="237">
        <v>0</v>
      </c>
      <c r="D79" s="237"/>
      <c r="E79" s="237">
        <v>0</v>
      </c>
      <c r="F79" s="237"/>
      <c r="G79" s="237"/>
      <c r="H79" s="237"/>
      <c r="I79" s="237"/>
      <c r="J79" s="237">
        <v>0</v>
      </c>
      <c r="K79" s="237"/>
      <c r="L79" s="237"/>
      <c r="M79" s="237"/>
      <c r="N79" s="237"/>
      <c r="O79" s="237">
        <v>0</v>
      </c>
      <c r="P79" s="237">
        <v>0</v>
      </c>
      <c r="Q79" s="237">
        <v>0</v>
      </c>
      <c r="R79" s="237">
        <v>0</v>
      </c>
      <c r="S79" s="237"/>
      <c r="T79" s="237"/>
      <c r="U79" s="237">
        <v>0</v>
      </c>
      <c r="V79" s="237"/>
      <c r="W79" s="237">
        <v>0</v>
      </c>
      <c r="X79" s="237">
        <v>0</v>
      </c>
      <c r="Y79" s="237">
        <v>0</v>
      </c>
      <c r="Z79" s="237"/>
      <c r="AA79" s="237">
        <v>0</v>
      </c>
      <c r="AB79" s="237">
        <v>0</v>
      </c>
      <c r="AC79" s="237">
        <v>0</v>
      </c>
      <c r="AD79" s="237"/>
      <c r="AE79" s="237">
        <v>0</v>
      </c>
      <c r="AF79" s="237"/>
      <c r="AG79" s="237">
        <v>0</v>
      </c>
      <c r="AH79" s="237"/>
      <c r="AI79" s="237"/>
      <c r="AJ79" s="237"/>
      <c r="AK79" s="237"/>
      <c r="AL79" s="237"/>
      <c r="AM79" s="237"/>
      <c r="AN79" s="237"/>
      <c r="AO79" s="237"/>
      <c r="AP79" s="237">
        <v>0</v>
      </c>
      <c r="AQ79" s="237"/>
      <c r="AR79" s="237"/>
      <c r="AS79" s="237"/>
      <c r="AT79" s="237"/>
      <c r="AU79" s="237"/>
      <c r="AV79" s="237">
        <v>0</v>
      </c>
      <c r="AW79" s="237"/>
      <c r="AX79" s="237"/>
      <c r="AY79" s="237">
        <v>0</v>
      </c>
      <c r="AZ79" s="237"/>
      <c r="BA79" s="237">
        <v>0</v>
      </c>
      <c r="BB79" s="237"/>
      <c r="BC79" s="237"/>
      <c r="BD79" s="237">
        <v>0</v>
      </c>
      <c r="BE79" s="237">
        <v>0</v>
      </c>
      <c r="BF79" s="237">
        <v>0</v>
      </c>
      <c r="BG79" s="237"/>
      <c r="BH79" s="237"/>
      <c r="BI79" s="237"/>
      <c r="BJ79" s="237">
        <v>0</v>
      </c>
      <c r="BK79" s="237">
        <v>0</v>
      </c>
      <c r="BL79" s="237">
        <v>0</v>
      </c>
      <c r="BM79" s="237"/>
      <c r="BN79" s="237">
        <v>0</v>
      </c>
      <c r="BO79" s="237">
        <v>0</v>
      </c>
      <c r="BP79" s="237"/>
      <c r="BQ79" s="237"/>
      <c r="BR79" s="237">
        <v>0</v>
      </c>
      <c r="BS79" s="237"/>
      <c r="BT79" s="237"/>
      <c r="BU79" s="237"/>
      <c r="BV79" s="237">
        <v>0</v>
      </c>
      <c r="BW79" s="237">
        <v>0</v>
      </c>
      <c r="BX79" s="237"/>
      <c r="BY79" s="237">
        <v>0</v>
      </c>
      <c r="BZ79" s="237"/>
      <c r="CA79" s="237">
        <v>0</v>
      </c>
      <c r="CB79" s="237"/>
      <c r="CC79" s="237">
        <v>0</v>
      </c>
      <c r="CD79" s="237">
        <v>0</v>
      </c>
      <c r="CE79" s="28">
        <f t="shared" si="16"/>
        <v>0</v>
      </c>
    </row>
    <row r="80" spans="1:84" x14ac:dyDescent="0.35">
      <c r="A80" s="29" t="s">
        <v>280</v>
      </c>
      <c r="B80" s="16"/>
      <c r="C80" s="237">
        <v>0</v>
      </c>
      <c r="D80" s="237"/>
      <c r="E80" s="237">
        <v>0</v>
      </c>
      <c r="F80" s="237"/>
      <c r="G80" s="237"/>
      <c r="H80" s="237"/>
      <c r="I80" s="237"/>
      <c r="J80" s="237">
        <v>0</v>
      </c>
      <c r="K80" s="237"/>
      <c r="L80" s="237"/>
      <c r="M80" s="237"/>
      <c r="N80" s="237"/>
      <c r="O80" s="237">
        <v>0</v>
      </c>
      <c r="P80" s="237">
        <v>0</v>
      </c>
      <c r="Q80" s="237">
        <v>0</v>
      </c>
      <c r="R80" s="237">
        <v>0</v>
      </c>
      <c r="S80" s="237"/>
      <c r="T80" s="237"/>
      <c r="U80" s="237">
        <v>0</v>
      </c>
      <c r="V80" s="237"/>
      <c r="W80" s="237">
        <v>0</v>
      </c>
      <c r="X80" s="237">
        <v>0</v>
      </c>
      <c r="Y80" s="237">
        <v>0</v>
      </c>
      <c r="Z80" s="237"/>
      <c r="AA80" s="237">
        <v>0</v>
      </c>
      <c r="AB80" s="237">
        <v>0</v>
      </c>
      <c r="AC80" s="237">
        <v>0</v>
      </c>
      <c r="AD80" s="237"/>
      <c r="AE80" s="237">
        <v>0</v>
      </c>
      <c r="AF80" s="237"/>
      <c r="AG80" s="237">
        <v>0</v>
      </c>
      <c r="AH80" s="237"/>
      <c r="AI80" s="237"/>
      <c r="AJ80" s="237"/>
      <c r="AK80" s="237"/>
      <c r="AL80" s="237"/>
      <c r="AM80" s="237"/>
      <c r="AN80" s="237"/>
      <c r="AO80" s="237"/>
      <c r="AP80" s="237">
        <v>0</v>
      </c>
      <c r="AQ80" s="237"/>
      <c r="AR80" s="237"/>
      <c r="AS80" s="237"/>
      <c r="AT80" s="237"/>
      <c r="AU80" s="237"/>
      <c r="AV80" s="237">
        <v>0</v>
      </c>
      <c r="AW80" s="237"/>
      <c r="AX80" s="237"/>
      <c r="AY80" s="237">
        <v>0</v>
      </c>
      <c r="AZ80" s="237"/>
      <c r="BA80" s="237">
        <v>0</v>
      </c>
      <c r="BB80" s="237"/>
      <c r="BC80" s="237"/>
      <c r="BD80" s="237">
        <v>0</v>
      </c>
      <c r="BE80" s="237">
        <v>0</v>
      </c>
      <c r="BF80" s="237">
        <v>0</v>
      </c>
      <c r="BG80" s="237"/>
      <c r="BH80" s="237"/>
      <c r="BI80" s="237"/>
      <c r="BJ80" s="237">
        <v>0</v>
      </c>
      <c r="BK80" s="237">
        <v>0</v>
      </c>
      <c r="BL80" s="237">
        <v>0</v>
      </c>
      <c r="BM80" s="237"/>
      <c r="BN80" s="237">
        <v>0</v>
      </c>
      <c r="BO80" s="237">
        <v>0</v>
      </c>
      <c r="BP80" s="237"/>
      <c r="BQ80" s="237"/>
      <c r="BR80" s="237">
        <v>0</v>
      </c>
      <c r="BS80" s="237"/>
      <c r="BT80" s="237"/>
      <c r="BU80" s="237"/>
      <c r="BV80" s="237">
        <v>0</v>
      </c>
      <c r="BW80" s="237">
        <v>0</v>
      </c>
      <c r="BX80" s="237"/>
      <c r="BY80" s="237">
        <v>0</v>
      </c>
      <c r="BZ80" s="237"/>
      <c r="CA80" s="237">
        <v>0</v>
      </c>
      <c r="CB80" s="237"/>
      <c r="CC80" s="237">
        <v>0</v>
      </c>
      <c r="CD80" s="237">
        <v>0</v>
      </c>
      <c r="CE80" s="28">
        <f t="shared" si="16"/>
        <v>0</v>
      </c>
    </row>
    <row r="81" spans="1:85" x14ac:dyDescent="0.35">
      <c r="A81" s="29" t="s">
        <v>281</v>
      </c>
      <c r="B81" s="16"/>
      <c r="C81" s="237">
        <v>0</v>
      </c>
      <c r="D81" s="237"/>
      <c r="E81" s="237">
        <v>0</v>
      </c>
      <c r="F81" s="237"/>
      <c r="G81" s="237"/>
      <c r="H81" s="237"/>
      <c r="I81" s="237"/>
      <c r="J81" s="237">
        <v>0</v>
      </c>
      <c r="K81" s="237"/>
      <c r="L81" s="237"/>
      <c r="M81" s="237"/>
      <c r="N81" s="237"/>
      <c r="O81" s="237">
        <v>0</v>
      </c>
      <c r="P81" s="237">
        <v>0</v>
      </c>
      <c r="Q81" s="237">
        <v>0</v>
      </c>
      <c r="R81" s="237">
        <v>0</v>
      </c>
      <c r="S81" s="237"/>
      <c r="T81" s="237"/>
      <c r="U81" s="237">
        <v>0</v>
      </c>
      <c r="V81" s="237"/>
      <c r="W81" s="237">
        <v>0</v>
      </c>
      <c r="X81" s="237">
        <v>0</v>
      </c>
      <c r="Y81" s="237">
        <v>0</v>
      </c>
      <c r="Z81" s="237"/>
      <c r="AA81" s="237">
        <v>0</v>
      </c>
      <c r="AB81" s="237">
        <v>0</v>
      </c>
      <c r="AC81" s="237">
        <v>0</v>
      </c>
      <c r="AD81" s="237"/>
      <c r="AE81" s="237">
        <v>0</v>
      </c>
      <c r="AF81" s="237"/>
      <c r="AG81" s="237">
        <v>0</v>
      </c>
      <c r="AH81" s="237"/>
      <c r="AI81" s="237"/>
      <c r="AJ81" s="237"/>
      <c r="AK81" s="237"/>
      <c r="AL81" s="237"/>
      <c r="AM81" s="237"/>
      <c r="AN81" s="237"/>
      <c r="AO81" s="237"/>
      <c r="AP81" s="237">
        <v>0</v>
      </c>
      <c r="AQ81" s="237"/>
      <c r="AR81" s="237"/>
      <c r="AS81" s="237"/>
      <c r="AT81" s="237"/>
      <c r="AU81" s="237"/>
      <c r="AV81" s="237">
        <v>0</v>
      </c>
      <c r="AW81" s="237"/>
      <c r="AX81" s="237"/>
      <c r="AY81" s="237">
        <v>0</v>
      </c>
      <c r="AZ81" s="237"/>
      <c r="BA81" s="237">
        <v>0</v>
      </c>
      <c r="BB81" s="237"/>
      <c r="BC81" s="237"/>
      <c r="BD81" s="237">
        <v>0</v>
      </c>
      <c r="BE81" s="237">
        <v>0</v>
      </c>
      <c r="BF81" s="237">
        <v>0</v>
      </c>
      <c r="BG81" s="237"/>
      <c r="BH81" s="237"/>
      <c r="BI81" s="237"/>
      <c r="BJ81" s="237">
        <v>0</v>
      </c>
      <c r="BK81" s="237">
        <v>0</v>
      </c>
      <c r="BL81" s="237">
        <v>0</v>
      </c>
      <c r="BM81" s="237"/>
      <c r="BN81" s="237">
        <v>0</v>
      </c>
      <c r="BO81" s="237">
        <v>0</v>
      </c>
      <c r="BP81" s="237"/>
      <c r="BQ81" s="237"/>
      <c r="BR81" s="237">
        <v>0</v>
      </c>
      <c r="BS81" s="237"/>
      <c r="BT81" s="237"/>
      <c r="BU81" s="237"/>
      <c r="BV81" s="237">
        <v>0</v>
      </c>
      <c r="BW81" s="237">
        <v>0</v>
      </c>
      <c r="BX81" s="237"/>
      <c r="BY81" s="237">
        <v>0</v>
      </c>
      <c r="BZ81" s="237"/>
      <c r="CA81" s="237">
        <v>0</v>
      </c>
      <c r="CB81" s="237"/>
      <c r="CC81" s="237">
        <v>0</v>
      </c>
      <c r="CD81" s="237">
        <v>0</v>
      </c>
      <c r="CE81" s="28">
        <f t="shared" si="16"/>
        <v>0</v>
      </c>
    </row>
    <row r="82" spans="1:85" x14ac:dyDescent="0.35">
      <c r="A82" s="29" t="s">
        <v>282</v>
      </c>
      <c r="B82" s="16"/>
      <c r="C82" s="237">
        <v>0</v>
      </c>
      <c r="D82" s="237"/>
      <c r="E82" s="237">
        <v>0</v>
      </c>
      <c r="F82" s="237"/>
      <c r="G82" s="237"/>
      <c r="H82" s="237"/>
      <c r="I82" s="237"/>
      <c r="J82" s="237">
        <v>0</v>
      </c>
      <c r="K82" s="237"/>
      <c r="L82" s="237"/>
      <c r="M82" s="237"/>
      <c r="N82" s="237"/>
      <c r="O82" s="237">
        <v>0</v>
      </c>
      <c r="P82" s="237">
        <v>0</v>
      </c>
      <c r="Q82" s="237">
        <v>0</v>
      </c>
      <c r="R82" s="237">
        <v>0</v>
      </c>
      <c r="S82" s="237"/>
      <c r="T82" s="237"/>
      <c r="U82" s="237">
        <v>0</v>
      </c>
      <c r="V82" s="237"/>
      <c r="W82" s="237">
        <v>0</v>
      </c>
      <c r="X82" s="237">
        <v>0</v>
      </c>
      <c r="Y82" s="237">
        <v>0</v>
      </c>
      <c r="Z82" s="237"/>
      <c r="AA82" s="237">
        <v>0</v>
      </c>
      <c r="AB82" s="237">
        <v>0</v>
      </c>
      <c r="AC82" s="237">
        <v>0</v>
      </c>
      <c r="AD82" s="237"/>
      <c r="AE82" s="237">
        <v>0</v>
      </c>
      <c r="AF82" s="237"/>
      <c r="AG82" s="237">
        <v>0</v>
      </c>
      <c r="AH82" s="237"/>
      <c r="AI82" s="237"/>
      <c r="AJ82" s="237"/>
      <c r="AK82" s="237"/>
      <c r="AL82" s="237"/>
      <c r="AM82" s="237"/>
      <c r="AN82" s="237"/>
      <c r="AO82" s="237"/>
      <c r="AP82" s="237">
        <v>0</v>
      </c>
      <c r="AQ82" s="237"/>
      <c r="AR82" s="237"/>
      <c r="AS82" s="237"/>
      <c r="AT82" s="237"/>
      <c r="AU82" s="237"/>
      <c r="AV82" s="237">
        <v>0</v>
      </c>
      <c r="AW82" s="237"/>
      <c r="AX82" s="237"/>
      <c r="AY82" s="237">
        <v>0</v>
      </c>
      <c r="AZ82" s="237"/>
      <c r="BA82" s="237">
        <v>0</v>
      </c>
      <c r="BB82" s="237"/>
      <c r="BC82" s="237"/>
      <c r="BD82" s="237">
        <v>0</v>
      </c>
      <c r="BE82" s="237">
        <v>0</v>
      </c>
      <c r="BF82" s="237">
        <v>0</v>
      </c>
      <c r="BG82" s="237"/>
      <c r="BH82" s="237"/>
      <c r="BI82" s="237"/>
      <c r="BJ82" s="237">
        <v>0</v>
      </c>
      <c r="BK82" s="237">
        <v>0</v>
      </c>
      <c r="BL82" s="237">
        <v>0</v>
      </c>
      <c r="BM82" s="237"/>
      <c r="BN82" s="237">
        <v>0</v>
      </c>
      <c r="BO82" s="237">
        <v>0</v>
      </c>
      <c r="BP82" s="237"/>
      <c r="BQ82" s="237"/>
      <c r="BR82" s="237">
        <v>0</v>
      </c>
      <c r="BS82" s="237"/>
      <c r="BT82" s="237"/>
      <c r="BU82" s="237"/>
      <c r="BV82" s="237">
        <v>0</v>
      </c>
      <c r="BW82" s="237">
        <v>0</v>
      </c>
      <c r="BX82" s="237"/>
      <c r="BY82" s="237">
        <v>0</v>
      </c>
      <c r="BZ82" s="237"/>
      <c r="CA82" s="237">
        <v>0</v>
      </c>
      <c r="CB82" s="237"/>
      <c r="CC82" s="237">
        <v>0</v>
      </c>
      <c r="CD82" s="237">
        <v>0</v>
      </c>
      <c r="CE82" s="28">
        <f t="shared" si="16"/>
        <v>0</v>
      </c>
    </row>
    <row r="83" spans="1:85" x14ac:dyDescent="0.35">
      <c r="A83" s="29" t="s">
        <v>283</v>
      </c>
      <c r="B83" s="16"/>
      <c r="C83" s="20">
        <v>-78</v>
      </c>
      <c r="D83" s="20"/>
      <c r="E83" s="26">
        <v>1376</v>
      </c>
      <c r="F83" s="26"/>
      <c r="G83" s="20"/>
      <c r="H83" s="20"/>
      <c r="I83" s="26"/>
      <c r="J83" s="26">
        <v>1742.73</v>
      </c>
      <c r="K83" s="26"/>
      <c r="L83" s="26"/>
      <c r="M83" s="20"/>
      <c r="N83" s="20"/>
      <c r="O83" s="20">
        <v>8441.91</v>
      </c>
      <c r="P83" s="26">
        <v>13148.34</v>
      </c>
      <c r="Q83" s="26">
        <v>0</v>
      </c>
      <c r="R83" s="27">
        <v>17730.04</v>
      </c>
      <c r="S83" s="26"/>
      <c r="T83" s="20"/>
      <c r="U83" s="26">
        <v>3034.92</v>
      </c>
      <c r="V83" s="26"/>
      <c r="W83" s="20">
        <v>0</v>
      </c>
      <c r="X83" s="26">
        <v>0</v>
      </c>
      <c r="Y83" s="26">
        <v>1232.18</v>
      </c>
      <c r="Z83" s="26"/>
      <c r="AA83" s="26">
        <v>0</v>
      </c>
      <c r="AB83" s="26">
        <v>19335.89</v>
      </c>
      <c r="AC83" s="26">
        <v>5043.0200000000004</v>
      </c>
      <c r="AD83" s="26"/>
      <c r="AE83" s="26">
        <v>13788.35</v>
      </c>
      <c r="AF83" s="26"/>
      <c r="AG83" s="26">
        <v>45397.2</v>
      </c>
      <c r="AH83" s="26"/>
      <c r="AI83" s="26"/>
      <c r="AJ83" s="26"/>
      <c r="AK83" s="26"/>
      <c r="AL83" s="26"/>
      <c r="AM83" s="26"/>
      <c r="AN83" s="26"/>
      <c r="AO83" s="20"/>
      <c r="AP83" s="26">
        <v>461054.57</v>
      </c>
      <c r="AQ83" s="20"/>
      <c r="AR83" s="20"/>
      <c r="AS83" s="20"/>
      <c r="AT83" s="20"/>
      <c r="AU83" s="26"/>
      <c r="AV83" s="26">
        <v>7868.9799999999987</v>
      </c>
      <c r="AW83" s="26"/>
      <c r="AX83" s="26"/>
      <c r="AY83" s="26">
        <v>13497.19</v>
      </c>
      <c r="AZ83" s="26"/>
      <c r="BA83" s="26">
        <v>0</v>
      </c>
      <c r="BB83" s="26"/>
      <c r="BC83" s="26"/>
      <c r="BD83" s="26">
        <v>-64313.790000000008</v>
      </c>
      <c r="BE83" s="26">
        <v>23294.83</v>
      </c>
      <c r="BF83" s="26">
        <v>7762.0400000000009</v>
      </c>
      <c r="BG83" s="26"/>
      <c r="BH83" s="27"/>
      <c r="BI83" s="26"/>
      <c r="BJ83" s="26">
        <v>179594.16000000003</v>
      </c>
      <c r="BK83" s="26">
        <v>2904</v>
      </c>
      <c r="BL83" s="26">
        <v>3400.54</v>
      </c>
      <c r="BM83" s="26"/>
      <c r="BN83" s="26">
        <v>471889.58999999997</v>
      </c>
      <c r="BO83" s="26">
        <v>0</v>
      </c>
      <c r="BP83" s="26"/>
      <c r="BQ83" s="26"/>
      <c r="BR83" s="26">
        <v>295450.65000000002</v>
      </c>
      <c r="BS83" s="26"/>
      <c r="BT83" s="26"/>
      <c r="BU83" s="26"/>
      <c r="BV83" s="26">
        <v>3954.23</v>
      </c>
      <c r="BW83" s="26">
        <v>45772.12999999999</v>
      </c>
      <c r="BX83" s="26"/>
      <c r="BY83" s="26">
        <v>15509.34</v>
      </c>
      <c r="BZ83" s="26"/>
      <c r="CA83" s="26">
        <v>14946.45</v>
      </c>
      <c r="CB83" s="26"/>
      <c r="CC83" s="26">
        <v>47524.24</v>
      </c>
      <c r="CD83" s="31">
        <v>3790587.9899999998</v>
      </c>
      <c r="CE83" s="28">
        <f t="shared" si="16"/>
        <v>5450889.7199999997</v>
      </c>
    </row>
    <row r="84" spans="1:85" x14ac:dyDescent="0.35">
      <c r="A84" s="35" t="s">
        <v>284</v>
      </c>
      <c r="B84" s="16"/>
      <c r="C84" s="20">
        <v>0</v>
      </c>
      <c r="D84" s="20"/>
      <c r="E84" s="20">
        <v>0</v>
      </c>
      <c r="F84" s="20"/>
      <c r="G84" s="20"/>
      <c r="H84" s="20"/>
      <c r="I84" s="20"/>
      <c r="J84" s="20">
        <v>0</v>
      </c>
      <c r="K84" s="20"/>
      <c r="L84" s="20"/>
      <c r="M84" s="20"/>
      <c r="N84" s="20"/>
      <c r="O84" s="20">
        <v>0</v>
      </c>
      <c r="P84" s="20">
        <v>-1517.76</v>
      </c>
      <c r="Q84" s="20">
        <v>0</v>
      </c>
      <c r="R84" s="20">
        <v>2089224.76</v>
      </c>
      <c r="S84" s="20"/>
      <c r="T84" s="20"/>
      <c r="U84" s="20">
        <v>8.9399999999999409</v>
      </c>
      <c r="V84" s="20"/>
      <c r="W84" s="20">
        <v>0</v>
      </c>
      <c r="X84" s="20">
        <v>0</v>
      </c>
      <c r="Y84" s="20">
        <v>0</v>
      </c>
      <c r="Z84" s="20"/>
      <c r="AA84" s="20">
        <v>0</v>
      </c>
      <c r="AB84" s="20">
        <v>2281079.1300000004</v>
      </c>
      <c r="AC84" s="20">
        <v>-6975.98</v>
      </c>
      <c r="AD84" s="20"/>
      <c r="AE84" s="20">
        <v>0</v>
      </c>
      <c r="AF84" s="20"/>
      <c r="AG84" s="20">
        <v>0</v>
      </c>
      <c r="AH84" s="20"/>
      <c r="AI84" s="20"/>
      <c r="AJ84" s="20"/>
      <c r="AK84" s="20"/>
      <c r="AL84" s="20"/>
      <c r="AM84" s="20"/>
      <c r="AN84" s="20"/>
      <c r="AO84" s="20"/>
      <c r="AP84" s="20">
        <v>71547.48</v>
      </c>
      <c r="AQ84" s="20"/>
      <c r="AR84" s="20"/>
      <c r="AS84" s="20"/>
      <c r="AT84" s="20"/>
      <c r="AU84" s="20"/>
      <c r="AV84" s="20">
        <v>0</v>
      </c>
      <c r="AW84" s="20"/>
      <c r="AX84" s="20"/>
      <c r="AY84" s="20">
        <v>370875.07</v>
      </c>
      <c r="AZ84" s="20"/>
      <c r="BA84" s="20">
        <v>0</v>
      </c>
      <c r="BB84" s="20"/>
      <c r="BC84" s="20"/>
      <c r="BD84" s="20">
        <v>-4.26</v>
      </c>
      <c r="BE84" s="20">
        <v>0</v>
      </c>
      <c r="BF84" s="20">
        <v>0</v>
      </c>
      <c r="BG84" s="20"/>
      <c r="BH84" s="20"/>
      <c r="BI84" s="20"/>
      <c r="BJ84" s="20">
        <v>0</v>
      </c>
      <c r="BK84" s="20">
        <v>11991.97</v>
      </c>
      <c r="BL84" s="20">
        <v>0</v>
      </c>
      <c r="BM84" s="20"/>
      <c r="BN84" s="20">
        <v>0</v>
      </c>
      <c r="BO84" s="20">
        <v>0</v>
      </c>
      <c r="BP84" s="20"/>
      <c r="BQ84" s="20"/>
      <c r="BR84" s="20">
        <v>0</v>
      </c>
      <c r="BS84" s="20"/>
      <c r="BT84" s="20"/>
      <c r="BU84" s="20"/>
      <c r="BV84" s="20">
        <v>21835.32</v>
      </c>
      <c r="BW84" s="20">
        <v>8575</v>
      </c>
      <c r="BX84" s="20"/>
      <c r="BY84" s="20">
        <v>0</v>
      </c>
      <c r="BZ84" s="20"/>
      <c r="CA84" s="20">
        <v>0</v>
      </c>
      <c r="CB84" s="20"/>
      <c r="CC84" s="20">
        <v>0</v>
      </c>
      <c r="CD84" s="31">
        <v>6364382.54</v>
      </c>
      <c r="CE84" s="28">
        <f t="shared" si="16"/>
        <v>11211022.210000001</v>
      </c>
    </row>
    <row r="85" spans="1:85" x14ac:dyDescent="0.35">
      <c r="A85" s="35" t="s">
        <v>285</v>
      </c>
      <c r="B85" s="28"/>
      <c r="C85" s="28">
        <f t="shared" ref="C85:AH85" si="17">SUM(C61:C69)-C84</f>
        <v>4151042.0900000003</v>
      </c>
      <c r="D85" s="28">
        <f t="shared" si="17"/>
        <v>0</v>
      </c>
      <c r="E85" s="28">
        <f t="shared" si="17"/>
        <v>9361399.2199999988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76720.92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194840.84</v>
      </c>
      <c r="P85" s="28">
        <f t="shared" si="17"/>
        <v>3970764.63</v>
      </c>
      <c r="Q85" s="28">
        <f t="shared" si="17"/>
        <v>2534887.27</v>
      </c>
      <c r="R85" s="28">
        <f t="shared" si="17"/>
        <v>-733701.23</v>
      </c>
      <c r="S85" s="28">
        <f t="shared" si="17"/>
        <v>188694</v>
      </c>
      <c r="T85" s="28">
        <f t="shared" si="17"/>
        <v>0</v>
      </c>
      <c r="U85" s="28">
        <f t="shared" si="17"/>
        <v>6838371.7199999988</v>
      </c>
      <c r="V85" s="28">
        <f t="shared" si="17"/>
        <v>0</v>
      </c>
      <c r="W85" s="28">
        <f t="shared" si="17"/>
        <v>464426.95999999996</v>
      </c>
      <c r="X85" s="28">
        <f t="shared" si="17"/>
        <v>943292.88</v>
      </c>
      <c r="Y85" s="28">
        <f t="shared" si="17"/>
        <v>4134572.9800000009</v>
      </c>
      <c r="Z85" s="28">
        <f t="shared" si="17"/>
        <v>0</v>
      </c>
      <c r="AA85" s="28">
        <f t="shared" si="17"/>
        <v>173654.86</v>
      </c>
      <c r="AB85" s="28">
        <f t="shared" si="17"/>
        <v>2796559.4199999985</v>
      </c>
      <c r="AC85" s="28">
        <f t="shared" si="17"/>
        <v>1517813.0099999998</v>
      </c>
      <c r="AD85" s="28">
        <f t="shared" si="17"/>
        <v>0</v>
      </c>
      <c r="AE85" s="28">
        <f t="shared" si="17"/>
        <v>3103397.1400000006</v>
      </c>
      <c r="AF85" s="28">
        <f t="shared" si="17"/>
        <v>0</v>
      </c>
      <c r="AG85" s="28">
        <f t="shared" si="17"/>
        <v>9577090.8099999968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29580000.640000001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550165.9</v>
      </c>
      <c r="AW85" s="28">
        <f t="shared" si="18"/>
        <v>0</v>
      </c>
      <c r="AX85" s="28">
        <f t="shared" si="18"/>
        <v>0</v>
      </c>
      <c r="AY85" s="28">
        <f t="shared" si="18"/>
        <v>2019258.8999999992</v>
      </c>
      <c r="AZ85" s="28">
        <f t="shared" si="18"/>
        <v>0</v>
      </c>
      <c r="BA85" s="28">
        <f t="shared" si="18"/>
        <v>376285.61</v>
      </c>
      <c r="BB85" s="28">
        <f t="shared" si="18"/>
        <v>0</v>
      </c>
      <c r="BC85" s="28">
        <f t="shared" si="18"/>
        <v>0</v>
      </c>
      <c r="BD85" s="28">
        <f t="shared" si="18"/>
        <v>1020005.1099999999</v>
      </c>
      <c r="BE85" s="28">
        <f t="shared" si="18"/>
        <v>3908020.46</v>
      </c>
      <c r="BF85" s="28">
        <f t="shared" si="18"/>
        <v>2805177.1700000004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1058742.6600000001</v>
      </c>
      <c r="BK85" s="28">
        <f t="shared" si="18"/>
        <v>2651659.9099999997</v>
      </c>
      <c r="BL85" s="28">
        <f t="shared" si="18"/>
        <v>1887062.01</v>
      </c>
      <c r="BM85" s="28">
        <f t="shared" si="18"/>
        <v>0</v>
      </c>
      <c r="BN85" s="28">
        <f t="shared" si="18"/>
        <v>4574848.51</v>
      </c>
      <c r="BO85" s="28">
        <f t="shared" ref="BO85:CD85" si="19">SUM(BO61:BO69)-BO84</f>
        <v>281543.24</v>
      </c>
      <c r="BP85" s="28">
        <f t="shared" si="19"/>
        <v>180928</v>
      </c>
      <c r="BQ85" s="28">
        <f t="shared" si="19"/>
        <v>0</v>
      </c>
      <c r="BR85" s="28">
        <f t="shared" si="19"/>
        <v>1463404.3399999999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2528941.2400000002</v>
      </c>
      <c r="BW85" s="28">
        <f t="shared" si="19"/>
        <v>408084.04</v>
      </c>
      <c r="BX85" s="28">
        <f t="shared" si="19"/>
        <v>0</v>
      </c>
      <c r="BY85" s="28">
        <f t="shared" si="19"/>
        <v>3345853.0700000003</v>
      </c>
      <c r="BZ85" s="28">
        <f t="shared" si="19"/>
        <v>0</v>
      </c>
      <c r="CA85" s="28">
        <f t="shared" si="19"/>
        <v>263014.91000000003</v>
      </c>
      <c r="CB85" s="28">
        <f t="shared" si="19"/>
        <v>0</v>
      </c>
      <c r="CC85" s="28">
        <f t="shared" si="19"/>
        <v>5767944.5899999999</v>
      </c>
      <c r="CD85" s="28">
        <f t="shared" si="19"/>
        <v>-2573794.5500000003</v>
      </c>
      <c r="CE85" s="28">
        <f t="shared" si="16"/>
        <v>111390973.28000002</v>
      </c>
    </row>
    <row r="86" spans="1:85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2391215.5600000005</v>
      </c>
    </row>
    <row r="87" spans="1:85" x14ac:dyDescent="0.35">
      <c r="A87" s="22" t="s">
        <v>287</v>
      </c>
      <c r="B87" s="16"/>
      <c r="C87" s="20">
        <v>11528494.739999998</v>
      </c>
      <c r="D87" s="20"/>
      <c r="E87" s="20">
        <v>21121804.979999997</v>
      </c>
      <c r="F87" s="20"/>
      <c r="G87" s="20"/>
      <c r="H87" s="20"/>
      <c r="I87" s="20"/>
      <c r="J87" s="20">
        <v>1240138.7</v>
      </c>
      <c r="K87" s="20"/>
      <c r="L87" s="20"/>
      <c r="M87" s="20"/>
      <c r="N87" s="20"/>
      <c r="O87" s="20">
        <v>2543912.31</v>
      </c>
      <c r="P87" s="20">
        <v>4672822.05</v>
      </c>
      <c r="Q87" s="20">
        <v>363743.76</v>
      </c>
      <c r="R87" s="20">
        <v>166373.72999999998</v>
      </c>
      <c r="S87" s="20"/>
      <c r="T87" s="20"/>
      <c r="U87" s="20">
        <v>5263414.17</v>
      </c>
      <c r="V87" s="20"/>
      <c r="W87" s="20">
        <v>398665.72000000003</v>
      </c>
      <c r="X87" s="20">
        <v>1081475.5</v>
      </c>
      <c r="Y87" s="20">
        <v>1386373.74</v>
      </c>
      <c r="Z87" s="20"/>
      <c r="AA87" s="20">
        <v>7607.4</v>
      </c>
      <c r="AB87" s="20">
        <v>3707824.8199999994</v>
      </c>
      <c r="AC87" s="20">
        <v>4921762.5</v>
      </c>
      <c r="AD87" s="20"/>
      <c r="AE87" s="20">
        <v>577832.5</v>
      </c>
      <c r="AF87" s="20"/>
      <c r="AG87" s="20">
        <v>2509597.4899999998</v>
      </c>
      <c r="AH87" s="20"/>
      <c r="AI87" s="20"/>
      <c r="AJ87" s="20"/>
      <c r="AK87" s="20"/>
      <c r="AL87" s="20"/>
      <c r="AM87" s="20"/>
      <c r="AN87" s="20"/>
      <c r="AO87" s="20"/>
      <c r="AP87" s="20">
        <v>2995957.52</v>
      </c>
      <c r="AQ87" s="20"/>
      <c r="AR87" s="20"/>
      <c r="AS87" s="20"/>
      <c r="AT87" s="20"/>
      <c r="AU87" s="20"/>
      <c r="AV87" s="20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64487801.629999995</v>
      </c>
    </row>
    <row r="88" spans="1:85" x14ac:dyDescent="0.35">
      <c r="A88" s="22" t="s">
        <v>288</v>
      </c>
      <c r="B88" s="16"/>
      <c r="C88" s="20">
        <v>2574754.29</v>
      </c>
      <c r="D88" s="20"/>
      <c r="E88" s="20">
        <v>11862444.459999999</v>
      </c>
      <c r="F88" s="20"/>
      <c r="G88" s="20"/>
      <c r="H88" s="20"/>
      <c r="I88" s="20"/>
      <c r="J88" s="20">
        <v>133290.9</v>
      </c>
      <c r="K88" s="20"/>
      <c r="L88" s="20"/>
      <c r="M88" s="20"/>
      <c r="N88" s="20"/>
      <c r="O88" s="20">
        <v>981993.84999999986</v>
      </c>
      <c r="P88" s="20">
        <v>17015448.640000001</v>
      </c>
      <c r="Q88" s="20">
        <v>6158663.0800000001</v>
      </c>
      <c r="R88" s="20">
        <v>1979589.5099999998</v>
      </c>
      <c r="S88" s="20"/>
      <c r="T88" s="20"/>
      <c r="U88" s="20">
        <v>32078197.630000003</v>
      </c>
      <c r="V88" s="20"/>
      <c r="W88" s="20">
        <v>7720149.0999999996</v>
      </c>
      <c r="X88" s="20">
        <v>25869337.560000002</v>
      </c>
      <c r="Y88" s="20">
        <v>19624363.179999996</v>
      </c>
      <c r="Z88" s="20"/>
      <c r="AA88" s="20">
        <v>21347.69</v>
      </c>
      <c r="AB88" s="20">
        <v>7905514.4900000002</v>
      </c>
      <c r="AC88" s="20">
        <v>3639887.23</v>
      </c>
      <c r="AD88" s="20"/>
      <c r="AE88" s="20">
        <v>6807777.3000000007</v>
      </c>
      <c r="AF88" s="20"/>
      <c r="AG88" s="20">
        <v>51207795.109999999</v>
      </c>
      <c r="AH88" s="20"/>
      <c r="AI88" s="20"/>
      <c r="AJ88" s="20"/>
      <c r="AK88" s="20"/>
      <c r="AL88" s="20"/>
      <c r="AM88" s="20"/>
      <c r="AN88" s="20"/>
      <c r="AO88" s="20"/>
      <c r="AP88" s="20">
        <v>33511910.210000001</v>
      </c>
      <c r="AQ88" s="20"/>
      <c r="AR88" s="20"/>
      <c r="AS88" s="20"/>
      <c r="AT88" s="20"/>
      <c r="AU88" s="20"/>
      <c r="AV88" s="20">
        <v>341114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229433578.22999999</v>
      </c>
    </row>
    <row r="89" spans="1:85" x14ac:dyDescent="0.35">
      <c r="A89" s="22" t="s">
        <v>289</v>
      </c>
      <c r="B89" s="16"/>
      <c r="C89" s="28">
        <f t="shared" ref="C89:AV89" si="21">C87+C88</f>
        <v>14103249.029999997</v>
      </c>
      <c r="D89" s="28">
        <f t="shared" si="21"/>
        <v>0</v>
      </c>
      <c r="E89" s="28">
        <f t="shared" si="21"/>
        <v>32984249.439999998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1373429.5999999999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3525906.16</v>
      </c>
      <c r="P89" s="28">
        <f t="shared" si="21"/>
        <v>21688270.690000001</v>
      </c>
      <c r="Q89" s="28">
        <f t="shared" si="21"/>
        <v>6522406.8399999999</v>
      </c>
      <c r="R89" s="28">
        <f t="shared" si="21"/>
        <v>2145963.2399999998</v>
      </c>
      <c r="S89" s="28">
        <f t="shared" si="21"/>
        <v>0</v>
      </c>
      <c r="T89" s="28">
        <f t="shared" si="21"/>
        <v>0</v>
      </c>
      <c r="U89" s="28">
        <f t="shared" si="21"/>
        <v>37341611.800000004</v>
      </c>
      <c r="V89" s="28">
        <f t="shared" si="21"/>
        <v>0</v>
      </c>
      <c r="W89" s="28">
        <f t="shared" si="21"/>
        <v>8118814.8199999994</v>
      </c>
      <c r="X89" s="28">
        <f t="shared" si="21"/>
        <v>26950813.060000002</v>
      </c>
      <c r="Y89" s="28">
        <f t="shared" si="21"/>
        <v>21010736.919999994</v>
      </c>
      <c r="Z89" s="28">
        <f t="shared" si="21"/>
        <v>0</v>
      </c>
      <c r="AA89" s="28">
        <f t="shared" si="21"/>
        <v>28955.089999999997</v>
      </c>
      <c r="AB89" s="28">
        <f t="shared" si="21"/>
        <v>11613339.309999999</v>
      </c>
      <c r="AC89" s="28">
        <f t="shared" si="21"/>
        <v>8561649.7300000004</v>
      </c>
      <c r="AD89" s="28">
        <f t="shared" si="21"/>
        <v>0</v>
      </c>
      <c r="AE89" s="28">
        <f t="shared" si="21"/>
        <v>7385609.8000000007</v>
      </c>
      <c r="AF89" s="28">
        <f t="shared" si="21"/>
        <v>0</v>
      </c>
      <c r="AG89" s="28">
        <f t="shared" si="21"/>
        <v>53717392.600000001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36507867.730000004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341114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293921379.86000001</v>
      </c>
    </row>
    <row r="90" spans="1:85" x14ac:dyDescent="0.35">
      <c r="A90" s="22" t="s">
        <v>290</v>
      </c>
      <c r="B90" s="28"/>
      <c r="C90" s="20">
        <v>6518.13</v>
      </c>
      <c r="D90" s="20"/>
      <c r="E90" s="20">
        <v>19253.77</v>
      </c>
      <c r="F90" s="20"/>
      <c r="G90" s="20"/>
      <c r="H90" s="20"/>
      <c r="I90" s="20"/>
      <c r="J90" s="20">
        <v>482.03</v>
      </c>
      <c r="K90" s="20"/>
      <c r="L90" s="20"/>
      <c r="M90" s="20"/>
      <c r="N90" s="20"/>
      <c r="O90" s="20">
        <v>974.9</v>
      </c>
      <c r="P90" s="20">
        <v>6565.4999999999991</v>
      </c>
      <c r="Q90" s="20">
        <v>7247.26</v>
      </c>
      <c r="R90" s="20">
        <v>311.61</v>
      </c>
      <c r="S90" s="20"/>
      <c r="T90" s="20"/>
      <c r="U90" s="20">
        <v>4392.96</v>
      </c>
      <c r="V90" s="20"/>
      <c r="W90" s="20">
        <v>2137.4699999999998</v>
      </c>
      <c r="X90" s="20">
        <v>791.67</v>
      </c>
      <c r="Y90" s="20">
        <v>6992.17</v>
      </c>
      <c r="Z90" s="20"/>
      <c r="AA90" s="20">
        <v>690.16</v>
      </c>
      <c r="AB90" s="20">
        <v>1922.3700000000001</v>
      </c>
      <c r="AC90" s="20">
        <v>805.5</v>
      </c>
      <c r="AD90" s="20"/>
      <c r="AE90" s="20">
        <v>3887</v>
      </c>
      <c r="AF90" s="20"/>
      <c r="AG90" s="20">
        <v>9543.0499999999993</v>
      </c>
      <c r="AH90" s="20"/>
      <c r="AI90" s="20"/>
      <c r="AJ90" s="20"/>
      <c r="AK90" s="20"/>
      <c r="AL90" s="20"/>
      <c r="AM90" s="20"/>
      <c r="AN90" s="20"/>
      <c r="AO90" s="20"/>
      <c r="AP90" s="20">
        <v>78245.09</v>
      </c>
      <c r="AQ90" s="20"/>
      <c r="AR90" s="20"/>
      <c r="AS90" s="20"/>
      <c r="AT90" s="20"/>
      <c r="AU90" s="20"/>
      <c r="AV90" s="20">
        <v>267.94</v>
      </c>
      <c r="AW90" s="20"/>
      <c r="AX90" s="20"/>
      <c r="AY90" s="20">
        <v>5039.92</v>
      </c>
      <c r="AZ90" s="20"/>
      <c r="BA90" s="20">
        <v>1460.81</v>
      </c>
      <c r="BB90" s="20"/>
      <c r="BC90" s="20"/>
      <c r="BD90" s="20">
        <v>3402.32</v>
      </c>
      <c r="BE90" s="20">
        <v>28164</v>
      </c>
      <c r="BF90" s="20">
        <v>2295</v>
      </c>
      <c r="BG90" s="20"/>
      <c r="BH90" s="20"/>
      <c r="BI90" s="20"/>
      <c r="BJ90" s="20">
        <v>1981.5</v>
      </c>
      <c r="BK90" s="20">
        <v>2734.5</v>
      </c>
      <c r="BL90" s="20">
        <v>1921.97</v>
      </c>
      <c r="BM90" s="20"/>
      <c r="BN90" s="20">
        <v>5382.5</v>
      </c>
      <c r="BO90" s="20">
        <v>279.27</v>
      </c>
      <c r="BP90" s="20"/>
      <c r="BQ90" s="20"/>
      <c r="BR90" s="20">
        <v>2129.09</v>
      </c>
      <c r="BS90" s="20"/>
      <c r="BT90" s="20"/>
      <c r="BU90" s="20"/>
      <c r="BV90" s="20">
        <v>4545.67</v>
      </c>
      <c r="BW90" s="20">
        <v>1021.84</v>
      </c>
      <c r="BX90" s="20"/>
      <c r="BY90" s="20">
        <v>1730.5900000000001</v>
      </c>
      <c r="BZ90" s="20"/>
      <c r="CA90" s="20">
        <v>1046</v>
      </c>
      <c r="CB90" s="20"/>
      <c r="CC90" s="20">
        <v>18251.54</v>
      </c>
      <c r="CD90" s="233" t="s">
        <v>248</v>
      </c>
      <c r="CE90" s="28">
        <f t="shared" si="20"/>
        <v>232415.10000000003</v>
      </c>
      <c r="CF90" s="11">
        <f>BE59-CE90</f>
        <v>9071.8999999999651</v>
      </c>
      <c r="CG90" s="290"/>
    </row>
    <row r="91" spans="1:85" x14ac:dyDescent="0.35">
      <c r="A91" s="22" t="s">
        <v>291</v>
      </c>
      <c r="B91" s="16"/>
      <c r="C91" s="20">
        <v>5444.763328209513</v>
      </c>
      <c r="D91" s="20"/>
      <c r="E91" s="20">
        <v>26616.799107835017</v>
      </c>
      <c r="F91" s="20"/>
      <c r="G91" s="20"/>
      <c r="H91" s="20"/>
      <c r="I91" s="20"/>
      <c r="J91" s="20">
        <v>0</v>
      </c>
      <c r="K91" s="20"/>
      <c r="L91" s="20"/>
      <c r="M91" s="20"/>
      <c r="N91" s="20"/>
      <c r="O91" s="20">
        <v>0</v>
      </c>
      <c r="P91" s="20">
        <v>326.08379883318639</v>
      </c>
      <c r="Q91" s="20">
        <v>0</v>
      </c>
      <c r="R91" s="20">
        <v>0</v>
      </c>
      <c r="S91" s="20"/>
      <c r="T91" s="20"/>
      <c r="U91" s="20">
        <v>0</v>
      </c>
      <c r="V91" s="20"/>
      <c r="W91" s="20">
        <v>0</v>
      </c>
      <c r="X91" s="20">
        <v>0</v>
      </c>
      <c r="Y91" s="20">
        <v>0</v>
      </c>
      <c r="Z91" s="20"/>
      <c r="AA91" s="20">
        <v>0</v>
      </c>
      <c r="AB91" s="20">
        <v>0</v>
      </c>
      <c r="AC91" s="20">
        <v>0</v>
      </c>
      <c r="AD91" s="20"/>
      <c r="AE91" s="20">
        <v>0</v>
      </c>
      <c r="AF91" s="20"/>
      <c r="AG91" s="20">
        <v>1043.4681562661965</v>
      </c>
      <c r="AH91" s="20"/>
      <c r="AI91" s="20"/>
      <c r="AJ91" s="20"/>
      <c r="AK91" s="20"/>
      <c r="AL91" s="20"/>
      <c r="AM91" s="20"/>
      <c r="AN91" s="20"/>
      <c r="AO91" s="20"/>
      <c r="AP91" s="20">
        <v>0</v>
      </c>
      <c r="AQ91" s="20"/>
      <c r="AR91" s="20"/>
      <c r="AS91" s="20"/>
      <c r="AT91" s="20"/>
      <c r="AU91" s="20"/>
      <c r="AV91" s="20">
        <v>0</v>
      </c>
      <c r="AW91" s="20"/>
      <c r="AX91" s="281"/>
      <c r="AY91" s="281"/>
      <c r="AZ91" s="20"/>
      <c r="BA91" s="20">
        <v>0</v>
      </c>
      <c r="BB91" s="20"/>
      <c r="BC91" s="20"/>
      <c r="BD91" s="25"/>
      <c r="BE91" s="25"/>
      <c r="BF91" s="20">
        <v>0</v>
      </c>
      <c r="BG91" s="25"/>
      <c r="BH91" s="20"/>
      <c r="BI91" s="20"/>
      <c r="BJ91" s="25"/>
      <c r="BK91" s="20">
        <v>0</v>
      </c>
      <c r="BL91" s="20">
        <v>0</v>
      </c>
      <c r="BM91" s="20"/>
      <c r="BN91" s="25"/>
      <c r="BO91" s="25"/>
      <c r="BP91" s="25"/>
      <c r="BQ91" s="25"/>
      <c r="BR91" s="20">
        <v>0</v>
      </c>
      <c r="BS91" s="20"/>
      <c r="BT91" s="20"/>
      <c r="BU91" s="20"/>
      <c r="BV91" s="20">
        <v>0</v>
      </c>
      <c r="BW91" s="20">
        <v>0</v>
      </c>
      <c r="BX91" s="20"/>
      <c r="BY91" s="20">
        <v>0</v>
      </c>
      <c r="BZ91" s="20"/>
      <c r="CA91" s="20">
        <v>0</v>
      </c>
      <c r="CB91" s="20"/>
      <c r="CC91" s="25" t="s">
        <v>248</v>
      </c>
      <c r="CD91" s="25" t="s">
        <v>248</v>
      </c>
      <c r="CE91" s="28">
        <f t="shared" si="20"/>
        <v>33431.114391143914</v>
      </c>
      <c r="CF91" s="28">
        <f>AY59-CE91</f>
        <v>0</v>
      </c>
    </row>
    <row r="92" spans="1:85" x14ac:dyDescent="0.35">
      <c r="A92" s="22" t="s">
        <v>292</v>
      </c>
      <c r="B92" s="16"/>
      <c r="C92" s="20">
        <v>6518.13</v>
      </c>
      <c r="D92" s="20"/>
      <c r="E92" s="20">
        <v>19253.77</v>
      </c>
      <c r="F92" s="20"/>
      <c r="G92" s="20"/>
      <c r="H92" s="20"/>
      <c r="I92" s="20"/>
      <c r="J92" s="20">
        <v>482.03</v>
      </c>
      <c r="K92" s="20"/>
      <c r="L92" s="20"/>
      <c r="M92" s="20"/>
      <c r="N92" s="20"/>
      <c r="O92" s="20">
        <v>974.9</v>
      </c>
      <c r="P92" s="20">
        <v>6565.4999999999991</v>
      </c>
      <c r="Q92" s="20">
        <v>7247.26</v>
      </c>
      <c r="R92" s="20">
        <v>311.61</v>
      </c>
      <c r="S92" s="20"/>
      <c r="T92" s="20"/>
      <c r="U92" s="20">
        <v>4392.96</v>
      </c>
      <c r="V92" s="20"/>
      <c r="W92" s="20">
        <v>2137.4699999999998</v>
      </c>
      <c r="X92" s="20">
        <v>791.67</v>
      </c>
      <c r="Y92" s="20">
        <v>6992.17</v>
      </c>
      <c r="Z92" s="20"/>
      <c r="AA92" s="20">
        <v>690.16</v>
      </c>
      <c r="AB92" s="20">
        <v>1922.3700000000001</v>
      </c>
      <c r="AC92" s="20">
        <v>805.5</v>
      </c>
      <c r="AD92" s="20"/>
      <c r="AE92" s="20">
        <v>3887</v>
      </c>
      <c r="AF92" s="20"/>
      <c r="AG92" s="20">
        <v>9543.0499999999993</v>
      </c>
      <c r="AH92" s="20"/>
      <c r="AI92" s="20"/>
      <c r="AJ92" s="20"/>
      <c r="AK92" s="20"/>
      <c r="AL92" s="20"/>
      <c r="AM92" s="20"/>
      <c r="AN92" s="20"/>
      <c r="AO92" s="20"/>
      <c r="AP92" s="20">
        <v>78245.09</v>
      </c>
      <c r="AQ92" s="20"/>
      <c r="AR92" s="20"/>
      <c r="AS92" s="20"/>
      <c r="AT92" s="20"/>
      <c r="AU92" s="20"/>
      <c r="AV92" s="20">
        <v>267.94</v>
      </c>
      <c r="AW92" s="20"/>
      <c r="AX92" s="20"/>
      <c r="AY92" s="20">
        <v>5039.92</v>
      </c>
      <c r="AZ92" s="20"/>
      <c r="BA92" s="20">
        <v>1460.81</v>
      </c>
      <c r="BB92" s="20"/>
      <c r="BC92" s="20"/>
      <c r="BD92" s="20">
        <v>3402.32</v>
      </c>
      <c r="BE92" s="20">
        <v>28164</v>
      </c>
      <c r="BF92" s="20">
        <v>2295</v>
      </c>
      <c r="BG92" s="20"/>
      <c r="BH92" s="20"/>
      <c r="BI92" s="20"/>
      <c r="BJ92" s="20">
        <v>1981.5</v>
      </c>
      <c r="BK92" s="20">
        <v>2734.5</v>
      </c>
      <c r="BL92" s="20">
        <v>1921.97</v>
      </c>
      <c r="BM92" s="20"/>
      <c r="BN92" s="20">
        <v>5382.5</v>
      </c>
      <c r="BO92" s="20">
        <v>279.27</v>
      </c>
      <c r="BP92" s="20"/>
      <c r="BQ92" s="20"/>
      <c r="BR92" s="20">
        <v>2129.09</v>
      </c>
      <c r="BS92" s="20"/>
      <c r="BT92" s="20"/>
      <c r="BU92" s="20"/>
      <c r="BV92" s="20">
        <v>4545.67</v>
      </c>
      <c r="BW92" s="20">
        <v>1021.84</v>
      </c>
      <c r="BX92" s="20"/>
      <c r="BY92" s="20">
        <v>1730.5900000000001</v>
      </c>
      <c r="BZ92" s="20"/>
      <c r="CA92" s="20">
        <v>1046</v>
      </c>
      <c r="CB92" s="20"/>
      <c r="CC92" s="25" t="s">
        <v>248</v>
      </c>
      <c r="CD92" s="25" t="s">
        <v>248</v>
      </c>
      <c r="CE92" s="28">
        <f t="shared" si="20"/>
        <v>214163.56000000003</v>
      </c>
      <c r="CF92" s="16"/>
    </row>
    <row r="93" spans="1:85" x14ac:dyDescent="0.35">
      <c r="A93" s="22" t="s">
        <v>293</v>
      </c>
      <c r="B93" s="16"/>
      <c r="C93" s="20">
        <v>27399</v>
      </c>
      <c r="D93" s="20"/>
      <c r="E93" s="20">
        <v>59322</v>
      </c>
      <c r="F93" s="20"/>
      <c r="G93" s="20"/>
      <c r="H93" s="20"/>
      <c r="I93" s="20"/>
      <c r="J93" s="20">
        <v>0</v>
      </c>
      <c r="K93" s="20"/>
      <c r="L93" s="20"/>
      <c r="M93" s="20"/>
      <c r="N93" s="20"/>
      <c r="O93" s="20">
        <v>29713</v>
      </c>
      <c r="P93" s="20">
        <v>29817</v>
      </c>
      <c r="Q93" s="20">
        <v>24671</v>
      </c>
      <c r="R93" s="20">
        <v>0</v>
      </c>
      <c r="S93" s="20"/>
      <c r="T93" s="20"/>
      <c r="U93" s="20">
        <v>420</v>
      </c>
      <c r="V93" s="20"/>
      <c r="W93" s="20">
        <v>0</v>
      </c>
      <c r="X93" s="20">
        <v>0</v>
      </c>
      <c r="Y93" s="20">
        <v>22696</v>
      </c>
      <c r="Z93" s="20"/>
      <c r="AA93" s="20">
        <v>0</v>
      </c>
      <c r="AB93" s="20">
        <v>0</v>
      </c>
      <c r="AC93" s="20">
        <v>0</v>
      </c>
      <c r="AD93" s="20"/>
      <c r="AE93" s="20">
        <v>3019</v>
      </c>
      <c r="AF93" s="20"/>
      <c r="AG93" s="20">
        <v>60119</v>
      </c>
      <c r="AH93" s="20"/>
      <c r="AI93" s="20"/>
      <c r="AJ93" s="20"/>
      <c r="AK93" s="20"/>
      <c r="AL93" s="20"/>
      <c r="AM93" s="20"/>
      <c r="AN93" s="20"/>
      <c r="AO93" s="20"/>
      <c r="AP93" s="20">
        <v>0</v>
      </c>
      <c r="AQ93" s="20"/>
      <c r="AR93" s="20"/>
      <c r="AS93" s="20"/>
      <c r="AT93" s="20"/>
      <c r="AU93" s="20"/>
      <c r="AV93" s="20">
        <v>0</v>
      </c>
      <c r="AW93" s="20"/>
      <c r="AX93" s="281" t="s">
        <v>248</v>
      </c>
      <c r="AY93" s="281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>
        <v>0</v>
      </c>
      <c r="BL93" s="20">
        <v>0</v>
      </c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>
        <v>0</v>
      </c>
      <c r="BW93" s="20">
        <v>0</v>
      </c>
      <c r="BX93" s="20"/>
      <c r="BY93" s="20">
        <v>0</v>
      </c>
      <c r="BZ93" s="20"/>
      <c r="CA93" s="20">
        <v>0</v>
      </c>
      <c r="CB93" s="20"/>
      <c r="CC93" s="25" t="s">
        <v>248</v>
      </c>
      <c r="CD93" s="25" t="s">
        <v>248</v>
      </c>
      <c r="CE93" s="28">
        <f t="shared" si="20"/>
        <v>257176</v>
      </c>
      <c r="CF93" s="28">
        <f>BA59</f>
        <v>0</v>
      </c>
    </row>
    <row r="94" spans="1:85" x14ac:dyDescent="0.35">
      <c r="A94" s="22" t="s">
        <v>294</v>
      </c>
      <c r="B94" s="16"/>
      <c r="C94" s="275">
        <v>19.023759490384617</v>
      </c>
      <c r="D94" s="275"/>
      <c r="E94" s="275">
        <v>46.190289563379118</v>
      </c>
      <c r="F94" s="275"/>
      <c r="G94" s="275"/>
      <c r="H94" s="275"/>
      <c r="I94" s="275"/>
      <c r="J94" s="275">
        <v>0</v>
      </c>
      <c r="K94" s="275"/>
      <c r="L94" s="275"/>
      <c r="M94" s="275"/>
      <c r="N94" s="275"/>
      <c r="O94" s="275">
        <v>0</v>
      </c>
      <c r="P94" s="276">
        <v>15.346290783406591</v>
      </c>
      <c r="Q94" s="276">
        <v>13.75642740521978</v>
      </c>
      <c r="R94" s="276">
        <v>4.200418241758241</v>
      </c>
      <c r="S94" s="277"/>
      <c r="T94" s="277"/>
      <c r="U94" s="278">
        <v>0</v>
      </c>
      <c r="V94" s="276"/>
      <c r="W94" s="276">
        <v>0</v>
      </c>
      <c r="X94" s="276">
        <v>0</v>
      </c>
      <c r="Y94" s="276">
        <v>0</v>
      </c>
      <c r="Z94" s="276"/>
      <c r="AA94" s="276">
        <v>0</v>
      </c>
      <c r="AB94" s="277">
        <v>0</v>
      </c>
      <c r="AC94" s="276">
        <v>0</v>
      </c>
      <c r="AD94" s="276"/>
      <c r="AE94" s="276">
        <v>0</v>
      </c>
      <c r="AF94" s="276"/>
      <c r="AG94" s="276">
        <v>31.635080711126374</v>
      </c>
      <c r="AH94" s="276"/>
      <c r="AI94" s="276"/>
      <c r="AJ94" s="276"/>
      <c r="AK94" s="276"/>
      <c r="AL94" s="276"/>
      <c r="AM94" s="276"/>
      <c r="AN94" s="276"/>
      <c r="AO94" s="276"/>
      <c r="AP94" s="276">
        <v>0</v>
      </c>
      <c r="AQ94" s="276"/>
      <c r="AR94" s="276"/>
      <c r="AS94" s="276"/>
      <c r="AT94" s="276"/>
      <c r="AU94" s="276"/>
      <c r="AV94" s="277">
        <v>0</v>
      </c>
      <c r="AW94" s="281" t="s">
        <v>248</v>
      </c>
      <c r="AX94" s="281" t="s">
        <v>248</v>
      </c>
      <c r="AY94" s="28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2"/>
      <c r="BV94" s="282"/>
      <c r="BW94" s="282"/>
      <c r="BX94" s="282"/>
      <c r="BY94" s="282"/>
      <c r="BZ94" s="282"/>
      <c r="CA94" s="282"/>
      <c r="CB94" s="282"/>
      <c r="CC94" s="25" t="s">
        <v>248</v>
      </c>
      <c r="CD94" s="25" t="s">
        <v>248</v>
      </c>
      <c r="CE94" s="28">
        <f t="shared" si="20"/>
        <v>130.15226619527471</v>
      </c>
      <c r="CF94" s="33"/>
    </row>
    <row r="95" spans="1:85" x14ac:dyDescent="0.35">
      <c r="A95" s="34" t="s">
        <v>295</v>
      </c>
      <c r="B95" s="34"/>
      <c r="C95" s="34"/>
      <c r="D95" s="34"/>
      <c r="E95" s="34"/>
    </row>
    <row r="96" spans="1:85" x14ac:dyDescent="0.35">
      <c r="A96" s="35" t="s">
        <v>296</v>
      </c>
      <c r="B96" s="36"/>
      <c r="C96" s="28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8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93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85">
        <v>98584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8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8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88">
        <v>3604327721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88">
        <v>3604271921</v>
      </c>
      <c r="D108" s="38"/>
      <c r="E108" s="39"/>
      <c r="F108" s="12"/>
    </row>
    <row r="109" spans="1:6" x14ac:dyDescent="0.35">
      <c r="A109" s="40" t="s">
        <v>320</v>
      </c>
      <c r="B109" s="36" t="s">
        <v>299</v>
      </c>
      <c r="C109" s="37" t="s">
        <v>321</v>
      </c>
      <c r="D109" s="38"/>
      <c r="E109" s="39"/>
      <c r="F109" s="12"/>
    </row>
    <row r="110" spans="1:6" x14ac:dyDescent="0.35">
      <c r="A110" s="40" t="s">
        <v>322</v>
      </c>
      <c r="B110" s="36" t="s">
        <v>299</v>
      </c>
      <c r="C110" s="289" t="s">
        <v>323</v>
      </c>
      <c r="D110" s="38"/>
      <c r="E110" s="39"/>
      <c r="F110" s="12"/>
    </row>
    <row r="111" spans="1:6" x14ac:dyDescent="0.35">
      <c r="A111" s="34" t="s">
        <v>324</v>
      </c>
      <c r="B111" s="34"/>
      <c r="C111" s="34"/>
      <c r="D111" s="34"/>
      <c r="E111" s="34"/>
    </row>
    <row r="112" spans="1:6" x14ac:dyDescent="0.35">
      <c r="A112" s="41" t="s">
        <v>325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/>
      <c r="D113" s="16"/>
      <c r="E113" s="16"/>
    </row>
    <row r="114" spans="1:5" x14ac:dyDescent="0.35">
      <c r="A114" s="16" t="s">
        <v>310</v>
      </c>
      <c r="B114" s="42" t="s">
        <v>299</v>
      </c>
      <c r="C114" s="43"/>
      <c r="D114" s="16"/>
      <c r="E114" s="16"/>
    </row>
    <row r="115" spans="1:5" x14ac:dyDescent="0.35">
      <c r="A115" s="16" t="s">
        <v>326</v>
      </c>
      <c r="B115" s="42" t="s">
        <v>299</v>
      </c>
      <c r="C115" s="43">
        <v>1</v>
      </c>
      <c r="D115" s="16"/>
      <c r="E115" s="16"/>
    </row>
    <row r="116" spans="1:5" x14ac:dyDescent="0.35">
      <c r="A116" s="41" t="s">
        <v>327</v>
      </c>
      <c r="B116" s="41"/>
      <c r="C116" s="41"/>
      <c r="D116" s="41"/>
      <c r="E116" s="41"/>
    </row>
    <row r="117" spans="1:5" x14ac:dyDescent="0.35">
      <c r="A117" s="16" t="s">
        <v>328</v>
      </c>
      <c r="B117" s="42" t="s">
        <v>299</v>
      </c>
      <c r="C117" s="43"/>
      <c r="D117" s="16"/>
      <c r="E117" s="16"/>
    </row>
    <row r="118" spans="1:5" x14ac:dyDescent="0.35">
      <c r="A118" s="16" t="s">
        <v>159</v>
      </c>
      <c r="B118" s="42" t="s">
        <v>299</v>
      </c>
      <c r="C118" s="213"/>
      <c r="D118" s="16"/>
      <c r="E118" s="16"/>
    </row>
    <row r="119" spans="1:5" x14ac:dyDescent="0.35">
      <c r="A119" s="41" t="s">
        <v>329</v>
      </c>
      <c r="B119" s="41"/>
      <c r="C119" s="41"/>
      <c r="D119" s="41"/>
      <c r="E119" s="41"/>
    </row>
    <row r="120" spans="1:5" x14ac:dyDescent="0.35">
      <c r="A120" s="16" t="s">
        <v>330</v>
      </c>
      <c r="B120" s="42" t="s">
        <v>299</v>
      </c>
      <c r="C120" s="43"/>
      <c r="D120" s="16"/>
      <c r="E120" s="16"/>
    </row>
    <row r="121" spans="1:5" x14ac:dyDescent="0.35">
      <c r="A121" s="16" t="s">
        <v>331</v>
      </c>
      <c r="B121" s="42" t="s">
        <v>299</v>
      </c>
      <c r="C121" s="43"/>
      <c r="D121" s="16"/>
      <c r="E121" s="16"/>
    </row>
    <row r="122" spans="1:5" x14ac:dyDescent="0.35">
      <c r="A122" s="16" t="s">
        <v>332</v>
      </c>
      <c r="B122" s="42" t="s">
        <v>299</v>
      </c>
      <c r="C122" s="43"/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333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334</v>
      </c>
      <c r="B126" s="16"/>
      <c r="C126" s="17" t="s">
        <v>335</v>
      </c>
      <c r="D126" s="18" t="s">
        <v>242</v>
      </c>
      <c r="E126" s="16"/>
    </row>
    <row r="127" spans="1:5" x14ac:dyDescent="0.35">
      <c r="A127" s="16" t="s">
        <v>336</v>
      </c>
      <c r="B127" s="42" t="s">
        <v>299</v>
      </c>
      <c r="C127" s="43">
        <v>1484</v>
      </c>
      <c r="D127" s="46">
        <v>5068</v>
      </c>
      <c r="E127" s="16"/>
    </row>
    <row r="128" spans="1:5" x14ac:dyDescent="0.35">
      <c r="A128" s="16" t="s">
        <v>337</v>
      </c>
      <c r="B128" s="42" t="s">
        <v>299</v>
      </c>
      <c r="C128" s="43"/>
      <c r="D128" s="46"/>
      <c r="E128" s="16"/>
    </row>
    <row r="129" spans="1:5" x14ac:dyDescent="0.35">
      <c r="A129" s="16" t="s">
        <v>338</v>
      </c>
      <c r="B129" s="42" t="s">
        <v>299</v>
      </c>
      <c r="C129" s="43"/>
      <c r="D129" s="46"/>
      <c r="E129" s="16"/>
    </row>
    <row r="130" spans="1:5" x14ac:dyDescent="0.35">
      <c r="A130" s="16" t="s">
        <v>339</v>
      </c>
      <c r="B130" s="42" t="s">
        <v>299</v>
      </c>
      <c r="C130" s="43">
        <v>357</v>
      </c>
      <c r="D130" s="46">
        <v>624</v>
      </c>
      <c r="E130" s="16"/>
    </row>
    <row r="131" spans="1:5" x14ac:dyDescent="0.35">
      <c r="A131" s="22" t="s">
        <v>340</v>
      </c>
      <c r="B131" s="16"/>
      <c r="C131" s="17" t="s">
        <v>194</v>
      </c>
      <c r="D131" s="16"/>
      <c r="E131" s="16"/>
    </row>
    <row r="132" spans="1:5" x14ac:dyDescent="0.35">
      <c r="A132" s="16" t="s">
        <v>341</v>
      </c>
      <c r="B132" s="42" t="s">
        <v>299</v>
      </c>
      <c r="C132" s="43">
        <v>7</v>
      </c>
      <c r="D132" s="16"/>
      <c r="E132" s="16"/>
    </row>
    <row r="133" spans="1:5" x14ac:dyDescent="0.35">
      <c r="A133" s="16" t="s">
        <v>342</v>
      </c>
      <c r="B133" s="42" t="s">
        <v>299</v>
      </c>
      <c r="C133" s="43"/>
      <c r="D133" s="16"/>
      <c r="E133" s="16"/>
    </row>
    <row r="134" spans="1:5" x14ac:dyDescent="0.35">
      <c r="A134" s="16" t="s">
        <v>343</v>
      </c>
      <c r="B134" s="42" t="s">
        <v>299</v>
      </c>
      <c r="C134" s="43">
        <v>16</v>
      </c>
      <c r="D134" s="16"/>
      <c r="E134" s="16"/>
    </row>
    <row r="135" spans="1:5" x14ac:dyDescent="0.35">
      <c r="A135" s="16" t="s">
        <v>344</v>
      </c>
      <c r="B135" s="42" t="s">
        <v>299</v>
      </c>
      <c r="C135" s="43"/>
      <c r="D135" s="16"/>
      <c r="E135" s="16"/>
    </row>
    <row r="136" spans="1:5" x14ac:dyDescent="0.35">
      <c r="A136" s="16" t="s">
        <v>345</v>
      </c>
      <c r="B136" s="42" t="s">
        <v>299</v>
      </c>
      <c r="C136" s="43">
        <v>2</v>
      </c>
      <c r="D136" s="16"/>
      <c r="E136" s="16"/>
    </row>
    <row r="137" spans="1:5" x14ac:dyDescent="0.35">
      <c r="A137" s="16" t="s">
        <v>346</v>
      </c>
      <c r="B137" s="42" t="s">
        <v>299</v>
      </c>
      <c r="C137" s="43"/>
      <c r="D137" s="16"/>
      <c r="E137" s="16"/>
    </row>
    <row r="138" spans="1:5" x14ac:dyDescent="0.35">
      <c r="A138" s="16" t="s">
        <v>123</v>
      </c>
      <c r="B138" s="42" t="s">
        <v>299</v>
      </c>
      <c r="C138" s="43"/>
      <c r="D138" s="16"/>
      <c r="E138" s="16"/>
    </row>
    <row r="139" spans="1:5" x14ac:dyDescent="0.35">
      <c r="A139" s="16" t="s">
        <v>347</v>
      </c>
      <c r="B139" s="42" t="s">
        <v>299</v>
      </c>
      <c r="C139" s="43"/>
      <c r="D139" s="16"/>
      <c r="E139" s="16"/>
    </row>
    <row r="140" spans="1:5" x14ac:dyDescent="0.35">
      <c r="A140" s="16" t="s">
        <v>348</v>
      </c>
      <c r="B140" s="42"/>
      <c r="C140" s="43"/>
      <c r="D140" s="16"/>
      <c r="E140" s="16"/>
    </row>
    <row r="141" spans="1:5" x14ac:dyDescent="0.35">
      <c r="A141" s="16" t="s">
        <v>338</v>
      </c>
      <c r="B141" s="42" t="s">
        <v>299</v>
      </c>
      <c r="C141" s="43"/>
      <c r="D141" s="16"/>
      <c r="E141" s="16"/>
    </row>
    <row r="142" spans="1:5" x14ac:dyDescent="0.35">
      <c r="A142" s="16" t="s">
        <v>349</v>
      </c>
      <c r="B142" s="42" t="s">
        <v>299</v>
      </c>
      <c r="C142" s="43"/>
      <c r="D142" s="16"/>
      <c r="E142" s="16"/>
    </row>
    <row r="143" spans="1:5" x14ac:dyDescent="0.35">
      <c r="A143" s="16" t="s">
        <v>350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351</v>
      </c>
      <c r="B144" s="42" t="s">
        <v>299</v>
      </c>
      <c r="C144" s="43">
        <v>68</v>
      </c>
      <c r="D144" s="16"/>
      <c r="E144" s="16"/>
    </row>
    <row r="145" spans="1:6" x14ac:dyDescent="0.35">
      <c r="A145" s="16" t="s">
        <v>352</v>
      </c>
      <c r="B145" s="42" t="s">
        <v>299</v>
      </c>
      <c r="C145" s="43">
        <v>6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353</v>
      </c>
      <c r="B147" s="42" t="s">
        <v>299</v>
      </c>
      <c r="C147" s="43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354</v>
      </c>
      <c r="B152" s="45"/>
      <c r="C152" s="45"/>
      <c r="D152" s="45"/>
      <c r="E152" s="45"/>
    </row>
    <row r="153" spans="1:6" x14ac:dyDescent="0.35">
      <c r="A153" s="47" t="s">
        <v>355</v>
      </c>
      <c r="B153" s="48" t="s">
        <v>356</v>
      </c>
      <c r="C153" s="49" t="s">
        <v>357</v>
      </c>
      <c r="D153" s="48" t="s">
        <v>159</v>
      </c>
      <c r="E153" s="48" t="s">
        <v>230</v>
      </c>
    </row>
    <row r="154" spans="1:6" x14ac:dyDescent="0.35">
      <c r="A154" s="16" t="s">
        <v>335</v>
      </c>
      <c r="B154" s="46">
        <v>784</v>
      </c>
      <c r="C154" s="46">
        <v>410</v>
      </c>
      <c r="D154" s="273">
        <v>290</v>
      </c>
      <c r="E154" s="28">
        <f>SUM(B154:D154)</f>
        <v>1484</v>
      </c>
    </row>
    <row r="155" spans="1:6" x14ac:dyDescent="0.35">
      <c r="A155" s="16" t="s">
        <v>242</v>
      </c>
      <c r="B155" s="46">
        <v>3152</v>
      </c>
      <c r="C155" s="46">
        <v>1090</v>
      </c>
      <c r="D155" s="273">
        <v>826</v>
      </c>
      <c r="E155" s="28">
        <f>SUM(B155:D155)</f>
        <v>5068</v>
      </c>
    </row>
    <row r="156" spans="1:6" x14ac:dyDescent="0.35">
      <c r="A156" s="16" t="s">
        <v>358</v>
      </c>
      <c r="B156" s="46">
        <v>76143</v>
      </c>
      <c r="C156" s="46">
        <v>57589</v>
      </c>
      <c r="D156" s="46">
        <v>58964</v>
      </c>
      <c r="E156" s="28">
        <f>SUM(B156:D156)</f>
        <v>192696</v>
      </c>
    </row>
    <row r="157" spans="1:6" x14ac:dyDescent="0.35">
      <c r="A157" s="16" t="s">
        <v>287</v>
      </c>
      <c r="B157" s="46">
        <v>34844693</v>
      </c>
      <c r="C157" s="46">
        <v>18935668</v>
      </c>
      <c r="D157" s="46">
        <v>14477055</v>
      </c>
      <c r="E157" s="28">
        <f>SUM(B157:D157)</f>
        <v>68257416</v>
      </c>
      <c r="F157" s="14"/>
    </row>
    <row r="158" spans="1:6" x14ac:dyDescent="0.35">
      <c r="A158" s="16" t="s">
        <v>288</v>
      </c>
      <c r="B158" s="46">
        <v>104157939</v>
      </c>
      <c r="C158" s="46">
        <v>69211551</v>
      </c>
      <c r="D158" s="46">
        <v>63877009</v>
      </c>
      <c r="E158" s="28">
        <f>SUM(B158:D158)</f>
        <v>237246499</v>
      </c>
      <c r="F158" s="14"/>
    </row>
    <row r="159" spans="1:6" x14ac:dyDescent="0.35">
      <c r="A159" s="47" t="s">
        <v>359</v>
      </c>
      <c r="B159" s="48" t="s">
        <v>356</v>
      </c>
      <c r="C159" s="49" t="s">
        <v>357</v>
      </c>
      <c r="D159" s="48" t="s">
        <v>159</v>
      </c>
      <c r="E159" s="48" t="s">
        <v>230</v>
      </c>
    </row>
    <row r="160" spans="1:6" x14ac:dyDescent="0.35">
      <c r="A160" s="16" t="s">
        <v>335</v>
      </c>
      <c r="B160" s="46"/>
      <c r="C160" s="46"/>
      <c r="D160" s="46"/>
      <c r="E160" s="28">
        <f>SUM(B160:D160)</f>
        <v>0</v>
      </c>
    </row>
    <row r="161" spans="1:5" x14ac:dyDescent="0.35">
      <c r="A161" s="16" t="s">
        <v>242</v>
      </c>
      <c r="B161" s="46"/>
      <c r="C161" s="46"/>
      <c r="D161" s="46"/>
      <c r="E161" s="28">
        <f>SUM(B161:D161)</f>
        <v>0</v>
      </c>
    </row>
    <row r="162" spans="1:5" x14ac:dyDescent="0.35">
      <c r="A162" s="16" t="s">
        <v>358</v>
      </c>
      <c r="B162" s="46"/>
      <c r="C162" s="46"/>
      <c r="D162" s="46"/>
      <c r="E162" s="28">
        <f>SUM(B162:D162)</f>
        <v>0</v>
      </c>
    </row>
    <row r="163" spans="1:5" x14ac:dyDescent="0.35">
      <c r="A163" s="16" t="s">
        <v>287</v>
      </c>
      <c r="B163" s="46"/>
      <c r="C163" s="46"/>
      <c r="D163" s="46"/>
      <c r="E163" s="28">
        <f>SUM(B163:D163)</f>
        <v>0</v>
      </c>
    </row>
    <row r="164" spans="1:5" x14ac:dyDescent="0.35">
      <c r="A164" s="16" t="s">
        <v>288</v>
      </c>
      <c r="B164" s="46"/>
      <c r="C164" s="46"/>
      <c r="D164" s="46"/>
      <c r="E164" s="28">
        <f>SUM(B164:D164)</f>
        <v>0</v>
      </c>
    </row>
    <row r="165" spans="1:5" x14ac:dyDescent="0.35">
      <c r="A165" s="47" t="s">
        <v>360</v>
      </c>
      <c r="B165" s="48" t="s">
        <v>356</v>
      </c>
      <c r="C165" s="49" t="s">
        <v>357</v>
      </c>
      <c r="D165" s="48" t="s">
        <v>159</v>
      </c>
      <c r="E165" s="48" t="s">
        <v>230</v>
      </c>
    </row>
    <row r="166" spans="1:5" x14ac:dyDescent="0.35">
      <c r="A166" s="16" t="s">
        <v>335</v>
      </c>
      <c r="B166" s="46"/>
      <c r="C166" s="46"/>
      <c r="D166" s="46"/>
      <c r="E166" s="28">
        <f>SUM(B166:D166)</f>
        <v>0</v>
      </c>
    </row>
    <row r="167" spans="1:5" x14ac:dyDescent="0.35">
      <c r="A167" s="16" t="s">
        <v>242</v>
      </c>
      <c r="B167" s="46"/>
      <c r="C167" s="46"/>
      <c r="D167" s="46"/>
      <c r="E167" s="28">
        <f>SUM(B167:D167)</f>
        <v>0</v>
      </c>
    </row>
    <row r="168" spans="1:5" x14ac:dyDescent="0.35">
      <c r="A168" s="16" t="s">
        <v>358</v>
      </c>
      <c r="B168" s="46"/>
      <c r="C168" s="46"/>
      <c r="D168" s="46"/>
      <c r="E168" s="28">
        <f>SUM(B168:D168)</f>
        <v>0</v>
      </c>
    </row>
    <row r="169" spans="1:5" x14ac:dyDescent="0.35">
      <c r="A169" s="16" t="s">
        <v>287</v>
      </c>
      <c r="B169" s="46"/>
      <c r="C169" s="46"/>
      <c r="D169" s="46"/>
      <c r="E169" s="28">
        <f>SUM(B169:D169)</f>
        <v>0</v>
      </c>
    </row>
    <row r="170" spans="1:5" x14ac:dyDescent="0.35">
      <c r="A170" s="16" t="s">
        <v>288</v>
      </c>
      <c r="B170" s="46"/>
      <c r="C170" s="46"/>
      <c r="D170" s="46"/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361</v>
      </c>
      <c r="B172" s="48" t="s">
        <v>362</v>
      </c>
      <c r="C172" s="49" t="s">
        <v>363</v>
      </c>
      <c r="D172" s="16"/>
      <c r="E172" s="16"/>
    </row>
    <row r="173" spans="1:5" x14ac:dyDescent="0.35">
      <c r="A173" s="21" t="s">
        <v>364</v>
      </c>
      <c r="B173" s="46">
        <v>7128462</v>
      </c>
      <c r="C173" s="46">
        <v>2775753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365</v>
      </c>
      <c r="B179" s="34"/>
      <c r="C179" s="34"/>
      <c r="D179" s="34"/>
      <c r="E179" s="34"/>
    </row>
    <row r="180" spans="1:5" x14ac:dyDescent="0.35">
      <c r="A180" s="41" t="s">
        <v>366</v>
      </c>
      <c r="B180" s="41"/>
      <c r="C180" s="41"/>
      <c r="D180" s="41"/>
      <c r="E180" s="41"/>
    </row>
    <row r="181" spans="1:5" x14ac:dyDescent="0.35">
      <c r="A181" s="16" t="s">
        <v>367</v>
      </c>
      <c r="B181" s="42" t="s">
        <v>299</v>
      </c>
      <c r="C181" s="342">
        <v>4212095.1500000004</v>
      </c>
      <c r="D181" s="16"/>
      <c r="E181" s="16"/>
    </row>
    <row r="182" spans="1:5" x14ac:dyDescent="0.35">
      <c r="A182" s="16" t="s">
        <v>368</v>
      </c>
      <c r="B182" s="42" t="s">
        <v>299</v>
      </c>
      <c r="C182" s="342">
        <v>65223.21</v>
      </c>
      <c r="D182" s="16"/>
      <c r="E182" s="16"/>
    </row>
    <row r="183" spans="1:5" x14ac:dyDescent="0.35">
      <c r="A183" s="21" t="s">
        <v>369</v>
      </c>
      <c r="B183" s="42" t="s">
        <v>299</v>
      </c>
      <c r="C183" s="342">
        <v>524066.14</v>
      </c>
      <c r="D183" s="16"/>
      <c r="E183" s="16"/>
    </row>
    <row r="184" spans="1:5" x14ac:dyDescent="0.35">
      <c r="A184" s="16" t="s">
        <v>370</v>
      </c>
      <c r="B184" s="42" t="s">
        <v>299</v>
      </c>
      <c r="C184" s="342">
        <v>10507233.75</v>
      </c>
      <c r="D184" s="16"/>
      <c r="E184" s="16"/>
    </row>
    <row r="185" spans="1:5" x14ac:dyDescent="0.35">
      <c r="A185" s="16" t="s">
        <v>371</v>
      </c>
      <c r="B185" s="42" t="s">
        <v>299</v>
      </c>
      <c r="C185" s="342">
        <v>31996.98</v>
      </c>
      <c r="D185" s="16"/>
      <c r="E185" s="16"/>
    </row>
    <row r="186" spans="1:5" x14ac:dyDescent="0.35">
      <c r="A186" s="16" t="s">
        <v>372</v>
      </c>
      <c r="B186" s="42" t="s">
        <v>299</v>
      </c>
      <c r="C186" s="342">
        <v>3223736.83</v>
      </c>
      <c r="D186" s="16"/>
      <c r="E186" s="16"/>
    </row>
    <row r="187" spans="1:5" x14ac:dyDescent="0.35">
      <c r="A187" s="16" t="s">
        <v>373</v>
      </c>
      <c r="B187" s="42" t="s">
        <v>299</v>
      </c>
      <c r="C187" s="342">
        <v>252234.09000000003</v>
      </c>
      <c r="D187" s="16"/>
      <c r="E187" s="16"/>
    </row>
    <row r="188" spans="1:5" x14ac:dyDescent="0.35">
      <c r="A188" s="16" t="s">
        <v>373</v>
      </c>
      <c r="B188" s="42" t="s">
        <v>299</v>
      </c>
      <c r="C188" s="342"/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18816586.150000002</v>
      </c>
      <c r="E189" s="16"/>
    </row>
    <row r="190" spans="1:5" x14ac:dyDescent="0.35">
      <c r="A190" s="41" t="s">
        <v>374</v>
      </c>
      <c r="B190" s="41"/>
      <c r="C190" s="41"/>
      <c r="D190" s="41"/>
      <c r="E190" s="41"/>
    </row>
    <row r="191" spans="1:5" x14ac:dyDescent="0.35">
      <c r="A191" s="16" t="s">
        <v>375</v>
      </c>
      <c r="B191" s="42" t="s">
        <v>299</v>
      </c>
      <c r="C191" s="342">
        <v>22336.51</v>
      </c>
      <c r="D191" s="16"/>
      <c r="E191" s="16"/>
    </row>
    <row r="192" spans="1:5" x14ac:dyDescent="0.35">
      <c r="A192" s="16" t="s">
        <v>376</v>
      </c>
      <c r="B192" s="42" t="s">
        <v>299</v>
      </c>
      <c r="C192" s="342">
        <v>302032.92000000004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324369.43000000005</v>
      </c>
      <c r="E193" s="16"/>
    </row>
    <row r="194" spans="1:5" x14ac:dyDescent="0.35">
      <c r="A194" s="41" t="s">
        <v>377</v>
      </c>
      <c r="B194" s="41"/>
      <c r="C194" s="41"/>
      <c r="D194" s="41"/>
      <c r="E194" s="41"/>
    </row>
    <row r="195" spans="1:5" x14ac:dyDescent="0.35">
      <c r="A195" s="16" t="s">
        <v>378</v>
      </c>
      <c r="B195" s="42" t="s">
        <v>299</v>
      </c>
      <c r="C195" s="342">
        <v>583227.43999999994</v>
      </c>
      <c r="D195" s="16"/>
      <c r="E195" s="16"/>
    </row>
    <row r="196" spans="1:5" x14ac:dyDescent="0.35">
      <c r="A196" s="16" t="s">
        <v>379</v>
      </c>
      <c r="B196" s="42" t="s">
        <v>299</v>
      </c>
      <c r="C196" s="342">
        <v>679535.24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1262762.68</v>
      </c>
      <c r="E197" s="16"/>
    </row>
    <row r="198" spans="1:5" x14ac:dyDescent="0.35">
      <c r="A198" s="41" t="s">
        <v>380</v>
      </c>
      <c r="B198" s="41"/>
      <c r="C198" s="41"/>
      <c r="D198" s="41"/>
      <c r="E198" s="41"/>
    </row>
    <row r="199" spans="1:5" x14ac:dyDescent="0.35">
      <c r="A199" s="16" t="s">
        <v>381</v>
      </c>
      <c r="B199" s="42" t="s">
        <v>299</v>
      </c>
      <c r="C199" s="43">
        <v>0</v>
      </c>
      <c r="D199" s="16"/>
      <c r="E199" s="16"/>
    </row>
    <row r="200" spans="1:5" x14ac:dyDescent="0.35">
      <c r="A200" s="16" t="s">
        <v>382</v>
      </c>
      <c r="B200" s="42" t="s">
        <v>299</v>
      </c>
      <c r="C200" s="342">
        <v>683332.67999999993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683332.67999999993</v>
      </c>
      <c r="E202" s="16"/>
    </row>
    <row r="203" spans="1:5" x14ac:dyDescent="0.35">
      <c r="A203" s="41" t="s">
        <v>383</v>
      </c>
      <c r="B203" s="41"/>
      <c r="C203" s="41"/>
      <c r="D203" s="41"/>
      <c r="E203" s="41"/>
    </row>
    <row r="204" spans="1:5" x14ac:dyDescent="0.35">
      <c r="A204" s="16" t="s">
        <v>384</v>
      </c>
      <c r="B204" s="42" t="s">
        <v>299</v>
      </c>
      <c r="C204" s="342">
        <v>3187322.1199999996</v>
      </c>
      <c r="D204" s="16"/>
      <c r="E204" s="16"/>
    </row>
    <row r="205" spans="1:5" x14ac:dyDescent="0.35">
      <c r="A205" s="16" t="s">
        <v>385</v>
      </c>
      <c r="B205" s="42" t="s">
        <v>299</v>
      </c>
      <c r="C205" s="43">
        <v>2138665.59</v>
      </c>
      <c r="D205" s="16"/>
      <c r="E205" s="16"/>
    </row>
    <row r="206" spans="1:5" x14ac:dyDescent="0.35">
      <c r="A206" s="16" t="s">
        <v>230</v>
      </c>
      <c r="B206" s="16"/>
      <c r="C206" s="23"/>
      <c r="D206" s="16">
        <f>SUM(C204:C205)</f>
        <v>5325987.709999999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386</v>
      </c>
      <c r="B208" s="34"/>
      <c r="C208" s="34"/>
      <c r="D208" s="34"/>
      <c r="E208" s="34"/>
    </row>
    <row r="209" spans="1:5" x14ac:dyDescent="0.35">
      <c r="A209" s="45" t="s">
        <v>387</v>
      </c>
      <c r="B209" s="34"/>
      <c r="C209" s="34"/>
      <c r="D209" s="34"/>
      <c r="E209" s="34"/>
    </row>
    <row r="210" spans="1:5" x14ac:dyDescent="0.35">
      <c r="A210" s="22"/>
      <c r="B210" s="18" t="s">
        <v>388</v>
      </c>
      <c r="C210" s="17" t="s">
        <v>389</v>
      </c>
      <c r="D210" s="18" t="s">
        <v>390</v>
      </c>
      <c r="E210" s="18" t="s">
        <v>391</v>
      </c>
    </row>
    <row r="211" spans="1:5" x14ac:dyDescent="0.35">
      <c r="A211" s="16" t="s">
        <v>392</v>
      </c>
      <c r="B211" s="46">
        <v>2015497.22</v>
      </c>
      <c r="C211" s="43">
        <v>0</v>
      </c>
      <c r="D211" s="46">
        <v>0</v>
      </c>
      <c r="E211" s="28">
        <f t="shared" ref="E211:E219" si="22">SUM(B211:C211)-D211</f>
        <v>2015497.22</v>
      </c>
    </row>
    <row r="212" spans="1:5" x14ac:dyDescent="0.35">
      <c r="A212" s="16" t="s">
        <v>393</v>
      </c>
      <c r="B212" s="46">
        <v>11042985.290000001</v>
      </c>
      <c r="C212" s="43">
        <v>68261</v>
      </c>
      <c r="D212" s="46">
        <v>0</v>
      </c>
      <c r="E212" s="28">
        <f t="shared" si="22"/>
        <v>11111246.290000001</v>
      </c>
    </row>
    <row r="213" spans="1:5" x14ac:dyDescent="0.35">
      <c r="A213" s="16" t="s">
        <v>394</v>
      </c>
      <c r="B213" s="46">
        <v>57364279.190000005</v>
      </c>
      <c r="C213" s="43">
        <v>238207</v>
      </c>
      <c r="D213" s="46">
        <v>0</v>
      </c>
      <c r="E213" s="28">
        <f t="shared" si="22"/>
        <v>57602486.190000005</v>
      </c>
    </row>
    <row r="214" spans="1:5" x14ac:dyDescent="0.35">
      <c r="A214" s="16" t="s">
        <v>395</v>
      </c>
      <c r="B214" s="46">
        <v>32599988.440000001</v>
      </c>
      <c r="C214" s="43">
        <v>811019</v>
      </c>
      <c r="D214" s="46">
        <v>0</v>
      </c>
      <c r="E214" s="28">
        <f t="shared" si="22"/>
        <v>33411007.440000001</v>
      </c>
    </row>
    <row r="215" spans="1:5" x14ac:dyDescent="0.35">
      <c r="A215" s="16" t="s">
        <v>396</v>
      </c>
      <c r="B215" s="46">
        <v>0</v>
      </c>
      <c r="C215" s="43">
        <v>0</v>
      </c>
      <c r="D215" s="46">
        <v>0</v>
      </c>
      <c r="E215" s="28">
        <f t="shared" si="22"/>
        <v>0</v>
      </c>
    </row>
    <row r="216" spans="1:5" x14ac:dyDescent="0.35">
      <c r="A216" s="16" t="s">
        <v>397</v>
      </c>
      <c r="B216" s="46">
        <v>39947733.399999999</v>
      </c>
      <c r="C216" s="43">
        <v>3340045</v>
      </c>
      <c r="D216" s="46">
        <v>59782</v>
      </c>
      <c r="E216" s="28">
        <f t="shared" si="22"/>
        <v>43227996.399999999</v>
      </c>
    </row>
    <row r="217" spans="1:5" x14ac:dyDescent="0.35">
      <c r="A217" s="16" t="s">
        <v>398</v>
      </c>
      <c r="B217" s="46">
        <v>0</v>
      </c>
      <c r="C217" s="43">
        <v>640218</v>
      </c>
      <c r="D217" s="46">
        <v>0</v>
      </c>
      <c r="E217" s="28">
        <f t="shared" si="22"/>
        <v>640218</v>
      </c>
    </row>
    <row r="218" spans="1:5" x14ac:dyDescent="0.35">
      <c r="A218" s="16" t="s">
        <v>399</v>
      </c>
      <c r="B218" s="46">
        <v>1163193.04</v>
      </c>
      <c r="C218" s="43">
        <v>10859</v>
      </c>
      <c r="D218" s="46">
        <v>0</v>
      </c>
      <c r="E218" s="28">
        <f t="shared" si="22"/>
        <v>1174052.04</v>
      </c>
    </row>
    <row r="219" spans="1:5" x14ac:dyDescent="0.35">
      <c r="A219" s="16" t="s">
        <v>400</v>
      </c>
      <c r="B219" s="46">
        <v>2907121.49</v>
      </c>
      <c r="C219" s="43">
        <v>8516318</v>
      </c>
      <c r="D219" s="43">
        <v>2783220</v>
      </c>
      <c r="E219" s="28">
        <f t="shared" si="22"/>
        <v>8640219.4900000002</v>
      </c>
    </row>
    <row r="220" spans="1:5" x14ac:dyDescent="0.35">
      <c r="A220" s="16" t="s">
        <v>230</v>
      </c>
      <c r="B220" s="234">
        <f>SUM(B211:B219)</f>
        <v>147040798.06999999</v>
      </c>
      <c r="C220" s="234">
        <f>SUM(C211:C219)</f>
        <v>13624927</v>
      </c>
      <c r="D220" s="28">
        <f>SUM(D211:D219)</f>
        <v>2843002</v>
      </c>
      <c r="E220" s="28">
        <f>SUM(E211:E219)</f>
        <v>157822723.06999999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401</v>
      </c>
      <c r="B222" s="45"/>
      <c r="C222" s="45"/>
      <c r="D222" s="45"/>
      <c r="E222" s="45"/>
    </row>
    <row r="223" spans="1:5" x14ac:dyDescent="0.35">
      <c r="A223" s="22"/>
      <c r="B223" s="18" t="s">
        <v>388</v>
      </c>
      <c r="C223" s="17" t="s">
        <v>389</v>
      </c>
      <c r="D223" s="18" t="s">
        <v>390</v>
      </c>
      <c r="E223" s="18" t="s">
        <v>391</v>
      </c>
    </row>
    <row r="224" spans="1:5" x14ac:dyDescent="0.35">
      <c r="A224" s="16" t="s">
        <v>392</v>
      </c>
      <c r="B224" s="51"/>
      <c r="C224" s="50"/>
      <c r="D224" s="51"/>
      <c r="E224" s="28"/>
    </row>
    <row r="225" spans="1:8" x14ac:dyDescent="0.35">
      <c r="A225" s="16" t="s">
        <v>393</v>
      </c>
      <c r="B225" s="46">
        <v>3487602.92</v>
      </c>
      <c r="C225" s="43">
        <v>743405</v>
      </c>
      <c r="D225" s="46">
        <v>0</v>
      </c>
      <c r="E225" s="28">
        <f t="shared" ref="E225:E232" si="23">SUM(B225:C225)-D225</f>
        <v>4231007.92</v>
      </c>
    </row>
    <row r="226" spans="1:8" x14ac:dyDescent="0.35">
      <c r="A226" s="16" t="s">
        <v>394</v>
      </c>
      <c r="B226" s="46">
        <v>23783269.239999998</v>
      </c>
      <c r="C226" s="43">
        <v>3210097</v>
      </c>
      <c r="D226" s="46">
        <v>0</v>
      </c>
      <c r="E226" s="28">
        <f t="shared" si="23"/>
        <v>26993366.239999998</v>
      </c>
    </row>
    <row r="227" spans="1:8" x14ac:dyDescent="0.35">
      <c r="A227" s="16" t="s">
        <v>395</v>
      </c>
      <c r="B227" s="46">
        <v>14113869.149999999</v>
      </c>
      <c r="C227" s="43">
        <v>1781449</v>
      </c>
      <c r="D227" s="46">
        <v>0</v>
      </c>
      <c r="E227" s="28">
        <f t="shared" si="23"/>
        <v>15895318.149999999</v>
      </c>
      <c r="H227" s="290"/>
    </row>
    <row r="228" spans="1:8" x14ac:dyDescent="0.35">
      <c r="A228" s="16" t="s">
        <v>396</v>
      </c>
      <c r="B228" s="46">
        <v>0</v>
      </c>
      <c r="C228" s="43">
        <v>0</v>
      </c>
      <c r="D228" s="46">
        <v>0</v>
      </c>
      <c r="E228" s="28">
        <f t="shared" si="23"/>
        <v>0</v>
      </c>
    </row>
    <row r="229" spans="1:8" x14ac:dyDescent="0.35">
      <c r="A229" s="16" t="s">
        <v>397</v>
      </c>
      <c r="B229" s="46">
        <v>31788985.379999995</v>
      </c>
      <c r="C229" s="43">
        <v>2460095</v>
      </c>
      <c r="D229" s="46">
        <v>59782</v>
      </c>
      <c r="E229" s="28">
        <f t="shared" si="23"/>
        <v>34189298.379999995</v>
      </c>
      <c r="F229" s="69"/>
    </row>
    <row r="230" spans="1:8" x14ac:dyDescent="0.35">
      <c r="A230" s="16" t="s">
        <v>398</v>
      </c>
      <c r="B230" s="46">
        <v>0</v>
      </c>
      <c r="C230" s="43">
        <v>213406</v>
      </c>
      <c r="D230" s="46">
        <v>0</v>
      </c>
      <c r="E230" s="28">
        <f t="shared" si="23"/>
        <v>213406</v>
      </c>
    </row>
    <row r="231" spans="1:8" x14ac:dyDescent="0.35">
      <c r="A231" s="16" t="s">
        <v>399</v>
      </c>
      <c r="B231" s="46">
        <v>646333.89</v>
      </c>
      <c r="C231" s="43">
        <v>173955</v>
      </c>
      <c r="D231" s="46">
        <v>0</v>
      </c>
      <c r="E231" s="28">
        <f t="shared" si="23"/>
        <v>820288.89</v>
      </c>
    </row>
    <row r="232" spans="1:8" x14ac:dyDescent="0.35">
      <c r="A232" s="16" t="s">
        <v>400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8" x14ac:dyDescent="0.35">
      <c r="A233" s="16" t="s">
        <v>230</v>
      </c>
      <c r="B233" s="28">
        <f>SUM(B224:B232)</f>
        <v>73820060.579999998</v>
      </c>
      <c r="C233" s="234">
        <f>SUM(C224:C232)</f>
        <v>8582407</v>
      </c>
      <c r="D233" s="28">
        <f>SUM(D224:D232)</f>
        <v>59782</v>
      </c>
      <c r="E233" s="28">
        <f>SUM(E224:E232)</f>
        <v>82342685.579999998</v>
      </c>
    </row>
    <row r="234" spans="1:8" x14ac:dyDescent="0.35">
      <c r="A234" s="16"/>
      <c r="B234" s="16"/>
      <c r="C234" s="23"/>
      <c r="D234" s="16"/>
      <c r="E234" s="16"/>
      <c r="F234" s="11">
        <f>E220-E233</f>
        <v>75480037.489999995</v>
      </c>
    </row>
    <row r="235" spans="1:8" x14ac:dyDescent="0.35">
      <c r="A235" s="34" t="s">
        <v>402</v>
      </c>
      <c r="B235" s="34"/>
      <c r="C235" s="34"/>
      <c r="D235" s="34"/>
      <c r="E235" s="34"/>
    </row>
    <row r="236" spans="1:8" x14ac:dyDescent="0.35">
      <c r="A236" s="34"/>
      <c r="B236" s="347" t="s">
        <v>403</v>
      </c>
      <c r="C236" s="347"/>
      <c r="D236" s="34"/>
      <c r="E236" s="34"/>
    </row>
    <row r="237" spans="1:8" x14ac:dyDescent="0.35">
      <c r="A237" s="52" t="s">
        <v>403</v>
      </c>
      <c r="B237" s="34"/>
      <c r="C237" s="43">
        <v>2833307.6500000004</v>
      </c>
      <c r="D237" s="36">
        <f>C237</f>
        <v>2833307.6500000004</v>
      </c>
      <c r="E237" s="34"/>
    </row>
    <row r="238" spans="1:8" x14ac:dyDescent="0.35">
      <c r="A238" s="41" t="s">
        <v>404</v>
      </c>
      <c r="B238" s="41"/>
      <c r="C238" s="41"/>
      <c r="D238" s="41"/>
      <c r="E238" s="41"/>
    </row>
    <row r="239" spans="1:8" x14ac:dyDescent="0.35">
      <c r="A239" s="16" t="s">
        <v>405</v>
      </c>
      <c r="B239" s="42" t="s">
        <v>299</v>
      </c>
      <c r="C239" s="43">
        <v>81114866.900000006</v>
      </c>
      <c r="D239" s="16"/>
      <c r="E239" s="16"/>
    </row>
    <row r="240" spans="1:8" x14ac:dyDescent="0.35">
      <c r="A240" s="16" t="s">
        <v>406</v>
      </c>
      <c r="B240" s="42" t="s">
        <v>299</v>
      </c>
      <c r="C240" s="43">
        <v>53327533.840000004</v>
      </c>
      <c r="D240" s="16"/>
      <c r="E240" s="16"/>
    </row>
    <row r="241" spans="1:5" x14ac:dyDescent="0.35">
      <c r="A241" s="16" t="s">
        <v>407</v>
      </c>
      <c r="B241" s="42" t="s">
        <v>299</v>
      </c>
      <c r="C241" s="43">
        <v>8595382.379999999</v>
      </c>
      <c r="D241" s="16"/>
      <c r="E241" s="16"/>
    </row>
    <row r="242" spans="1:5" x14ac:dyDescent="0.35">
      <c r="A242" s="16" t="s">
        <v>408</v>
      </c>
      <c r="B242" s="42" t="s">
        <v>299</v>
      </c>
      <c r="C242" s="43"/>
      <c r="D242" s="16"/>
      <c r="E242" s="16"/>
    </row>
    <row r="243" spans="1:5" x14ac:dyDescent="0.35">
      <c r="A243" s="16" t="s">
        <v>409</v>
      </c>
      <c r="B243" s="42" t="s">
        <v>299</v>
      </c>
      <c r="C243" s="43">
        <v>24153319.02</v>
      </c>
      <c r="D243" s="16"/>
      <c r="E243" s="16"/>
    </row>
    <row r="244" spans="1:5" x14ac:dyDescent="0.35">
      <c r="A244" s="16" t="s">
        <v>410</v>
      </c>
      <c r="B244" s="42" t="s">
        <v>299</v>
      </c>
      <c r="C244" s="43"/>
      <c r="D244" s="16"/>
      <c r="E244" s="16"/>
    </row>
    <row r="245" spans="1:5" x14ac:dyDescent="0.35">
      <c r="A245" s="16" t="s">
        <v>411</v>
      </c>
      <c r="B245" s="16"/>
      <c r="C245" s="23"/>
      <c r="D245" s="28">
        <f>SUM(C239:C244)</f>
        <v>167191102.14000002</v>
      </c>
      <c r="E245" s="16"/>
    </row>
    <row r="246" spans="1:5" x14ac:dyDescent="0.35">
      <c r="A246" s="41" t="s">
        <v>412</v>
      </c>
      <c r="B246" s="41"/>
      <c r="C246" s="41"/>
      <c r="D246" s="41"/>
      <c r="E246" s="41"/>
    </row>
    <row r="247" spans="1:5" x14ac:dyDescent="0.35">
      <c r="A247" s="22" t="s">
        <v>413</v>
      </c>
      <c r="B247" s="42" t="s">
        <v>299</v>
      </c>
      <c r="C247" s="43">
        <v>1607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414</v>
      </c>
      <c r="B249" s="42" t="s">
        <v>299</v>
      </c>
      <c r="C249" s="43">
        <v>383989</v>
      </c>
      <c r="D249" s="16"/>
      <c r="E249" s="16"/>
    </row>
    <row r="250" spans="1:5" x14ac:dyDescent="0.35">
      <c r="A250" s="22" t="s">
        <v>415</v>
      </c>
      <c r="B250" s="42" t="s">
        <v>299</v>
      </c>
      <c r="C250" s="43">
        <v>3640128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416</v>
      </c>
      <c r="B252" s="16"/>
      <c r="C252" s="23"/>
      <c r="D252" s="28">
        <f>SUM(C249:C251)</f>
        <v>4024117</v>
      </c>
      <c r="E252" s="16"/>
    </row>
    <row r="253" spans="1:5" x14ac:dyDescent="0.35">
      <c r="A253" s="41" t="s">
        <v>417</v>
      </c>
      <c r="B253" s="41"/>
      <c r="C253" s="41"/>
      <c r="D253" s="41"/>
      <c r="E253" s="41"/>
    </row>
    <row r="254" spans="1:5" x14ac:dyDescent="0.35">
      <c r="A254" s="16" t="s">
        <v>418</v>
      </c>
      <c r="B254" s="42" t="s">
        <v>299</v>
      </c>
      <c r="C254" s="43">
        <v>4295282</v>
      </c>
      <c r="D254" s="16"/>
      <c r="E254" s="16"/>
    </row>
    <row r="255" spans="1:5" x14ac:dyDescent="0.35">
      <c r="A255" s="16" t="s">
        <v>417</v>
      </c>
      <c r="B255" s="42" t="s">
        <v>299</v>
      </c>
      <c r="C255" s="43"/>
      <c r="D255" s="16"/>
      <c r="E255" s="16"/>
    </row>
    <row r="256" spans="1:5" x14ac:dyDescent="0.35">
      <c r="A256" s="16" t="s">
        <v>419</v>
      </c>
      <c r="B256" s="16"/>
      <c r="C256" s="23"/>
      <c r="D256" s="28">
        <f>SUM(C254:C255)</f>
        <v>4295282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420</v>
      </c>
      <c r="B258" s="16"/>
      <c r="C258" s="23"/>
      <c r="D258" s="16">
        <f>D237+D245+D252+D256</f>
        <v>178343808.79000002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421</v>
      </c>
      <c r="B264" s="34"/>
      <c r="C264" s="34"/>
      <c r="D264" s="34"/>
      <c r="E264" s="34"/>
    </row>
    <row r="265" spans="1:5" x14ac:dyDescent="0.35">
      <c r="A265" s="41" t="s">
        <v>422</v>
      </c>
      <c r="B265" s="41"/>
      <c r="C265" s="41"/>
      <c r="D265" s="41"/>
      <c r="E265" s="41"/>
    </row>
    <row r="266" spans="1:5" x14ac:dyDescent="0.35">
      <c r="A266" s="16" t="s">
        <v>423</v>
      </c>
      <c r="B266" s="42" t="s">
        <v>299</v>
      </c>
      <c r="C266" s="342">
        <v>99584319.890000001</v>
      </c>
      <c r="D266" s="16"/>
      <c r="E266" s="16"/>
    </row>
    <row r="267" spans="1:5" x14ac:dyDescent="0.35">
      <c r="A267" s="16" t="s">
        <v>424</v>
      </c>
      <c r="B267" s="42" t="s">
        <v>299</v>
      </c>
      <c r="C267" s="342"/>
      <c r="D267" s="16"/>
      <c r="E267" s="16"/>
    </row>
    <row r="268" spans="1:5" x14ac:dyDescent="0.35">
      <c r="A268" s="16" t="s">
        <v>425</v>
      </c>
      <c r="B268" s="42" t="s">
        <v>299</v>
      </c>
      <c r="C268" s="342">
        <v>45587003.270000003</v>
      </c>
      <c r="D268" s="16"/>
      <c r="E268" s="16"/>
    </row>
    <row r="269" spans="1:5" x14ac:dyDescent="0.35">
      <c r="A269" s="16" t="s">
        <v>426</v>
      </c>
      <c r="B269" s="42" t="s">
        <v>299</v>
      </c>
      <c r="C269" s="342">
        <v>27766671.010000002</v>
      </c>
      <c r="D269" s="16"/>
      <c r="E269" s="16"/>
    </row>
    <row r="270" spans="1:5" x14ac:dyDescent="0.35">
      <c r="A270" s="16" t="s">
        <v>427</v>
      </c>
      <c r="B270" s="42" t="s">
        <v>299</v>
      </c>
      <c r="C270" s="342" t="s">
        <v>5</v>
      </c>
      <c r="D270" s="16"/>
      <c r="E270" s="16"/>
    </row>
    <row r="271" spans="1:5" x14ac:dyDescent="0.35">
      <c r="A271" s="16" t="s">
        <v>428</v>
      </c>
      <c r="B271" s="42" t="s">
        <v>299</v>
      </c>
      <c r="C271" s="342">
        <v>603187.49</v>
      </c>
      <c r="D271" s="16"/>
      <c r="E271" s="16"/>
    </row>
    <row r="272" spans="1:5" x14ac:dyDescent="0.35">
      <c r="A272" s="16" t="s">
        <v>429</v>
      </c>
      <c r="B272" s="42" t="s">
        <v>299</v>
      </c>
      <c r="C272" s="342"/>
      <c r="D272" s="16"/>
      <c r="E272" s="16"/>
    </row>
    <row r="273" spans="1:5" x14ac:dyDescent="0.35">
      <c r="A273" s="16" t="s">
        <v>430</v>
      </c>
      <c r="B273" s="42" t="s">
        <v>299</v>
      </c>
      <c r="C273" s="342">
        <v>2096970.79</v>
      </c>
      <c r="D273" s="16"/>
      <c r="E273" s="16"/>
    </row>
    <row r="274" spans="1:5" x14ac:dyDescent="0.35">
      <c r="A274" s="16" t="s">
        <v>431</v>
      </c>
      <c r="B274" s="42" t="s">
        <v>299</v>
      </c>
      <c r="C274" s="342">
        <v>2332512.87</v>
      </c>
      <c r="D274" s="16"/>
      <c r="E274" s="16"/>
    </row>
    <row r="275" spans="1:5" x14ac:dyDescent="0.35">
      <c r="A275" s="16" t="s">
        <v>432</v>
      </c>
      <c r="B275" s="42" t="s">
        <v>299</v>
      </c>
      <c r="C275" s="342"/>
      <c r="D275" s="16"/>
      <c r="E275" s="16"/>
    </row>
    <row r="276" spans="1:5" x14ac:dyDescent="0.35">
      <c r="A276" s="16" t="s">
        <v>433</v>
      </c>
      <c r="B276" s="16"/>
      <c r="C276" s="23"/>
      <c r="D276" s="28">
        <f>SUM(C266:C268)-C269+SUM(C270:C275)</f>
        <v>122437323.3</v>
      </c>
      <c r="E276" s="16"/>
    </row>
    <row r="277" spans="1:5" x14ac:dyDescent="0.35">
      <c r="A277" s="41" t="s">
        <v>434</v>
      </c>
      <c r="B277" s="41"/>
      <c r="C277" s="41"/>
      <c r="D277" s="41"/>
      <c r="E277" s="41"/>
    </row>
    <row r="278" spans="1:5" x14ac:dyDescent="0.35">
      <c r="A278" s="16" t="s">
        <v>423</v>
      </c>
      <c r="B278" s="42" t="s">
        <v>299</v>
      </c>
      <c r="C278" s="342">
        <v>84131.139999999854</v>
      </c>
      <c r="D278" s="16"/>
      <c r="E278" s="16"/>
    </row>
    <row r="279" spans="1:5" x14ac:dyDescent="0.35">
      <c r="A279" s="16" t="s">
        <v>424</v>
      </c>
      <c r="B279" s="42" t="s">
        <v>299</v>
      </c>
      <c r="C279" s="43"/>
      <c r="D279" s="16"/>
      <c r="E279" s="16"/>
    </row>
    <row r="280" spans="1:5" x14ac:dyDescent="0.35">
      <c r="A280" s="16" t="s">
        <v>435</v>
      </c>
      <c r="B280" s="42" t="s">
        <v>299</v>
      </c>
      <c r="C280" s="43"/>
      <c r="D280" s="16"/>
      <c r="E280" s="16"/>
    </row>
    <row r="281" spans="1:5" x14ac:dyDescent="0.35">
      <c r="A281" s="16" t="s">
        <v>436</v>
      </c>
      <c r="B281" s="16"/>
      <c r="C281" s="23"/>
      <c r="D281" s="28">
        <f>SUM(C278:C280)</f>
        <v>84131.139999999854</v>
      </c>
      <c r="E281" s="16"/>
    </row>
    <row r="282" spans="1:5" x14ac:dyDescent="0.35">
      <c r="A282" s="41" t="s">
        <v>437</v>
      </c>
      <c r="B282" s="41"/>
      <c r="C282" s="41"/>
      <c r="D282" s="41"/>
      <c r="E282" s="41"/>
    </row>
    <row r="283" spans="1:5" x14ac:dyDescent="0.35">
      <c r="A283" s="16" t="s">
        <v>392</v>
      </c>
      <c r="B283" s="42" t="s">
        <v>299</v>
      </c>
      <c r="C283" s="342">
        <v>2817552.07</v>
      </c>
      <c r="D283" s="16"/>
      <c r="E283" s="16"/>
    </row>
    <row r="284" spans="1:5" x14ac:dyDescent="0.35">
      <c r="A284" s="16" t="s">
        <v>393</v>
      </c>
      <c r="B284" s="42" t="s">
        <v>299</v>
      </c>
      <c r="C284" s="342">
        <v>11111246.33</v>
      </c>
      <c r="D284" s="16"/>
      <c r="E284" s="16"/>
    </row>
    <row r="285" spans="1:5" x14ac:dyDescent="0.35">
      <c r="A285" s="16" t="s">
        <v>394</v>
      </c>
      <c r="B285" s="42" t="s">
        <v>299</v>
      </c>
      <c r="C285" s="342">
        <v>60196294.75</v>
      </c>
      <c r="D285" s="16"/>
      <c r="E285" s="16"/>
    </row>
    <row r="286" spans="1:5" x14ac:dyDescent="0.35">
      <c r="A286" s="16" t="s">
        <v>438</v>
      </c>
      <c r="B286" s="42" t="s">
        <v>299</v>
      </c>
      <c r="C286" s="342">
        <v>34490584.100000001</v>
      </c>
      <c r="D286" s="16"/>
      <c r="E286" s="16"/>
    </row>
    <row r="287" spans="1:5" x14ac:dyDescent="0.35">
      <c r="A287" s="16" t="s">
        <v>439</v>
      </c>
      <c r="B287" s="42" t="s">
        <v>299</v>
      </c>
      <c r="C287" s="342"/>
      <c r="D287" s="16"/>
      <c r="E287" s="16"/>
    </row>
    <row r="288" spans="1:5" x14ac:dyDescent="0.35">
      <c r="A288" s="16" t="s">
        <v>440</v>
      </c>
      <c r="B288" s="42" t="s">
        <v>299</v>
      </c>
      <c r="C288" s="342">
        <v>104296835.83</v>
      </c>
      <c r="D288" s="16"/>
      <c r="E288" s="16"/>
    </row>
    <row r="289" spans="1:5" x14ac:dyDescent="0.35">
      <c r="A289" s="16" t="s">
        <v>399</v>
      </c>
      <c r="B289" s="42" t="s">
        <v>299</v>
      </c>
      <c r="C289" s="342">
        <v>1174052.3700000001</v>
      </c>
      <c r="D289" s="16"/>
      <c r="E289" s="16"/>
    </row>
    <row r="290" spans="1:5" x14ac:dyDescent="0.35">
      <c r="A290" s="16" t="s">
        <v>400</v>
      </c>
      <c r="B290" s="42" t="s">
        <v>299</v>
      </c>
      <c r="C290" s="342">
        <v>3349965.08</v>
      </c>
      <c r="D290" s="16"/>
      <c r="E290" s="16"/>
    </row>
    <row r="291" spans="1:5" x14ac:dyDescent="0.35">
      <c r="A291" s="16" t="s">
        <v>441</v>
      </c>
      <c r="B291" s="16"/>
      <c r="C291" s="23"/>
      <c r="D291" s="28">
        <f>SUM(C283:C290)</f>
        <v>217436530.53</v>
      </c>
      <c r="E291" s="16"/>
    </row>
    <row r="292" spans="1:5" x14ac:dyDescent="0.35">
      <c r="A292" s="16" t="s">
        <v>442</v>
      </c>
      <c r="B292" s="42" t="s">
        <v>299</v>
      </c>
      <c r="C292" s="342">
        <v>107674286.33</v>
      </c>
      <c r="D292" s="16"/>
      <c r="E292" s="16"/>
    </row>
    <row r="293" spans="1:5" x14ac:dyDescent="0.35">
      <c r="A293" s="16" t="s">
        <v>443</v>
      </c>
      <c r="B293" s="16"/>
      <c r="C293" s="23"/>
      <c r="D293" s="28">
        <f>D291-C292</f>
        <v>109762244.2</v>
      </c>
      <c r="E293" s="16"/>
    </row>
    <row r="294" spans="1:5" x14ac:dyDescent="0.35">
      <c r="A294" s="41" t="s">
        <v>444</v>
      </c>
      <c r="B294" s="41"/>
      <c r="C294" s="41"/>
      <c r="D294" s="41"/>
      <c r="E294" s="41"/>
    </row>
    <row r="295" spans="1:5" x14ac:dyDescent="0.35">
      <c r="A295" s="16" t="s">
        <v>445</v>
      </c>
      <c r="B295" s="42" t="s">
        <v>299</v>
      </c>
      <c r="C295" s="43"/>
      <c r="D295" s="16"/>
      <c r="E295" s="16"/>
    </row>
    <row r="296" spans="1:5" x14ac:dyDescent="0.35">
      <c r="A296" s="16" t="s">
        <v>446</v>
      </c>
      <c r="B296" s="42" t="s">
        <v>299</v>
      </c>
      <c r="C296" s="43"/>
      <c r="D296" s="16"/>
      <c r="E296" s="16"/>
    </row>
    <row r="297" spans="1:5" x14ac:dyDescent="0.35">
      <c r="A297" s="16" t="s">
        <v>447</v>
      </c>
      <c r="B297" s="42" t="s">
        <v>299</v>
      </c>
      <c r="C297" s="43"/>
      <c r="D297" s="16"/>
      <c r="E297" s="16"/>
    </row>
    <row r="298" spans="1:5" x14ac:dyDescent="0.35">
      <c r="A298" s="16" t="s">
        <v>435</v>
      </c>
      <c r="B298" s="42" t="s">
        <v>299</v>
      </c>
      <c r="C298" s="43"/>
      <c r="D298" s="16"/>
      <c r="E298" s="16"/>
    </row>
    <row r="299" spans="1:5" x14ac:dyDescent="0.35">
      <c r="A299" s="16" t="s">
        <v>448</v>
      </c>
      <c r="B299" s="16"/>
      <c r="C299" s="23"/>
      <c r="D299" s="28">
        <f>C295-C296+C297+C298</f>
        <v>0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449</v>
      </c>
      <c r="B301" s="41"/>
      <c r="C301" s="41"/>
      <c r="D301" s="41"/>
      <c r="E301" s="41"/>
    </row>
    <row r="302" spans="1:5" x14ac:dyDescent="0.35">
      <c r="A302" s="16" t="s">
        <v>450</v>
      </c>
      <c r="B302" s="42" t="s">
        <v>299</v>
      </c>
      <c r="C302" s="43"/>
      <c r="D302" s="16"/>
      <c r="E302" s="16"/>
    </row>
    <row r="303" spans="1:5" x14ac:dyDescent="0.35">
      <c r="A303" s="16" t="s">
        <v>451</v>
      </c>
      <c r="B303" s="42" t="s">
        <v>299</v>
      </c>
      <c r="C303" s="43"/>
      <c r="D303" s="16"/>
      <c r="E303" s="16"/>
    </row>
    <row r="304" spans="1:5" x14ac:dyDescent="0.35">
      <c r="A304" s="16" t="s">
        <v>452</v>
      </c>
      <c r="B304" s="42" t="s">
        <v>299</v>
      </c>
      <c r="C304" s="43"/>
      <c r="D304" s="16"/>
      <c r="E304" s="16"/>
    </row>
    <row r="305" spans="1:6" x14ac:dyDescent="0.35">
      <c r="A305" s="16" t="s">
        <v>453</v>
      </c>
      <c r="B305" s="42" t="s">
        <v>299</v>
      </c>
      <c r="C305" s="43"/>
      <c r="D305" s="16"/>
      <c r="E305" s="16"/>
    </row>
    <row r="306" spans="1:6" x14ac:dyDescent="0.35">
      <c r="A306" s="16" t="s">
        <v>454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455</v>
      </c>
      <c r="B308" s="16"/>
      <c r="C308" s="23"/>
      <c r="D308" s="16">
        <f>D276+D281+D293+D299+D306</f>
        <v>232283698.63999999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232283698.63999999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456</v>
      </c>
      <c r="B312" s="34"/>
      <c r="C312" s="34"/>
      <c r="D312" s="34"/>
      <c r="E312" s="34"/>
    </row>
    <row r="313" spans="1:6" x14ac:dyDescent="0.35">
      <c r="A313" s="41" t="s">
        <v>457</v>
      </c>
      <c r="B313" s="41"/>
      <c r="C313" s="41"/>
      <c r="D313" s="41"/>
      <c r="E313" s="41"/>
    </row>
    <row r="314" spans="1:6" x14ac:dyDescent="0.35">
      <c r="A314" s="16" t="s">
        <v>458</v>
      </c>
      <c r="B314" s="42" t="s">
        <v>299</v>
      </c>
      <c r="C314" s="342"/>
      <c r="D314" s="16"/>
      <c r="E314" s="16"/>
    </row>
    <row r="315" spans="1:6" x14ac:dyDescent="0.35">
      <c r="A315" s="16" t="s">
        <v>459</v>
      </c>
      <c r="B315" s="42" t="s">
        <v>299</v>
      </c>
      <c r="C315" s="342">
        <v>5034244.93</v>
      </c>
      <c r="D315" s="16"/>
      <c r="E315" s="16"/>
    </row>
    <row r="316" spans="1:6" x14ac:dyDescent="0.35">
      <c r="A316" s="16" t="s">
        <v>460</v>
      </c>
      <c r="B316" s="42" t="s">
        <v>299</v>
      </c>
      <c r="C316" s="342">
        <v>10254973.85</v>
      </c>
      <c r="D316" s="16"/>
      <c r="E316" s="16"/>
    </row>
    <row r="317" spans="1:6" x14ac:dyDescent="0.35">
      <c r="A317" s="16" t="s">
        <v>461</v>
      </c>
      <c r="B317" s="42" t="s">
        <v>299</v>
      </c>
      <c r="C317" s="342">
        <v>98071.65</v>
      </c>
      <c r="D317" s="16"/>
      <c r="E317" s="16"/>
    </row>
    <row r="318" spans="1:6" x14ac:dyDescent="0.35">
      <c r="A318" s="16" t="s">
        <v>462</v>
      </c>
      <c r="B318" s="42" t="s">
        <v>299</v>
      </c>
      <c r="C318" s="342"/>
      <c r="D318" s="16"/>
      <c r="E318" s="16"/>
    </row>
    <row r="319" spans="1:6" x14ac:dyDescent="0.35">
      <c r="A319" s="16" t="s">
        <v>463</v>
      </c>
      <c r="B319" s="42" t="s">
        <v>299</v>
      </c>
      <c r="C319" s="342">
        <v>2272612.7199999997</v>
      </c>
      <c r="D319" s="16"/>
      <c r="E319" s="16"/>
    </row>
    <row r="320" spans="1:6" x14ac:dyDescent="0.35">
      <c r="A320" s="16" t="s">
        <v>464</v>
      </c>
      <c r="B320" s="42" t="s">
        <v>299</v>
      </c>
      <c r="C320" s="342"/>
      <c r="D320" s="16"/>
      <c r="E320" s="16"/>
    </row>
    <row r="321" spans="1:5" x14ac:dyDescent="0.35">
      <c r="A321" s="16" t="s">
        <v>465</v>
      </c>
      <c r="B321" s="42" t="s">
        <v>299</v>
      </c>
      <c r="C321" s="342"/>
      <c r="D321" s="16"/>
      <c r="E321" s="16"/>
    </row>
    <row r="322" spans="1:5" x14ac:dyDescent="0.35">
      <c r="A322" s="16" t="s">
        <v>466</v>
      </c>
      <c r="B322" s="42" t="s">
        <v>299</v>
      </c>
      <c r="C322" s="342">
        <v>204997.23</v>
      </c>
      <c r="D322" s="16"/>
      <c r="E322" s="16"/>
    </row>
    <row r="323" spans="1:5" x14ac:dyDescent="0.35">
      <c r="A323" s="16" t="s">
        <v>467</v>
      </c>
      <c r="B323" s="42" t="s">
        <v>299</v>
      </c>
      <c r="C323" s="342">
        <v>6600928.2200000007</v>
      </c>
      <c r="D323" s="16"/>
      <c r="E323" s="16"/>
    </row>
    <row r="324" spans="1:5" x14ac:dyDescent="0.35">
      <c r="A324" s="16" t="s">
        <v>468</v>
      </c>
      <c r="B324" s="16"/>
      <c r="C324" s="23"/>
      <c r="D324" s="28">
        <f>SUM(C314:C323)</f>
        <v>24465828.600000001</v>
      </c>
      <c r="E324" s="16"/>
    </row>
    <row r="325" spans="1:5" x14ac:dyDescent="0.35">
      <c r="A325" s="41" t="s">
        <v>469</v>
      </c>
      <c r="B325" s="41"/>
      <c r="C325" s="41"/>
      <c r="D325" s="41"/>
      <c r="E325" s="41"/>
    </row>
    <row r="326" spans="1:5" x14ac:dyDescent="0.35">
      <c r="A326" s="16" t="s">
        <v>470</v>
      </c>
      <c r="B326" s="42" t="s">
        <v>299</v>
      </c>
      <c r="C326" s="43"/>
      <c r="D326" s="16"/>
      <c r="E326" s="16"/>
    </row>
    <row r="327" spans="1:5" x14ac:dyDescent="0.35">
      <c r="A327" s="16" t="s">
        <v>471</v>
      </c>
      <c r="B327" s="42" t="s">
        <v>299</v>
      </c>
      <c r="C327" s="43">
        <v>2160409.7200000002</v>
      </c>
      <c r="D327" s="16"/>
      <c r="E327" s="16"/>
    </row>
    <row r="328" spans="1:5" x14ac:dyDescent="0.35">
      <c r="A328" s="16" t="s">
        <v>472</v>
      </c>
      <c r="B328" s="42" t="s">
        <v>299</v>
      </c>
      <c r="C328" s="43"/>
      <c r="D328" s="16"/>
      <c r="E328" s="16"/>
    </row>
    <row r="329" spans="1:5" x14ac:dyDescent="0.35">
      <c r="A329" s="16" t="s">
        <v>473</v>
      </c>
      <c r="B329" s="16"/>
      <c r="C329" s="23"/>
      <c r="D329" s="28">
        <f>SUM(C326:C328)</f>
        <v>2160409.7200000002</v>
      </c>
      <c r="E329" s="16"/>
    </row>
    <row r="330" spans="1:5" x14ac:dyDescent="0.35">
      <c r="A330" s="41" t="s">
        <v>474</v>
      </c>
      <c r="B330" s="41"/>
      <c r="C330" s="41"/>
      <c r="D330" s="41"/>
      <c r="E330" s="41"/>
    </row>
    <row r="331" spans="1:5" x14ac:dyDescent="0.35">
      <c r="A331" s="16" t="s">
        <v>475</v>
      </c>
      <c r="B331" s="42" t="s">
        <v>299</v>
      </c>
      <c r="C331" s="43"/>
      <c r="D331" s="16"/>
      <c r="E331" s="16"/>
    </row>
    <row r="332" spans="1:5" x14ac:dyDescent="0.35">
      <c r="A332" s="16" t="s">
        <v>476</v>
      </c>
      <c r="B332" s="42" t="s">
        <v>299</v>
      </c>
      <c r="C332" s="43"/>
      <c r="D332" s="16"/>
      <c r="E332" s="16"/>
    </row>
    <row r="333" spans="1:5" x14ac:dyDescent="0.35">
      <c r="A333" s="16" t="s">
        <v>477</v>
      </c>
      <c r="B333" s="42" t="s">
        <v>299</v>
      </c>
      <c r="C333" s="43"/>
      <c r="D333" s="16"/>
      <c r="E333" s="16"/>
    </row>
    <row r="334" spans="1:5" x14ac:dyDescent="0.35">
      <c r="A334" s="22" t="s">
        <v>478</v>
      </c>
      <c r="B334" s="42" t="s">
        <v>299</v>
      </c>
      <c r="C334" s="342">
        <v>37092186.359999999</v>
      </c>
      <c r="D334" s="16"/>
      <c r="E334" s="16"/>
    </row>
    <row r="335" spans="1:5" x14ac:dyDescent="0.35">
      <c r="A335" s="16" t="s">
        <v>479</v>
      </c>
      <c r="B335" s="42" t="s">
        <v>299</v>
      </c>
      <c r="C335" s="342">
        <v>62378791.049999997</v>
      </c>
      <c r="D335" s="16"/>
      <c r="E335" s="16"/>
    </row>
    <row r="336" spans="1:5" x14ac:dyDescent="0.35">
      <c r="A336" s="22" t="s">
        <v>480</v>
      </c>
      <c r="B336" s="42" t="s">
        <v>299</v>
      </c>
      <c r="C336" s="43"/>
      <c r="D336" s="16"/>
      <c r="E336" s="16"/>
    </row>
    <row r="337" spans="1:5" x14ac:dyDescent="0.35">
      <c r="A337" s="22" t="s">
        <v>481</v>
      </c>
      <c r="B337" s="42" t="s">
        <v>299</v>
      </c>
      <c r="C337" s="235">
        <v>0</v>
      </c>
      <c r="D337" s="16"/>
      <c r="E337" s="16"/>
    </row>
    <row r="338" spans="1:5" x14ac:dyDescent="0.35">
      <c r="A338" s="16" t="s">
        <v>482</v>
      </c>
      <c r="B338" s="42" t="s">
        <v>299</v>
      </c>
      <c r="C338" s="43"/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99470977.409999996</v>
      </c>
      <c r="E339" s="16"/>
    </row>
    <row r="340" spans="1:5" x14ac:dyDescent="0.35">
      <c r="A340" s="16" t="s">
        <v>483</v>
      </c>
      <c r="B340" s="16"/>
      <c r="C340" s="23"/>
      <c r="D340" s="28">
        <f>C323</f>
        <v>6600928.2200000007</v>
      </c>
      <c r="E340" s="16"/>
    </row>
    <row r="341" spans="1:5" x14ac:dyDescent="0.35">
      <c r="A341" s="16" t="s">
        <v>484</v>
      </c>
      <c r="B341" s="16"/>
      <c r="C341" s="23"/>
      <c r="D341" s="28">
        <f>D339-D340</f>
        <v>92870049.189999998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485</v>
      </c>
      <c r="B343" s="42" t="s">
        <v>299</v>
      </c>
      <c r="C343" s="343">
        <v>114947820.8499999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486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487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488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489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490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491</v>
      </c>
      <c r="B350" s="16"/>
      <c r="C350" s="23"/>
      <c r="D350" s="28">
        <f>D324+D329+D341+C343+C347+C348</f>
        <v>234444108.3599999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492</v>
      </c>
      <c r="B352" s="16"/>
      <c r="C352" s="23"/>
      <c r="D352" s="28">
        <f>D308</f>
        <v>232283698.63999999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493</v>
      </c>
      <c r="B356" s="34"/>
      <c r="C356" s="34"/>
      <c r="D356" s="34"/>
      <c r="E356" s="34"/>
    </row>
    <row r="357" spans="1:5" x14ac:dyDescent="0.35">
      <c r="A357" s="41" t="s">
        <v>494</v>
      </c>
      <c r="B357" s="41"/>
      <c r="C357" s="41"/>
      <c r="D357" s="41"/>
      <c r="E357" s="41"/>
    </row>
    <row r="358" spans="1:5" x14ac:dyDescent="0.35">
      <c r="A358" s="16" t="s">
        <v>495</v>
      </c>
      <c r="B358" s="42" t="s">
        <v>299</v>
      </c>
      <c r="C358" s="342">
        <v>69086651.879999995</v>
      </c>
      <c r="D358" s="16"/>
      <c r="E358" s="16"/>
    </row>
    <row r="359" spans="1:5" x14ac:dyDescent="0.35">
      <c r="A359" s="16" t="s">
        <v>496</v>
      </c>
      <c r="B359" s="42" t="s">
        <v>299</v>
      </c>
      <c r="C359" s="342">
        <v>266733237.40000001</v>
      </c>
      <c r="D359" s="16"/>
      <c r="E359" s="16"/>
    </row>
    <row r="360" spans="1:5" x14ac:dyDescent="0.35">
      <c r="A360" s="16" t="s">
        <v>497</v>
      </c>
      <c r="B360" s="16"/>
      <c r="C360" s="23"/>
      <c r="D360" s="16">
        <f>SUM(C358:C359)</f>
        <v>335819889.27999997</v>
      </c>
      <c r="E360" s="16"/>
    </row>
    <row r="361" spans="1:5" x14ac:dyDescent="0.35">
      <c r="A361" s="41" t="s">
        <v>498</v>
      </c>
      <c r="B361" s="41"/>
      <c r="C361" s="41"/>
      <c r="D361" s="41"/>
      <c r="E361" s="41"/>
    </row>
    <row r="362" spans="1:5" x14ac:dyDescent="0.35">
      <c r="A362" s="16" t="s">
        <v>403</v>
      </c>
      <c r="B362" s="41"/>
      <c r="C362" s="342">
        <v>2040032.9900000002</v>
      </c>
      <c r="D362" s="16"/>
      <c r="E362" s="41"/>
    </row>
    <row r="363" spans="1:5" x14ac:dyDescent="0.35">
      <c r="A363" s="16" t="s">
        <v>499</v>
      </c>
      <c r="B363" s="42" t="s">
        <v>299</v>
      </c>
      <c r="C363" s="342">
        <v>185921079.64000002</v>
      </c>
      <c r="D363" s="16"/>
      <c r="E363" s="16"/>
    </row>
    <row r="364" spans="1:5" x14ac:dyDescent="0.35">
      <c r="A364" s="16" t="s">
        <v>500</v>
      </c>
      <c r="B364" s="42" t="s">
        <v>299</v>
      </c>
      <c r="C364" s="342">
        <v>4897833.38</v>
      </c>
      <c r="D364" s="16"/>
      <c r="E364" s="16"/>
    </row>
    <row r="365" spans="1:5" x14ac:dyDescent="0.35">
      <c r="A365" s="16" t="s">
        <v>501</v>
      </c>
      <c r="B365" s="42" t="s">
        <v>299</v>
      </c>
      <c r="C365" s="342">
        <v>5769987.7800000003</v>
      </c>
      <c r="D365" s="16"/>
      <c r="E365" s="16"/>
    </row>
    <row r="366" spans="1:5" x14ac:dyDescent="0.35">
      <c r="A366" s="16" t="s">
        <v>420</v>
      </c>
      <c r="B366" s="16"/>
      <c r="C366" s="23"/>
      <c r="D366" s="16">
        <f>SUM(C362:C365)</f>
        <v>198628933.79000002</v>
      </c>
      <c r="E366" s="16"/>
    </row>
    <row r="367" spans="1:5" x14ac:dyDescent="0.35">
      <c r="A367" s="16" t="s">
        <v>502</v>
      </c>
      <c r="B367" s="16"/>
      <c r="C367" s="23"/>
      <c r="D367" s="16">
        <f>D360-D366</f>
        <v>137190955.48999995</v>
      </c>
      <c r="E367" s="16"/>
    </row>
    <row r="368" spans="1:5" x14ac:dyDescent="0.35">
      <c r="A368" s="54" t="s">
        <v>503</v>
      </c>
      <c r="B368" s="41"/>
      <c r="C368" s="41"/>
      <c r="D368" s="41"/>
      <c r="E368" s="41"/>
    </row>
    <row r="369" spans="1:6" x14ac:dyDescent="0.35">
      <c r="A369" s="28" t="s">
        <v>504</v>
      </c>
      <c r="B369" s="16"/>
      <c r="C369" s="16"/>
      <c r="D369" s="16"/>
      <c r="E369" s="16"/>
    </row>
    <row r="370" spans="1:6" x14ac:dyDescent="0.35">
      <c r="A370" s="55" t="s">
        <v>505</v>
      </c>
      <c r="B370" s="36" t="s">
        <v>299</v>
      </c>
      <c r="C370" s="236"/>
      <c r="D370" s="28">
        <v>0</v>
      </c>
      <c r="E370" s="28"/>
    </row>
    <row r="371" spans="1:6" x14ac:dyDescent="0.35">
      <c r="A371" s="55" t="s">
        <v>506</v>
      </c>
      <c r="B371" s="36" t="s">
        <v>299</v>
      </c>
      <c r="C371" s="236"/>
      <c r="D371" s="28">
        <v>0</v>
      </c>
      <c r="E371" s="28"/>
    </row>
    <row r="372" spans="1:6" x14ac:dyDescent="0.35">
      <c r="A372" s="55" t="s">
        <v>507</v>
      </c>
      <c r="B372" s="36" t="s">
        <v>299</v>
      </c>
      <c r="C372" s="236"/>
      <c r="D372" s="28">
        <v>0</v>
      </c>
      <c r="E372" s="28"/>
    </row>
    <row r="373" spans="1:6" x14ac:dyDescent="0.35">
      <c r="A373" s="55" t="s">
        <v>508</v>
      </c>
      <c r="B373" s="36" t="s">
        <v>299</v>
      </c>
      <c r="C373" s="236"/>
      <c r="D373" s="28">
        <v>0</v>
      </c>
      <c r="E373" s="28"/>
    </row>
    <row r="374" spans="1:6" x14ac:dyDescent="0.35">
      <c r="A374" s="55" t="s">
        <v>509</v>
      </c>
      <c r="B374" s="36" t="s">
        <v>299</v>
      </c>
      <c r="C374" s="236"/>
      <c r="D374" s="28">
        <v>0</v>
      </c>
      <c r="E374" s="28"/>
    </row>
    <row r="375" spans="1:6" x14ac:dyDescent="0.35">
      <c r="A375" s="55" t="s">
        <v>510</v>
      </c>
      <c r="B375" s="36" t="s">
        <v>299</v>
      </c>
      <c r="C375" s="236"/>
      <c r="D375" s="28">
        <v>0</v>
      </c>
      <c r="E375" s="28"/>
    </row>
    <row r="376" spans="1:6" x14ac:dyDescent="0.35">
      <c r="A376" s="55" t="s">
        <v>511</v>
      </c>
      <c r="B376" s="36" t="s">
        <v>299</v>
      </c>
      <c r="C376" s="236"/>
      <c r="D376" s="28">
        <v>0</v>
      </c>
      <c r="E376" s="28"/>
    </row>
    <row r="377" spans="1:6" x14ac:dyDescent="0.35">
      <c r="A377" s="55" t="s">
        <v>512</v>
      </c>
      <c r="B377" s="36" t="s">
        <v>299</v>
      </c>
      <c r="C377" s="236"/>
      <c r="D377" s="28">
        <v>0</v>
      </c>
      <c r="E377" s="28"/>
    </row>
    <row r="378" spans="1:6" x14ac:dyDescent="0.35">
      <c r="A378" s="55" t="s">
        <v>513</v>
      </c>
      <c r="B378" s="36" t="s">
        <v>299</v>
      </c>
      <c r="C378" s="236"/>
      <c r="D378" s="28">
        <v>0</v>
      </c>
      <c r="E378" s="28"/>
    </row>
    <row r="379" spans="1:6" x14ac:dyDescent="0.35">
      <c r="A379" s="55" t="s">
        <v>514</v>
      </c>
      <c r="B379" s="36" t="s">
        <v>299</v>
      </c>
      <c r="C379" s="236"/>
      <c r="D379" s="28">
        <v>0</v>
      </c>
      <c r="E379" s="28"/>
    </row>
    <row r="380" spans="1:6" x14ac:dyDescent="0.35">
      <c r="A380" s="55" t="s">
        <v>515</v>
      </c>
      <c r="B380" s="36" t="s">
        <v>299</v>
      </c>
      <c r="C380" s="342">
        <v>4690606.6399999997</v>
      </c>
      <c r="D380" s="28">
        <v>0</v>
      </c>
      <c r="E380" s="214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516</v>
      </c>
      <c r="B381" s="42"/>
      <c r="C381" s="42"/>
      <c r="D381" s="28">
        <f>SUM(C370:C380)</f>
        <v>4690606.6399999997</v>
      </c>
      <c r="E381" s="28"/>
      <c r="F381" s="56"/>
    </row>
    <row r="382" spans="1:6" x14ac:dyDescent="0.35">
      <c r="A382" s="52" t="s">
        <v>517</v>
      </c>
      <c r="B382" s="42" t="s">
        <v>299</v>
      </c>
      <c r="C382" s="342">
        <v>2444827.8200000003</v>
      </c>
      <c r="D382" s="28">
        <v>0</v>
      </c>
      <c r="E382" s="16"/>
    </row>
    <row r="383" spans="1:6" x14ac:dyDescent="0.35">
      <c r="A383" s="16" t="s">
        <v>518</v>
      </c>
      <c r="B383" s="16"/>
      <c r="C383" s="23"/>
      <c r="D383" s="28">
        <f>D381+C382</f>
        <v>7135434.46</v>
      </c>
      <c r="E383" s="16"/>
    </row>
    <row r="384" spans="1:6" x14ac:dyDescent="0.35">
      <c r="A384" s="16" t="s">
        <v>519</v>
      </c>
      <c r="B384" s="16"/>
      <c r="C384" s="23"/>
      <c r="D384" s="28">
        <f>D367+D383</f>
        <v>144326389.94999996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520</v>
      </c>
      <c r="B388" s="41"/>
      <c r="C388" s="41"/>
      <c r="D388" s="41"/>
      <c r="E388" s="41"/>
    </row>
    <row r="389" spans="1:5" x14ac:dyDescent="0.35">
      <c r="A389" s="16" t="s">
        <v>521</v>
      </c>
      <c r="B389" s="42" t="s">
        <v>299</v>
      </c>
      <c r="C389" s="342">
        <v>60854332.469999999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2">
        <v>18816586.150000002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2">
        <v>11313643.48</v>
      </c>
      <c r="D391" s="16"/>
      <c r="E391" s="16"/>
    </row>
    <row r="392" spans="1:5" x14ac:dyDescent="0.35">
      <c r="A392" s="16" t="s">
        <v>522</v>
      </c>
      <c r="B392" s="42" t="s">
        <v>299</v>
      </c>
      <c r="C392" s="342">
        <v>15201655.91</v>
      </c>
      <c r="D392" s="16"/>
      <c r="E392" s="16"/>
    </row>
    <row r="393" spans="1:5" x14ac:dyDescent="0.35">
      <c r="A393" s="16" t="s">
        <v>523</v>
      </c>
      <c r="B393" s="42" t="s">
        <v>299</v>
      </c>
      <c r="C393" s="342">
        <v>1314812.7</v>
      </c>
      <c r="D393" s="16"/>
      <c r="E393" s="16"/>
    </row>
    <row r="394" spans="1:5" x14ac:dyDescent="0.35">
      <c r="A394" s="16" t="s">
        <v>524</v>
      </c>
      <c r="B394" s="42" t="s">
        <v>299</v>
      </c>
      <c r="C394" s="342">
        <v>13049019.969999999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2">
        <v>12671902.43</v>
      </c>
      <c r="D395" s="16"/>
      <c r="E395" s="16"/>
    </row>
    <row r="396" spans="1:5" x14ac:dyDescent="0.35">
      <c r="A396" s="16" t="s">
        <v>525</v>
      </c>
      <c r="B396" s="42" t="s">
        <v>299</v>
      </c>
      <c r="C396" s="342">
        <v>324369.43000000005</v>
      </c>
      <c r="D396" s="16"/>
      <c r="E396" s="16"/>
    </row>
    <row r="397" spans="1:5" x14ac:dyDescent="0.35">
      <c r="A397" s="16" t="s">
        <v>526</v>
      </c>
      <c r="B397" s="42" t="s">
        <v>299</v>
      </c>
      <c r="C397" s="342">
        <v>1262762.68</v>
      </c>
      <c r="D397" s="16"/>
      <c r="E397" s="16"/>
    </row>
    <row r="398" spans="1:5" x14ac:dyDescent="0.35">
      <c r="A398" s="16" t="s">
        <v>527</v>
      </c>
      <c r="B398" s="42" t="s">
        <v>299</v>
      </c>
      <c r="C398" s="342">
        <v>683332.67999999993</v>
      </c>
      <c r="D398" s="16"/>
      <c r="E398" s="16"/>
    </row>
    <row r="399" spans="1:5" x14ac:dyDescent="0.35">
      <c r="A399" s="16" t="s">
        <v>528</v>
      </c>
      <c r="B399" s="42" t="s">
        <v>299</v>
      </c>
      <c r="C399" s="342">
        <v>3187322.12</v>
      </c>
      <c r="D399" s="16"/>
      <c r="E399" s="16"/>
    </row>
    <row r="400" spans="1:5" x14ac:dyDescent="0.35">
      <c r="A400" s="28" t="s">
        <v>529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6"/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6"/>
      <c r="D402" s="28">
        <v>0</v>
      </c>
      <c r="E402" s="28"/>
    </row>
    <row r="403" spans="1:9" x14ac:dyDescent="0.35">
      <c r="A403" s="29" t="s">
        <v>530</v>
      </c>
      <c r="B403" s="36" t="s">
        <v>299</v>
      </c>
      <c r="C403" s="236"/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6"/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6"/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6"/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6"/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6"/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6"/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6"/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6"/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6"/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6"/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2">
        <v>1625825.3</v>
      </c>
      <c r="D414" s="28">
        <v>0</v>
      </c>
      <c r="E414" s="214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531</v>
      </c>
      <c r="B415" s="42"/>
      <c r="C415" s="42"/>
      <c r="D415" s="28">
        <f>SUM(C401:C414)</f>
        <v>1625825.3</v>
      </c>
      <c r="E415" s="28"/>
      <c r="F415" s="56"/>
      <c r="G415" s="56"/>
      <c r="H415" s="56"/>
      <c r="I415" s="56"/>
    </row>
    <row r="416" spans="1:9" x14ac:dyDescent="0.35">
      <c r="A416" s="28" t="s">
        <v>532</v>
      </c>
      <c r="B416" s="16"/>
      <c r="C416" s="23"/>
      <c r="D416" s="28">
        <f>SUM(C389:C399,D415)</f>
        <v>140305565.32000005</v>
      </c>
      <c r="E416" s="28"/>
    </row>
    <row r="417" spans="1:13" x14ac:dyDescent="0.35">
      <c r="A417" s="28" t="s">
        <v>533</v>
      </c>
      <c r="B417" s="16"/>
      <c r="C417" s="23"/>
      <c r="D417" s="28">
        <f>D384-D416</f>
        <v>4020824.6299999058</v>
      </c>
      <c r="E417" s="28"/>
    </row>
    <row r="418" spans="1:13" x14ac:dyDescent="0.35">
      <c r="A418" s="28" t="s">
        <v>534</v>
      </c>
      <c r="B418" s="16"/>
      <c r="C418" s="342">
        <v>7360559.2899999991</v>
      </c>
      <c r="D418" s="28">
        <v>0</v>
      </c>
      <c r="E418" s="28"/>
    </row>
    <row r="419" spans="1:13" x14ac:dyDescent="0.35">
      <c r="A419" s="55" t="s">
        <v>535</v>
      </c>
      <c r="B419" s="42" t="s">
        <v>299</v>
      </c>
      <c r="C419" s="236"/>
      <c r="D419" s="28">
        <v>0</v>
      </c>
      <c r="E419" s="28"/>
    </row>
    <row r="420" spans="1:13" x14ac:dyDescent="0.35">
      <c r="A420" s="57" t="s">
        <v>536</v>
      </c>
      <c r="B420" s="16"/>
      <c r="C420" s="16"/>
      <c r="D420" s="28">
        <f>SUM(C418:C419)</f>
        <v>7360559.2899999991</v>
      </c>
      <c r="E420" s="28"/>
      <c r="F420" s="11">
        <f>D420-C399</f>
        <v>4173237.169999999</v>
      </c>
    </row>
    <row r="421" spans="1:13" x14ac:dyDescent="0.35">
      <c r="A421" s="28" t="s">
        <v>537</v>
      </c>
      <c r="B421" s="16"/>
      <c r="C421" s="23"/>
      <c r="D421" s="28">
        <f>D417+D420</f>
        <v>11381383.919999905</v>
      </c>
      <c r="E421" s="28"/>
      <c r="F421" s="59"/>
    </row>
    <row r="422" spans="1:13" x14ac:dyDescent="0.35">
      <c r="A422" s="28" t="s">
        <v>538</v>
      </c>
      <c r="B422" s="42" t="s">
        <v>299</v>
      </c>
      <c r="C422" s="43"/>
      <c r="D422" s="28">
        <v>0</v>
      </c>
      <c r="E422" s="16"/>
    </row>
    <row r="423" spans="1:13" x14ac:dyDescent="0.35">
      <c r="A423" s="16" t="s">
        <v>539</v>
      </c>
      <c r="B423" s="42" t="s">
        <v>299</v>
      </c>
      <c r="C423" s="43"/>
      <c r="D423" s="28">
        <v>0</v>
      </c>
      <c r="E423" s="16"/>
    </row>
    <row r="424" spans="1:13" x14ac:dyDescent="0.35">
      <c r="A424" s="16" t="s">
        <v>540</v>
      </c>
      <c r="B424" s="16"/>
      <c r="C424" s="23"/>
      <c r="D424" s="16">
        <f>D421+C422-C423</f>
        <v>11381383.919999905</v>
      </c>
      <c r="E424" s="1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1"/>
      <c r="C612" s="219" t="s">
        <v>541</v>
      </c>
      <c r="D612" s="226">
        <f>CE90-(BE90+CD90)</f>
        <v>204251.10000000003</v>
      </c>
      <c r="E612" s="228">
        <f>SUM(C624:D647)+SUM(C668:D713)</f>
        <v>99641181.573337078</v>
      </c>
      <c r="F612" s="228">
        <f>CE64-(AX64+BD64+BE64+BG64+BJ64+BN64+BP64+BQ64+CB64+CC64+CD64)</f>
        <v>9405159.2500000019</v>
      </c>
      <c r="G612" s="226">
        <f>CE91-(AX91+AY91+BD91+BE91+BG91+BJ91+BN91+BP91+BQ91+CB91+CC91+CD91)</f>
        <v>33431.114391143914</v>
      </c>
      <c r="H612" s="231">
        <f>CE60-(AX60+AY60+AZ60+BD60+BE60+BG60+BJ60+BN60+BO60+BP60+BQ60+BR60+CB60+CC60+CD60)</f>
        <v>515.09960560967033</v>
      </c>
      <c r="I612" s="226">
        <f>CE92-(AX92+AY92+AZ92+BD92+BE92+BF92+BG92+BJ92+BN92+BO92+BP92+BQ92+BR92+CB92+CC92+CD92)</f>
        <v>165489.96000000002</v>
      </c>
      <c r="J612" s="226">
        <f>CE93-(AX93+AY93+AZ93+BA93+BD93+BE93+BF93+BG93+BJ93+BN93+BO93+BP93+BQ93+BR93+CB93+CC93+CD93)</f>
        <v>257176</v>
      </c>
      <c r="K612" s="226">
        <f>CE89-(AW89+AX89+AY89+AZ89+BA89+BB89+BC89+BD89+BE89+BF89+BG89+BH89+BI89+BJ89+BK89+BL89+BM89+BN89+BO89+BP89+BQ89+BR89+BS89+BT89+BU89+BV89+BW89+BX89+CB89+CC89+CD89)</f>
        <v>293921379.86000001</v>
      </c>
      <c r="L612" s="232">
        <f>CE94-(AW94+AX94+AY94+AZ94+BA94+BB94+BC94+BD94+BE94+BF94+BG94+BH94+BI94+BJ94+BK94+BL94+BM94+BN94+BO94+BP94+BQ94+BR94+BS94+BT94+BU94+BV94+BW94+BX94+BY94+BZ94+CA94+CB94+CC94+CD94)</f>
        <v>130.15226619527471</v>
      </c>
    </row>
    <row r="613" spans="1:14" s="211" customFormat="1" ht="12.65" customHeight="1" x14ac:dyDescent="0.3">
      <c r="A613" s="221"/>
      <c r="C613" s="219" t="s">
        <v>542</v>
      </c>
      <c r="D613" s="227" t="s">
        <v>543</v>
      </c>
      <c r="E613" s="229" t="s">
        <v>544</v>
      </c>
      <c r="F613" s="230" t="s">
        <v>545</v>
      </c>
      <c r="G613" s="227" t="s">
        <v>546</v>
      </c>
      <c r="H613" s="230" t="s">
        <v>547</v>
      </c>
      <c r="I613" s="227" t="s">
        <v>548</v>
      </c>
      <c r="J613" s="227" t="s">
        <v>549</v>
      </c>
      <c r="K613" s="219" t="s">
        <v>550</v>
      </c>
      <c r="L613" s="220" t="s">
        <v>551</v>
      </c>
    </row>
    <row r="614" spans="1:14" s="211" customFormat="1" ht="12.65" customHeight="1" x14ac:dyDescent="0.3">
      <c r="A614" s="221">
        <v>8430</v>
      </c>
      <c r="B614" s="220" t="s">
        <v>167</v>
      </c>
      <c r="C614" s="226">
        <f>BE85</f>
        <v>3908020.46</v>
      </c>
      <c r="D614" s="226"/>
      <c r="E614" s="228"/>
      <c r="F614" s="228"/>
      <c r="G614" s="226"/>
      <c r="H614" s="228"/>
      <c r="I614" s="226"/>
      <c r="J614" s="226"/>
      <c r="N614" s="222" t="s">
        <v>552</v>
      </c>
    </row>
    <row r="615" spans="1:14" s="211" customFormat="1" ht="12.65" customHeight="1" x14ac:dyDescent="0.3">
      <c r="A615" s="221"/>
      <c r="B615" s="220" t="s">
        <v>553</v>
      </c>
      <c r="C615" s="226">
        <f>CD69-CD84</f>
        <v>-2573794.5500000003</v>
      </c>
      <c r="D615" s="226">
        <f>SUM(C614:C615)</f>
        <v>1334225.9099999997</v>
      </c>
      <c r="E615" s="228"/>
      <c r="F615" s="228"/>
      <c r="G615" s="226"/>
      <c r="H615" s="228"/>
      <c r="I615" s="226"/>
      <c r="J615" s="226"/>
      <c r="N615" s="222" t="s">
        <v>554</v>
      </c>
    </row>
    <row r="616" spans="1:14" s="211" customFormat="1" ht="12.65" customHeight="1" x14ac:dyDescent="0.3">
      <c r="A616" s="221">
        <v>8310</v>
      </c>
      <c r="B616" s="225" t="s">
        <v>555</v>
      </c>
      <c r="C616" s="226">
        <f>AX85</f>
        <v>0</v>
      </c>
      <c r="D616" s="226">
        <f>(D615/D612)*AX90</f>
        <v>0</v>
      </c>
      <c r="E616" s="228"/>
      <c r="F616" s="228"/>
      <c r="G616" s="226"/>
      <c r="H616" s="228"/>
      <c r="I616" s="226"/>
      <c r="J616" s="226"/>
      <c r="N616" s="222" t="s">
        <v>556</v>
      </c>
    </row>
    <row r="617" spans="1:14" s="211" customFormat="1" ht="12.65" customHeight="1" x14ac:dyDescent="0.3">
      <c r="A617" s="221">
        <v>8510</v>
      </c>
      <c r="B617" s="225" t="s">
        <v>172</v>
      </c>
      <c r="C617" s="226">
        <f>BJ85</f>
        <v>1058742.6600000001</v>
      </c>
      <c r="D617" s="226">
        <f>(D615/D612)*BJ90</f>
        <v>12943.718005264103</v>
      </c>
      <c r="E617" s="228"/>
      <c r="F617" s="228"/>
      <c r="G617" s="226"/>
      <c r="H617" s="228"/>
      <c r="I617" s="226"/>
      <c r="J617" s="226"/>
      <c r="N617" s="222" t="s">
        <v>557</v>
      </c>
    </row>
    <row r="618" spans="1:14" s="211" customFormat="1" ht="12.65" customHeight="1" x14ac:dyDescent="0.3">
      <c r="A618" s="221">
        <v>8470</v>
      </c>
      <c r="B618" s="225" t="s">
        <v>558</v>
      </c>
      <c r="C618" s="226">
        <f>BG85</f>
        <v>0</v>
      </c>
      <c r="D618" s="226">
        <f>(D615/D612)*BG90</f>
        <v>0</v>
      </c>
      <c r="E618" s="228"/>
      <c r="F618" s="228"/>
      <c r="G618" s="226"/>
      <c r="H618" s="228"/>
      <c r="I618" s="226"/>
      <c r="J618" s="226"/>
      <c r="N618" s="222" t="s">
        <v>559</v>
      </c>
    </row>
    <row r="619" spans="1:14" s="211" customFormat="1" ht="12.65" customHeight="1" x14ac:dyDescent="0.3">
      <c r="A619" s="221">
        <v>8610</v>
      </c>
      <c r="B619" s="225" t="s">
        <v>560</v>
      </c>
      <c r="C619" s="226">
        <f>BN85</f>
        <v>4574848.51</v>
      </c>
      <c r="D619" s="226">
        <f>(D615/D612)*BN90</f>
        <v>35160.011185129464</v>
      </c>
      <c r="E619" s="228"/>
      <c r="F619" s="228"/>
      <c r="G619" s="226"/>
      <c r="H619" s="228"/>
      <c r="I619" s="226"/>
      <c r="J619" s="226"/>
      <c r="N619" s="222" t="s">
        <v>561</v>
      </c>
    </row>
    <row r="620" spans="1:14" s="211" customFormat="1" ht="12.65" customHeight="1" x14ac:dyDescent="0.3">
      <c r="A620" s="221">
        <v>8790</v>
      </c>
      <c r="B620" s="225" t="s">
        <v>562</v>
      </c>
      <c r="C620" s="226">
        <f>CC85</f>
        <v>5767944.5899999999</v>
      </c>
      <c r="D620" s="226">
        <f>(D615/D612)*CC90</f>
        <v>119224.21747251981</v>
      </c>
      <c r="E620" s="228"/>
      <c r="F620" s="228"/>
      <c r="G620" s="226"/>
      <c r="H620" s="228"/>
      <c r="I620" s="226"/>
      <c r="J620" s="226"/>
      <c r="N620" s="222" t="s">
        <v>563</v>
      </c>
    </row>
    <row r="621" spans="1:14" s="211" customFormat="1" ht="12.65" customHeight="1" x14ac:dyDescent="0.3">
      <c r="A621" s="221">
        <v>8630</v>
      </c>
      <c r="B621" s="225" t="s">
        <v>564</v>
      </c>
      <c r="C621" s="226">
        <f>BP85</f>
        <v>180928</v>
      </c>
      <c r="D621" s="226">
        <f>(D615/D612)*BP90</f>
        <v>0</v>
      </c>
      <c r="E621" s="228"/>
      <c r="F621" s="228"/>
      <c r="G621" s="226"/>
      <c r="H621" s="228"/>
      <c r="I621" s="226"/>
      <c r="J621" s="226"/>
      <c r="N621" s="222" t="s">
        <v>565</v>
      </c>
    </row>
    <row r="622" spans="1:14" s="211" customFormat="1" ht="12.65" customHeight="1" x14ac:dyDescent="0.3">
      <c r="A622" s="221">
        <v>8770</v>
      </c>
      <c r="B622" s="220" t="s">
        <v>566</v>
      </c>
      <c r="C622" s="226">
        <f>CB85</f>
        <v>0</v>
      </c>
      <c r="D622" s="226">
        <f>(D615/D612)*CB90</f>
        <v>0</v>
      </c>
      <c r="E622" s="228"/>
      <c r="F622" s="228"/>
      <c r="G622" s="226"/>
      <c r="H622" s="228"/>
      <c r="I622" s="226"/>
      <c r="J622" s="226"/>
      <c r="N622" s="222" t="s">
        <v>567</v>
      </c>
    </row>
    <row r="623" spans="1:14" s="211" customFormat="1" ht="12.65" customHeight="1" x14ac:dyDescent="0.3">
      <c r="A623" s="221">
        <v>8640</v>
      </c>
      <c r="B623" s="225" t="s">
        <v>568</v>
      </c>
      <c r="C623" s="226">
        <f>BQ85</f>
        <v>0</v>
      </c>
      <c r="D623" s="226">
        <f>(D615/D612)*BQ90</f>
        <v>0</v>
      </c>
      <c r="E623" s="228">
        <f>SUM(C616:D623)</f>
        <v>11749791.706662912</v>
      </c>
      <c r="F623" s="228"/>
      <c r="G623" s="226"/>
      <c r="H623" s="228"/>
      <c r="I623" s="226"/>
      <c r="J623" s="226"/>
      <c r="N623" s="222" t="s">
        <v>569</v>
      </c>
    </row>
    <row r="624" spans="1:14" s="211" customFormat="1" ht="12.65" customHeight="1" x14ac:dyDescent="0.3">
      <c r="A624" s="221">
        <v>8420</v>
      </c>
      <c r="B624" s="225" t="s">
        <v>166</v>
      </c>
      <c r="C624" s="226">
        <f>BD85</f>
        <v>1020005.1099999999</v>
      </c>
      <c r="D624" s="226">
        <f>(D615/D612)*BD90</f>
        <v>22224.91579291959</v>
      </c>
      <c r="E624" s="228">
        <f>(E623/E612)*SUM(C624:D624)</f>
        <v>122900.84802420301</v>
      </c>
      <c r="F624" s="228">
        <f>SUM(C624:E624)</f>
        <v>1165130.8738171225</v>
      </c>
      <c r="G624" s="226"/>
      <c r="H624" s="228"/>
      <c r="I624" s="226"/>
      <c r="J624" s="226"/>
      <c r="N624" s="222" t="s">
        <v>570</v>
      </c>
    </row>
    <row r="625" spans="1:14" s="211" customFormat="1" ht="12.65" customHeight="1" x14ac:dyDescent="0.3">
      <c r="A625" s="221">
        <v>8320</v>
      </c>
      <c r="B625" s="225" t="s">
        <v>162</v>
      </c>
      <c r="C625" s="226">
        <f>AY85</f>
        <v>2019258.8999999992</v>
      </c>
      <c r="D625" s="226">
        <f>(D615/D612)*AY90</f>
        <v>32922.181806253175</v>
      </c>
      <c r="E625" s="228">
        <f>(E623/E612)*SUM(C625:D625)</f>
        <v>241995.32637848536</v>
      </c>
      <c r="F625" s="228">
        <f>(F624/F612)*AY64</f>
        <v>96299.103364845054</v>
      </c>
      <c r="G625" s="226">
        <f>SUM(C625:F625)</f>
        <v>2390475.5115495832</v>
      </c>
      <c r="H625" s="228"/>
      <c r="I625" s="226"/>
      <c r="J625" s="226"/>
      <c r="N625" s="222" t="s">
        <v>571</v>
      </c>
    </row>
    <row r="626" spans="1:14" s="211" customFormat="1" ht="12.65" customHeight="1" x14ac:dyDescent="0.3">
      <c r="A626" s="221">
        <v>8650</v>
      </c>
      <c r="B626" s="225" t="s">
        <v>179</v>
      </c>
      <c r="C626" s="226">
        <f>BR85</f>
        <v>1463404.3399999999</v>
      </c>
      <c r="D626" s="226">
        <f>(D615/D612)*BR90</f>
        <v>13907.817596683197</v>
      </c>
      <c r="E626" s="228">
        <f>(E623/E612)*SUM(C626:D626)</f>
        <v>174206.18526794593</v>
      </c>
      <c r="F626" s="228">
        <f>(F624/F612)*BR64</f>
        <v>2685.7552449411255</v>
      </c>
      <c r="G626" s="226">
        <f>(G625/G612)*BR91</f>
        <v>0</v>
      </c>
      <c r="H626" s="228"/>
      <c r="I626" s="226"/>
      <c r="J626" s="226"/>
      <c r="N626" s="222" t="s">
        <v>572</v>
      </c>
    </row>
    <row r="627" spans="1:14" s="211" customFormat="1" ht="12.65" customHeight="1" x14ac:dyDescent="0.3">
      <c r="A627" s="221">
        <v>8620</v>
      </c>
      <c r="B627" s="220" t="s">
        <v>573</v>
      </c>
      <c r="C627" s="226">
        <f>BO85</f>
        <v>281543.24</v>
      </c>
      <c r="D627" s="226">
        <f>(D615/D612)*BO90</f>
        <v>1824.2705664042928</v>
      </c>
      <c r="E627" s="228">
        <f>(E623/E612)*SUM(C627:D627)</f>
        <v>33414.991402327905</v>
      </c>
      <c r="F627" s="228">
        <f>(F624/F612)*BO64</f>
        <v>1547.6813675594697</v>
      </c>
      <c r="G627" s="226">
        <f>(G625/G612)*BO91</f>
        <v>0</v>
      </c>
      <c r="H627" s="228"/>
      <c r="I627" s="226"/>
      <c r="J627" s="226"/>
      <c r="N627" s="222" t="s">
        <v>574</v>
      </c>
    </row>
    <row r="628" spans="1:14" s="211" customFormat="1" ht="12.65" customHeight="1" x14ac:dyDescent="0.3">
      <c r="A628" s="221">
        <v>8330</v>
      </c>
      <c r="B628" s="225" t="s">
        <v>163</v>
      </c>
      <c r="C628" s="226">
        <f>AZ85</f>
        <v>0</v>
      </c>
      <c r="D628" s="226">
        <f>(D615/D612)*AZ90</f>
        <v>0</v>
      </c>
      <c r="E628" s="228">
        <f>(E623/E612)*SUM(C628:D628)</f>
        <v>0</v>
      </c>
      <c r="F628" s="228">
        <f>(F624/F612)*AZ64</f>
        <v>0</v>
      </c>
      <c r="G628" s="226">
        <f>(G625/G612)*AZ91</f>
        <v>0</v>
      </c>
      <c r="H628" s="228">
        <f>SUM(C626:G628)</f>
        <v>1972534.281445862</v>
      </c>
      <c r="I628" s="226"/>
      <c r="J628" s="226"/>
      <c r="N628" s="222" t="s">
        <v>575</v>
      </c>
    </row>
    <row r="629" spans="1:14" s="211" customFormat="1" ht="12.65" customHeight="1" x14ac:dyDescent="0.3">
      <c r="A629" s="221">
        <v>8460</v>
      </c>
      <c r="B629" s="225" t="s">
        <v>168</v>
      </c>
      <c r="C629" s="226">
        <f>BF85</f>
        <v>2805177.1700000004</v>
      </c>
      <c r="D629" s="226">
        <f>(D615/D612)*BF90</f>
        <v>14991.588605642755</v>
      </c>
      <c r="E629" s="228">
        <f>(E623/E612)*SUM(C629:D629)</f>
        <v>332557.23153850448</v>
      </c>
      <c r="F629" s="228">
        <f>(F624/F612)*BF64</f>
        <v>26918.462800082714</v>
      </c>
      <c r="G629" s="226">
        <f>(G625/G612)*BF91</f>
        <v>0</v>
      </c>
      <c r="H629" s="228">
        <f>(H628/H612)*BF60</f>
        <v>113627.3429627055</v>
      </c>
      <c r="I629" s="226">
        <f>SUM(C629:H629)</f>
        <v>3293271.7959069358</v>
      </c>
      <c r="J629" s="226"/>
      <c r="N629" s="222" t="s">
        <v>576</v>
      </c>
    </row>
    <row r="630" spans="1:14" s="211" customFormat="1" ht="12.65" customHeight="1" x14ac:dyDescent="0.3">
      <c r="A630" s="221">
        <v>8350</v>
      </c>
      <c r="B630" s="225" t="s">
        <v>577</v>
      </c>
      <c r="C630" s="226">
        <f>BA85</f>
        <v>376285.61</v>
      </c>
      <c r="D630" s="226">
        <f>(D615/D612)*BA90</f>
        <v>9542.4237695028278</v>
      </c>
      <c r="E630" s="228">
        <f>(E623/E612)*SUM(C630:D630)</f>
        <v>45497.242804636226</v>
      </c>
      <c r="F630" s="228">
        <f>(F624/F612)*BA64</f>
        <v>3085.3481061971188</v>
      </c>
      <c r="G630" s="226">
        <f>(G625/G612)*BA91</f>
        <v>0</v>
      </c>
      <c r="H630" s="228">
        <f>(H628/H612)*BA60</f>
        <v>3924.0472358188317</v>
      </c>
      <c r="I630" s="226">
        <f>(I629/I612)*BA92</f>
        <v>29070.309595692757</v>
      </c>
      <c r="J630" s="226">
        <f>SUM(C630:I630)</f>
        <v>467404.98151184781</v>
      </c>
      <c r="N630" s="222" t="s">
        <v>578</v>
      </c>
    </row>
    <row r="631" spans="1:14" s="211" customFormat="1" ht="12.65" customHeight="1" x14ac:dyDescent="0.3">
      <c r="A631" s="221">
        <v>8200</v>
      </c>
      <c r="B631" s="225" t="s">
        <v>579</v>
      </c>
      <c r="C631" s="226">
        <f>AW85</f>
        <v>0</v>
      </c>
      <c r="D631" s="226">
        <f>(D615/D612)*AW90</f>
        <v>0</v>
      </c>
      <c r="E631" s="228">
        <f>(E623/E612)*SUM(C631:D631)</f>
        <v>0</v>
      </c>
      <c r="F631" s="228">
        <f>(F624/F612)*AW64</f>
        <v>0</v>
      </c>
      <c r="G631" s="226">
        <f>(G625/G612)*AW91</f>
        <v>0</v>
      </c>
      <c r="H631" s="228">
        <f>(H628/H612)*AW60</f>
        <v>0</v>
      </c>
      <c r="I631" s="226">
        <f>(I629/I612)*AW92</f>
        <v>0</v>
      </c>
      <c r="J631" s="226">
        <f>(J630/J612)*AW93</f>
        <v>0</v>
      </c>
      <c r="N631" s="222" t="s">
        <v>580</v>
      </c>
    </row>
    <row r="632" spans="1:14" s="211" customFormat="1" ht="12.65" customHeight="1" x14ac:dyDescent="0.3">
      <c r="A632" s="221">
        <v>8360</v>
      </c>
      <c r="B632" s="225" t="s">
        <v>581</v>
      </c>
      <c r="C632" s="226">
        <f>BB85</f>
        <v>0</v>
      </c>
      <c r="D632" s="226">
        <f>(D615/D612)*BB90</f>
        <v>0</v>
      </c>
      <c r="E632" s="228">
        <f>(E623/E612)*SUM(C632:D632)</f>
        <v>0</v>
      </c>
      <c r="F632" s="228">
        <f>(F624/F612)*BB64</f>
        <v>0</v>
      </c>
      <c r="G632" s="226">
        <f>(G625/G612)*BB91</f>
        <v>0</v>
      </c>
      <c r="H632" s="228">
        <f>(H628/H612)*BB60</f>
        <v>0</v>
      </c>
      <c r="I632" s="226">
        <f>(I629/I612)*BB92</f>
        <v>0</v>
      </c>
      <c r="J632" s="226">
        <f>(J630/J612)*BB93</f>
        <v>0</v>
      </c>
      <c r="N632" s="222" t="s">
        <v>582</v>
      </c>
    </row>
    <row r="633" spans="1:14" s="211" customFormat="1" ht="12.65" customHeight="1" x14ac:dyDescent="0.3">
      <c r="A633" s="221">
        <v>8370</v>
      </c>
      <c r="B633" s="225" t="s">
        <v>583</v>
      </c>
      <c r="C633" s="226">
        <f>BC85</f>
        <v>0</v>
      </c>
      <c r="D633" s="226">
        <f>(D615/D612)*BC90</f>
        <v>0</v>
      </c>
      <c r="E633" s="228">
        <f>(E623/E612)*SUM(C633:D633)</f>
        <v>0</v>
      </c>
      <c r="F633" s="228">
        <f>(F624/F612)*BC64</f>
        <v>0</v>
      </c>
      <c r="G633" s="226">
        <f>(G625/G612)*BC91</f>
        <v>0</v>
      </c>
      <c r="H633" s="228">
        <f>(H628/H612)*BC60</f>
        <v>0</v>
      </c>
      <c r="I633" s="226">
        <f>(I629/I612)*BC92</f>
        <v>0</v>
      </c>
      <c r="J633" s="226">
        <f>(J630/J612)*BC93</f>
        <v>0</v>
      </c>
      <c r="N633" s="222" t="s">
        <v>584</v>
      </c>
    </row>
    <row r="634" spans="1:14" s="211" customFormat="1" ht="12.65" customHeight="1" x14ac:dyDescent="0.3">
      <c r="A634" s="221">
        <v>8490</v>
      </c>
      <c r="B634" s="225" t="s">
        <v>585</v>
      </c>
      <c r="C634" s="226">
        <f>BI85</f>
        <v>0</v>
      </c>
      <c r="D634" s="226">
        <f>(D615/D612)*BI90</f>
        <v>0</v>
      </c>
      <c r="E634" s="228">
        <f>(E623/E612)*SUM(C634:D634)</f>
        <v>0</v>
      </c>
      <c r="F634" s="228">
        <f>(F624/F612)*BI64</f>
        <v>0</v>
      </c>
      <c r="G634" s="226">
        <f>(G625/G612)*BI91</f>
        <v>0</v>
      </c>
      <c r="H634" s="228">
        <f>(H628/H612)*BI60</f>
        <v>0</v>
      </c>
      <c r="I634" s="226">
        <f>(I629/I612)*BI92</f>
        <v>0</v>
      </c>
      <c r="J634" s="226">
        <f>(J630/J612)*BI93</f>
        <v>0</v>
      </c>
      <c r="N634" s="222" t="s">
        <v>586</v>
      </c>
    </row>
    <row r="635" spans="1:14" s="211" customFormat="1" ht="12.65" customHeight="1" x14ac:dyDescent="0.3">
      <c r="A635" s="221">
        <v>8530</v>
      </c>
      <c r="B635" s="225" t="s">
        <v>587</v>
      </c>
      <c r="C635" s="226">
        <f>BK85</f>
        <v>2651659.9099999997</v>
      </c>
      <c r="D635" s="226">
        <f>(D615/D612)*BK90</f>
        <v>17862.526815742967</v>
      </c>
      <c r="E635" s="228">
        <f>(E623/E612)*SUM(C635:D635)</f>
        <v>314792.86067841534</v>
      </c>
      <c r="F635" s="228">
        <f>(F624/F612)*BK64</f>
        <v>2268.9105625117936</v>
      </c>
      <c r="G635" s="226">
        <f>(G625/G612)*BK91</f>
        <v>0</v>
      </c>
      <c r="H635" s="228">
        <f>(H628/H612)*BK60</f>
        <v>85875.557439849988</v>
      </c>
      <c r="I635" s="226">
        <f>(I629/I612)*BK92</f>
        <v>54416.906777350814</v>
      </c>
      <c r="J635" s="226">
        <f>(J630/J612)*BK93</f>
        <v>0</v>
      </c>
      <c r="N635" s="222" t="s">
        <v>588</v>
      </c>
    </row>
    <row r="636" spans="1:14" s="211" customFormat="1" ht="12.65" customHeight="1" x14ac:dyDescent="0.3">
      <c r="A636" s="221">
        <v>8480</v>
      </c>
      <c r="B636" s="225" t="s">
        <v>589</v>
      </c>
      <c r="C636" s="226">
        <f>BH85</f>
        <v>0</v>
      </c>
      <c r="D636" s="226">
        <f>(D615/D612)*BH90</f>
        <v>0</v>
      </c>
      <c r="E636" s="228">
        <f>(E623/E612)*SUM(C636:D636)</f>
        <v>0</v>
      </c>
      <c r="F636" s="228">
        <f>(F624/F612)*BH64</f>
        <v>0</v>
      </c>
      <c r="G636" s="226">
        <f>(G625/G612)*BH91</f>
        <v>0</v>
      </c>
      <c r="H636" s="228">
        <f>(H628/H612)*BH60</f>
        <v>0</v>
      </c>
      <c r="I636" s="226">
        <f>(I629/I612)*BH92</f>
        <v>0</v>
      </c>
      <c r="J636" s="226">
        <f>(J630/J612)*BH93</f>
        <v>0</v>
      </c>
      <c r="N636" s="222" t="s">
        <v>590</v>
      </c>
    </row>
    <row r="637" spans="1:14" s="211" customFormat="1" ht="12.65" customHeight="1" x14ac:dyDescent="0.3">
      <c r="A637" s="221">
        <v>8560</v>
      </c>
      <c r="B637" s="225" t="s">
        <v>174</v>
      </c>
      <c r="C637" s="226">
        <f>BL85</f>
        <v>1887062.01</v>
      </c>
      <c r="D637" s="226">
        <f>(D615/D612)*BL90</f>
        <v>12554.851221083751</v>
      </c>
      <c r="E637" s="228">
        <f>(E623/E612)*SUM(C637:D637)</f>
        <v>224004.7948988307</v>
      </c>
      <c r="F637" s="228">
        <f>(F624/F612)*BL64</f>
        <v>2554.0115874300041</v>
      </c>
      <c r="G637" s="226">
        <f>(G625/G612)*BL91</f>
        <v>0</v>
      </c>
      <c r="H637" s="228">
        <f>(H628/H612)*BL60</f>
        <v>88865.431066867066</v>
      </c>
      <c r="I637" s="226">
        <f>(I629/I612)*BL92</f>
        <v>38247.453764441379</v>
      </c>
      <c r="J637" s="226">
        <f>(J630/J612)*BL93</f>
        <v>0</v>
      </c>
      <c r="N637" s="222" t="s">
        <v>591</v>
      </c>
    </row>
    <row r="638" spans="1:14" s="211" customFormat="1" ht="12.65" customHeight="1" x14ac:dyDescent="0.3">
      <c r="A638" s="221">
        <v>8590</v>
      </c>
      <c r="B638" s="225" t="s">
        <v>592</v>
      </c>
      <c r="C638" s="226">
        <f>BM85</f>
        <v>0</v>
      </c>
      <c r="D638" s="226">
        <f>(D615/D612)*BM90</f>
        <v>0</v>
      </c>
      <c r="E638" s="228">
        <f>(E623/E612)*SUM(C638:D638)</f>
        <v>0</v>
      </c>
      <c r="F638" s="228">
        <f>(F624/F612)*BM64</f>
        <v>0</v>
      </c>
      <c r="G638" s="226">
        <f>(G625/G612)*BM91</f>
        <v>0</v>
      </c>
      <c r="H638" s="228">
        <f>(H628/H612)*BM60</f>
        <v>0</v>
      </c>
      <c r="I638" s="226">
        <f>(I629/I612)*BM92</f>
        <v>0</v>
      </c>
      <c r="J638" s="226">
        <f>(J630/J612)*BM93</f>
        <v>0</v>
      </c>
      <c r="N638" s="222" t="s">
        <v>593</v>
      </c>
    </row>
    <row r="639" spans="1:14" s="211" customFormat="1" ht="12.65" customHeight="1" x14ac:dyDescent="0.3">
      <c r="A639" s="221">
        <v>8660</v>
      </c>
      <c r="B639" s="225" t="s">
        <v>594</v>
      </c>
      <c r="C639" s="226">
        <f>BS85</f>
        <v>0</v>
      </c>
      <c r="D639" s="226">
        <f>(D615/D612)*BS90</f>
        <v>0</v>
      </c>
      <c r="E639" s="228">
        <f>(E623/E612)*SUM(C639:D639)</f>
        <v>0</v>
      </c>
      <c r="F639" s="228">
        <f>(F624/F612)*BS64</f>
        <v>0</v>
      </c>
      <c r="G639" s="226">
        <f>(G625/G612)*BS91</f>
        <v>0</v>
      </c>
      <c r="H639" s="228">
        <f>(H628/H612)*BS60</f>
        <v>0</v>
      </c>
      <c r="I639" s="226">
        <f>(I629/I612)*BS92</f>
        <v>0</v>
      </c>
      <c r="J639" s="226">
        <f>(J630/J612)*BS93</f>
        <v>0</v>
      </c>
      <c r="N639" s="222" t="s">
        <v>595</v>
      </c>
    </row>
    <row r="640" spans="1:14" s="211" customFormat="1" ht="12.65" customHeight="1" x14ac:dyDescent="0.3">
      <c r="A640" s="221">
        <v>8670</v>
      </c>
      <c r="B640" s="225" t="s">
        <v>596</v>
      </c>
      <c r="C640" s="226">
        <f>BT85</f>
        <v>0</v>
      </c>
      <c r="D640" s="226">
        <f>(D615/D612)*BT90</f>
        <v>0</v>
      </c>
      <c r="E640" s="228">
        <f>(E623/E612)*SUM(C640:D640)</f>
        <v>0</v>
      </c>
      <c r="F640" s="228">
        <f>(F624/F612)*BT64</f>
        <v>0</v>
      </c>
      <c r="G640" s="226">
        <f>(G625/G612)*BT91</f>
        <v>0</v>
      </c>
      <c r="H640" s="228">
        <f>(H628/H612)*BT60</f>
        <v>0</v>
      </c>
      <c r="I640" s="226">
        <f>(I629/I612)*BT92</f>
        <v>0</v>
      </c>
      <c r="J640" s="226">
        <f>(J630/J612)*BT93</f>
        <v>0</v>
      </c>
      <c r="N640" s="222" t="s">
        <v>597</v>
      </c>
    </row>
    <row r="641" spans="1:14" s="211" customFormat="1" ht="12.65" customHeight="1" x14ac:dyDescent="0.3">
      <c r="A641" s="221">
        <v>8680</v>
      </c>
      <c r="B641" s="225" t="s">
        <v>598</v>
      </c>
      <c r="C641" s="226">
        <f>BU85</f>
        <v>0</v>
      </c>
      <c r="D641" s="226">
        <f>(D615/D612)*BU90</f>
        <v>0</v>
      </c>
      <c r="E641" s="228">
        <f>(E623/E612)*SUM(C641:D641)</f>
        <v>0</v>
      </c>
      <c r="F641" s="228">
        <f>(F624/F612)*BU64</f>
        <v>0</v>
      </c>
      <c r="G641" s="226">
        <f>(G625/G612)*BU91</f>
        <v>0</v>
      </c>
      <c r="H641" s="228">
        <f>(H628/H612)*BU60</f>
        <v>0</v>
      </c>
      <c r="I641" s="226">
        <f>(I629/I612)*BU92</f>
        <v>0</v>
      </c>
      <c r="J641" s="226">
        <f>(J630/J612)*BU93</f>
        <v>0</v>
      </c>
      <c r="N641" s="222" t="s">
        <v>599</v>
      </c>
    </row>
    <row r="642" spans="1:14" s="211" customFormat="1" ht="12.65" customHeight="1" x14ac:dyDescent="0.3">
      <c r="A642" s="221">
        <v>8690</v>
      </c>
      <c r="B642" s="225" t="s">
        <v>600</v>
      </c>
      <c r="C642" s="226">
        <f>BV85</f>
        <v>2528941.2400000002</v>
      </c>
      <c r="D642" s="226">
        <f>(D615/D612)*BV90</f>
        <v>29693.601122881089</v>
      </c>
      <c r="E642" s="228">
        <f>(E623/E612)*SUM(C642:D642)</f>
        <v>301716.88012829691</v>
      </c>
      <c r="F642" s="228">
        <f>(F624/F612)*BV64</f>
        <v>82.639270919939548</v>
      </c>
      <c r="G642" s="226">
        <f>(G625/G612)*BV91</f>
        <v>0</v>
      </c>
      <c r="H642" s="228">
        <f>(H628/H612)*BV60</f>
        <v>84897.038322106266</v>
      </c>
      <c r="I642" s="226">
        <f>(I629/I612)*BV92</f>
        <v>90459.426085427054</v>
      </c>
      <c r="J642" s="226">
        <f>(J630/J612)*BV93</f>
        <v>0</v>
      </c>
      <c r="N642" s="222" t="s">
        <v>601</v>
      </c>
    </row>
    <row r="643" spans="1:14" s="211" customFormat="1" ht="12.65" customHeight="1" x14ac:dyDescent="0.3">
      <c r="A643" s="221">
        <v>8700</v>
      </c>
      <c r="B643" s="225" t="s">
        <v>602</v>
      </c>
      <c r="C643" s="226">
        <f>BW85</f>
        <v>408084.04</v>
      </c>
      <c r="D643" s="226">
        <f>(D615/D612)*BW90</f>
        <v>6674.9476691895397</v>
      </c>
      <c r="E643" s="228">
        <f>(E623/E612)*SUM(C643:D643)</f>
        <v>48908.810961786105</v>
      </c>
      <c r="F643" s="228">
        <f>(F624/F612)*BW64</f>
        <v>408.16054725590783</v>
      </c>
      <c r="G643" s="226">
        <f>(G625/G612)*BW91</f>
        <v>0</v>
      </c>
      <c r="H643" s="228">
        <f>(H628/H612)*BW60</f>
        <v>7757.2235103099829</v>
      </c>
      <c r="I643" s="226">
        <f>(I629/I612)*BW92</f>
        <v>20334.749322131345</v>
      </c>
      <c r="J643" s="226">
        <f>(J630/J612)*BW93</f>
        <v>0</v>
      </c>
      <c r="N643" s="222" t="s">
        <v>603</v>
      </c>
    </row>
    <row r="644" spans="1:14" s="211" customFormat="1" ht="12.65" customHeight="1" x14ac:dyDescent="0.3">
      <c r="A644" s="221">
        <v>8710</v>
      </c>
      <c r="B644" s="225" t="s">
        <v>604</v>
      </c>
      <c r="C644" s="226">
        <f>BX85</f>
        <v>0</v>
      </c>
      <c r="D644" s="226">
        <f>(D615/D612)*BX90</f>
        <v>0</v>
      </c>
      <c r="E644" s="228">
        <f>(E623/E612)*SUM(C644:D644)</f>
        <v>0</v>
      </c>
      <c r="F644" s="228">
        <f>(F624/F612)*BX64</f>
        <v>0</v>
      </c>
      <c r="G644" s="226">
        <f>(G625/G612)*BX91</f>
        <v>0</v>
      </c>
      <c r="H644" s="228">
        <f>(H628/H612)*BX60</f>
        <v>0</v>
      </c>
      <c r="I644" s="226">
        <f>(I629/I612)*BX92</f>
        <v>0</v>
      </c>
      <c r="J644" s="226">
        <f>(J630/J612)*BX93</f>
        <v>0</v>
      </c>
      <c r="K644" s="228">
        <f>SUM(C631:J644)</f>
        <v>8908123.9817528278</v>
      </c>
      <c r="L644" s="228"/>
      <c r="N644" s="222" t="s">
        <v>605</v>
      </c>
    </row>
    <row r="645" spans="1:14" s="211" customFormat="1" ht="12.65" customHeight="1" x14ac:dyDescent="0.3">
      <c r="A645" s="221">
        <v>8720</v>
      </c>
      <c r="B645" s="225" t="s">
        <v>606</v>
      </c>
      <c r="C645" s="226">
        <f>BY85</f>
        <v>3345853.0700000003</v>
      </c>
      <c r="D645" s="226">
        <f>(D615/D612)*BY90</f>
        <v>11304.702973873333</v>
      </c>
      <c r="E645" s="228">
        <f>(E623/E612)*SUM(C645:D645)</f>
        <v>395879.53430494701</v>
      </c>
      <c r="F645" s="228">
        <f>(F624/F612)*BY64</f>
        <v>853.34697640386992</v>
      </c>
      <c r="G645" s="226">
        <f>(G625/G612)*BY91</f>
        <v>0</v>
      </c>
      <c r="H645" s="228">
        <f>(H628/H612)*BY60</f>
        <v>83539.541508614377</v>
      </c>
      <c r="I645" s="226">
        <f>(I629/I612)*BY92</f>
        <v>34438.966794593362</v>
      </c>
      <c r="J645" s="226">
        <f>(J630/J612)*BY93</f>
        <v>0</v>
      </c>
      <c r="K645" s="228">
        <v>0</v>
      </c>
      <c r="L645" s="228"/>
      <c r="N645" s="222" t="s">
        <v>607</v>
      </c>
    </row>
    <row r="646" spans="1:14" s="211" customFormat="1" ht="12.65" customHeight="1" x14ac:dyDescent="0.3">
      <c r="A646" s="221">
        <v>8730</v>
      </c>
      <c r="B646" s="225" t="s">
        <v>608</v>
      </c>
      <c r="C646" s="226">
        <f>BZ85</f>
        <v>0</v>
      </c>
      <c r="D646" s="226">
        <f>(D615/D612)*BZ90</f>
        <v>0</v>
      </c>
      <c r="E646" s="228">
        <f>(E623/E612)*SUM(C646:D646)</f>
        <v>0</v>
      </c>
      <c r="F646" s="228">
        <f>(F624/F612)*BZ64</f>
        <v>0</v>
      </c>
      <c r="G646" s="226">
        <f>(G625/G612)*BZ91</f>
        <v>0</v>
      </c>
      <c r="H646" s="228">
        <f>(H628/H612)*BZ60</f>
        <v>0</v>
      </c>
      <c r="I646" s="226">
        <f>(I629/I612)*BZ92</f>
        <v>0</v>
      </c>
      <c r="J646" s="226">
        <f>(J630/J612)*BZ93</f>
        <v>0</v>
      </c>
      <c r="K646" s="228">
        <v>0</v>
      </c>
      <c r="L646" s="228"/>
      <c r="N646" s="222" t="s">
        <v>609</v>
      </c>
    </row>
    <row r="647" spans="1:14" s="211" customFormat="1" ht="12.65" customHeight="1" x14ac:dyDescent="0.3">
      <c r="A647" s="221">
        <v>8740</v>
      </c>
      <c r="B647" s="225" t="s">
        <v>610</v>
      </c>
      <c r="C647" s="226">
        <f>CA85</f>
        <v>263014.91000000003</v>
      </c>
      <c r="D647" s="226">
        <f>(D615/D612)*CA90</f>
        <v>6832.7676172123402</v>
      </c>
      <c r="E647" s="228">
        <f>(E623/E612)*SUM(C647:D647)</f>
        <v>31820.718647292739</v>
      </c>
      <c r="F647" s="228">
        <f>(F624/F612)*CA64</f>
        <v>995.02350065115638</v>
      </c>
      <c r="G647" s="226">
        <f>(G625/G612)*CA91</f>
        <v>0</v>
      </c>
      <c r="H647" s="228">
        <f>(H628/H612)*CA60</f>
        <v>4643.8848590401194</v>
      </c>
      <c r="I647" s="226">
        <f>(I629/I612)*CA92</f>
        <v>20815.536474349588</v>
      </c>
      <c r="J647" s="226">
        <f>(J630/J612)*CA93</f>
        <v>0</v>
      </c>
      <c r="K647" s="228">
        <v>0</v>
      </c>
      <c r="L647" s="228">
        <f>SUM(C645:K647)</f>
        <v>4199992.0036569787</v>
      </c>
      <c r="N647" s="222" t="s">
        <v>611</v>
      </c>
    </row>
    <row r="648" spans="1:14" s="211" customFormat="1" ht="12.65" customHeight="1" x14ac:dyDescent="0.3">
      <c r="A648" s="221"/>
      <c r="B648" s="221"/>
      <c r="C648" s="211">
        <f>SUM(C614:C647)</f>
        <v>31966979.219999995</v>
      </c>
      <c r="L648" s="224"/>
    </row>
    <row r="666" spans="1:14" s="211" customFormat="1" ht="12.65" customHeight="1" x14ac:dyDescent="0.3">
      <c r="C666" s="219" t="s">
        <v>612</v>
      </c>
      <c r="M666" s="219" t="s">
        <v>613</v>
      </c>
    </row>
    <row r="667" spans="1:14" s="211" customFormat="1" ht="12.65" customHeight="1" x14ac:dyDescent="0.3">
      <c r="C667" s="219" t="s">
        <v>542</v>
      </c>
      <c r="D667" s="219" t="s">
        <v>543</v>
      </c>
      <c r="E667" s="220" t="s">
        <v>544</v>
      </c>
      <c r="F667" s="219" t="s">
        <v>545</v>
      </c>
      <c r="G667" s="219" t="s">
        <v>546</v>
      </c>
      <c r="H667" s="219" t="s">
        <v>547</v>
      </c>
      <c r="I667" s="219" t="s">
        <v>548</v>
      </c>
      <c r="J667" s="219" t="s">
        <v>549</v>
      </c>
      <c r="K667" s="219" t="s">
        <v>550</v>
      </c>
      <c r="L667" s="220" t="s">
        <v>551</v>
      </c>
      <c r="M667" s="219" t="s">
        <v>614</v>
      </c>
    </row>
    <row r="668" spans="1:14" s="211" customFormat="1" ht="12.65" customHeight="1" x14ac:dyDescent="0.3">
      <c r="A668" s="221">
        <v>6010</v>
      </c>
      <c r="B668" s="220" t="s">
        <v>341</v>
      </c>
      <c r="C668" s="226">
        <f>C85</f>
        <v>4151042.0900000003</v>
      </c>
      <c r="D668" s="226">
        <f>(D615/D612)*C90</f>
        <v>42578.267293288984</v>
      </c>
      <c r="E668" s="228">
        <f>(E623/E612)*SUM(C668:D668)</f>
        <v>494516.0717383814</v>
      </c>
      <c r="F668" s="228">
        <f>(F624/F612)*C64</f>
        <v>28364.41094872967</v>
      </c>
      <c r="G668" s="226">
        <f>(G625/G612)*C91</f>
        <v>389325.14333760721</v>
      </c>
      <c r="H668" s="228">
        <f>(H628/H612)*C60</f>
        <v>80417.883180738805</v>
      </c>
      <c r="I668" s="226">
        <f>(I629/I612)*C92</f>
        <v>129711.63743743049</v>
      </c>
      <c r="J668" s="226">
        <f>(J630/J612)*C93</f>
        <v>49796.361590673776</v>
      </c>
      <c r="K668" s="226">
        <f>(K644/K612)*C89</f>
        <v>427439.10281251656</v>
      </c>
      <c r="L668" s="226">
        <f>(L647/L612)*C94</f>
        <v>613893.55771363259</v>
      </c>
      <c r="M668" s="211">
        <f t="shared" ref="M668:M713" si="24">ROUND(SUM(D668:L668),0)</f>
        <v>2256042</v>
      </c>
      <c r="N668" s="220" t="s">
        <v>615</v>
      </c>
    </row>
    <row r="669" spans="1:14" s="211" customFormat="1" ht="12.65" customHeight="1" x14ac:dyDescent="0.3">
      <c r="A669" s="221">
        <v>6030</v>
      </c>
      <c r="B669" s="220" t="s">
        <v>342</v>
      </c>
      <c r="C669" s="226">
        <f>D85</f>
        <v>0</v>
      </c>
      <c r="D669" s="226">
        <f>(D615/D612)*D90</f>
        <v>0</v>
      </c>
      <c r="E669" s="228">
        <f>(E623/E612)*SUM(C669:D669)</f>
        <v>0</v>
      </c>
      <c r="F669" s="228">
        <f>(F624/F612)*D64</f>
        <v>0</v>
      </c>
      <c r="G669" s="226">
        <f>(G625/G612)*D91</f>
        <v>0</v>
      </c>
      <c r="H669" s="228">
        <f>(H628/H612)*D60</f>
        <v>0</v>
      </c>
      <c r="I669" s="226">
        <f>(I629/I612)*D92</f>
        <v>0</v>
      </c>
      <c r="J669" s="226">
        <f>(J630/J612)*D93</f>
        <v>0</v>
      </c>
      <c r="K669" s="226">
        <f>(K644/K612)*D89</f>
        <v>0</v>
      </c>
      <c r="L669" s="226">
        <f>(L647/L612)*D94</f>
        <v>0</v>
      </c>
      <c r="M669" s="211">
        <f t="shared" si="24"/>
        <v>0</v>
      </c>
      <c r="N669" s="220" t="s">
        <v>616</v>
      </c>
    </row>
    <row r="670" spans="1:14" s="211" customFormat="1" ht="12.65" customHeight="1" x14ac:dyDescent="0.3">
      <c r="A670" s="221">
        <v>6070</v>
      </c>
      <c r="B670" s="220" t="s">
        <v>617</v>
      </c>
      <c r="C670" s="226">
        <f>E85</f>
        <v>9361399.2199999988</v>
      </c>
      <c r="D670" s="226">
        <f>(D615/D612)*E90</f>
        <v>125771.06707959317</v>
      </c>
      <c r="E670" s="228">
        <f>(E623/E612)*SUM(C670:D670)</f>
        <v>1118736.9820256666</v>
      </c>
      <c r="F670" s="228">
        <f>(F624/F612)*E64</f>
        <v>41162.877528932026</v>
      </c>
      <c r="G670" s="226">
        <f>(G625/G612)*E91</f>
        <v>1903221.2243564783</v>
      </c>
      <c r="H670" s="228">
        <f>(H628/H612)*E60</f>
        <v>176882.15762820575</v>
      </c>
      <c r="I670" s="226">
        <f>(I629/I612)*E92</f>
        <v>383152.53508961562</v>
      </c>
      <c r="J670" s="226">
        <f>(J630/J612)*E93</f>
        <v>107814.87507872366</v>
      </c>
      <c r="K670" s="226">
        <f>(K644/K612)*E89</f>
        <v>999681.55973048531</v>
      </c>
      <c r="L670" s="226">
        <f>(L647/L612)*E94</f>
        <v>1490552.969102554</v>
      </c>
      <c r="M670" s="211">
        <f t="shared" si="24"/>
        <v>6346976</v>
      </c>
      <c r="N670" s="220" t="s">
        <v>618</v>
      </c>
    </row>
    <row r="671" spans="1:14" s="211" customFormat="1" ht="12.65" customHeight="1" x14ac:dyDescent="0.3">
      <c r="A671" s="221">
        <v>6100</v>
      </c>
      <c r="B671" s="220" t="s">
        <v>619</v>
      </c>
      <c r="C671" s="226">
        <f>F85</f>
        <v>0</v>
      </c>
      <c r="D671" s="226">
        <f>(D615/D612)*F90</f>
        <v>0</v>
      </c>
      <c r="E671" s="228">
        <f>(E623/E612)*SUM(C671:D671)</f>
        <v>0</v>
      </c>
      <c r="F671" s="228">
        <f>(F624/F612)*F64</f>
        <v>0</v>
      </c>
      <c r="G671" s="226">
        <f>(G625/G612)*F91</f>
        <v>0</v>
      </c>
      <c r="H671" s="228">
        <f>(H628/H612)*F60</f>
        <v>0</v>
      </c>
      <c r="I671" s="226">
        <f>(I629/I612)*F92</f>
        <v>0</v>
      </c>
      <c r="J671" s="226">
        <f>(J630/J612)*F93</f>
        <v>0</v>
      </c>
      <c r="K671" s="226">
        <f>(K644/K612)*F89</f>
        <v>0</v>
      </c>
      <c r="L671" s="226">
        <f>(L647/L612)*F94</f>
        <v>0</v>
      </c>
      <c r="M671" s="211">
        <f t="shared" si="24"/>
        <v>0</v>
      </c>
      <c r="N671" s="220" t="s">
        <v>620</v>
      </c>
    </row>
    <row r="672" spans="1:14" s="211" customFormat="1" ht="12.65" customHeight="1" x14ac:dyDescent="0.3">
      <c r="A672" s="221">
        <v>6120</v>
      </c>
      <c r="B672" s="220" t="s">
        <v>621</v>
      </c>
      <c r="C672" s="226">
        <f>G85</f>
        <v>0</v>
      </c>
      <c r="D672" s="226">
        <f>(D615/D612)*G90</f>
        <v>0</v>
      </c>
      <c r="E672" s="228">
        <f>(E623/E612)*SUM(C672:D672)</f>
        <v>0</v>
      </c>
      <c r="F672" s="228">
        <f>(F624/F612)*G64</f>
        <v>0</v>
      </c>
      <c r="G672" s="226">
        <f>(G625/G612)*G91</f>
        <v>0</v>
      </c>
      <c r="H672" s="228">
        <f>(H628/H612)*G60</f>
        <v>0</v>
      </c>
      <c r="I672" s="226">
        <f>(I629/I612)*G92</f>
        <v>0</v>
      </c>
      <c r="J672" s="226">
        <f>(J630/J612)*G93</f>
        <v>0</v>
      </c>
      <c r="K672" s="226">
        <f>(K644/K612)*G89</f>
        <v>0</v>
      </c>
      <c r="L672" s="226">
        <f>(L647/L612)*G94</f>
        <v>0</v>
      </c>
      <c r="M672" s="211">
        <f t="shared" si="24"/>
        <v>0</v>
      </c>
      <c r="N672" s="220" t="s">
        <v>622</v>
      </c>
    </row>
    <row r="673" spans="1:14" s="211" customFormat="1" ht="12.65" customHeight="1" x14ac:dyDescent="0.3">
      <c r="A673" s="221">
        <v>6140</v>
      </c>
      <c r="B673" s="220" t="s">
        <v>623</v>
      </c>
      <c r="C673" s="226">
        <f>H85</f>
        <v>0</v>
      </c>
      <c r="D673" s="226">
        <f>(D615/D612)*H90</f>
        <v>0</v>
      </c>
      <c r="E673" s="228">
        <f>(E623/E612)*SUM(C673:D673)</f>
        <v>0</v>
      </c>
      <c r="F673" s="228">
        <f>(F624/F612)*H64</f>
        <v>0</v>
      </c>
      <c r="G673" s="226">
        <f>(G625/G612)*H91</f>
        <v>0</v>
      </c>
      <c r="H673" s="228">
        <f>(H628/H612)*H60</f>
        <v>0</v>
      </c>
      <c r="I673" s="226">
        <f>(I629/I612)*H92</f>
        <v>0</v>
      </c>
      <c r="J673" s="226">
        <f>(J630/J612)*H93</f>
        <v>0</v>
      </c>
      <c r="K673" s="226">
        <f>(K644/K612)*H89</f>
        <v>0</v>
      </c>
      <c r="L673" s="226">
        <f>(L647/L612)*H94</f>
        <v>0</v>
      </c>
      <c r="M673" s="211">
        <f t="shared" si="24"/>
        <v>0</v>
      </c>
      <c r="N673" s="220" t="s">
        <v>624</v>
      </c>
    </row>
    <row r="674" spans="1:14" s="211" customFormat="1" ht="12.65" customHeight="1" x14ac:dyDescent="0.3">
      <c r="A674" s="221">
        <v>6150</v>
      </c>
      <c r="B674" s="220" t="s">
        <v>625</v>
      </c>
      <c r="C674" s="226">
        <f>I85</f>
        <v>0</v>
      </c>
      <c r="D674" s="226">
        <f>(D615/D612)*I90</f>
        <v>0</v>
      </c>
      <c r="E674" s="228">
        <f>(E623/E612)*SUM(C674:D674)</f>
        <v>0</v>
      </c>
      <c r="F674" s="228">
        <f>(F624/F612)*I64</f>
        <v>0</v>
      </c>
      <c r="G674" s="226">
        <f>(G625/G612)*I91</f>
        <v>0</v>
      </c>
      <c r="H674" s="228">
        <f>(H628/H612)*I60</f>
        <v>0</v>
      </c>
      <c r="I674" s="226">
        <f>(I629/I612)*I92</f>
        <v>0</v>
      </c>
      <c r="J674" s="226">
        <f>(J630/J612)*I93</f>
        <v>0</v>
      </c>
      <c r="K674" s="226">
        <f>(K644/K612)*I89</f>
        <v>0</v>
      </c>
      <c r="L674" s="226">
        <f>(L647/L612)*I94</f>
        <v>0</v>
      </c>
      <c r="M674" s="211">
        <f t="shared" si="24"/>
        <v>0</v>
      </c>
      <c r="N674" s="220" t="s">
        <v>626</v>
      </c>
    </row>
    <row r="675" spans="1:14" s="211" customFormat="1" ht="12.65" customHeight="1" x14ac:dyDescent="0.3">
      <c r="A675" s="221">
        <v>6170</v>
      </c>
      <c r="B675" s="220" t="s">
        <v>125</v>
      </c>
      <c r="C675" s="226">
        <f>J85</f>
        <v>76720.92</v>
      </c>
      <c r="D675" s="226">
        <f>(D615/D612)*J90</f>
        <v>3148.7561897943256</v>
      </c>
      <c r="E675" s="228">
        <f>(E623/E612)*SUM(C675:D675)</f>
        <v>9418.3152396480345</v>
      </c>
      <c r="F675" s="228">
        <f>(F624/F612)*J64</f>
        <v>5405.6300977205465</v>
      </c>
      <c r="G675" s="226">
        <f>(G625/G612)*J91</f>
        <v>0</v>
      </c>
      <c r="H675" s="228">
        <f>(H628/H612)*J60</f>
        <v>0</v>
      </c>
      <c r="I675" s="226">
        <f>(I629/I612)*J92</f>
        <v>9592.459891711982</v>
      </c>
      <c r="J675" s="226">
        <f>(J630/J612)*J93</f>
        <v>0</v>
      </c>
      <c r="K675" s="226">
        <f>(K644/K612)*J89</f>
        <v>41625.693111664041</v>
      </c>
      <c r="L675" s="226">
        <f>(L647/L612)*J94</f>
        <v>0</v>
      </c>
      <c r="M675" s="211">
        <f t="shared" si="24"/>
        <v>69191</v>
      </c>
      <c r="N675" s="220" t="s">
        <v>627</v>
      </c>
    </row>
    <row r="676" spans="1:14" s="211" customFormat="1" ht="12.65" customHeight="1" x14ac:dyDescent="0.3">
      <c r="A676" s="221">
        <v>6200</v>
      </c>
      <c r="B676" s="220" t="s">
        <v>347</v>
      </c>
      <c r="C676" s="226">
        <f>K85</f>
        <v>0</v>
      </c>
      <c r="D676" s="226">
        <f>(D615/D612)*K90</f>
        <v>0</v>
      </c>
      <c r="E676" s="228">
        <f>(E623/E612)*SUM(C676:D676)</f>
        <v>0</v>
      </c>
      <c r="F676" s="228">
        <f>(F624/F612)*K64</f>
        <v>0</v>
      </c>
      <c r="G676" s="226">
        <f>(G625/G612)*K91</f>
        <v>0</v>
      </c>
      <c r="H676" s="228">
        <f>(H628/H612)*K60</f>
        <v>0</v>
      </c>
      <c r="I676" s="226">
        <f>(I629/I612)*K92</f>
        <v>0</v>
      </c>
      <c r="J676" s="226">
        <f>(J630/J612)*K93</f>
        <v>0</v>
      </c>
      <c r="K676" s="226">
        <f>(K644/K612)*K89</f>
        <v>0</v>
      </c>
      <c r="L676" s="226">
        <f>(L647/L612)*K94</f>
        <v>0</v>
      </c>
      <c r="M676" s="211">
        <f t="shared" si="24"/>
        <v>0</v>
      </c>
      <c r="N676" s="220" t="s">
        <v>628</v>
      </c>
    </row>
    <row r="677" spans="1:14" s="211" customFormat="1" ht="12.65" customHeight="1" x14ac:dyDescent="0.3">
      <c r="A677" s="221">
        <v>6210</v>
      </c>
      <c r="B677" s="220" t="s">
        <v>348</v>
      </c>
      <c r="C677" s="226">
        <f>L85</f>
        <v>0</v>
      </c>
      <c r="D677" s="226">
        <f>(D615/D612)*L90</f>
        <v>0</v>
      </c>
      <c r="E677" s="228">
        <f>(E623/E612)*SUM(C677:D677)</f>
        <v>0</v>
      </c>
      <c r="F677" s="228">
        <f>(F624/F612)*L64</f>
        <v>0</v>
      </c>
      <c r="G677" s="226">
        <f>(G625/G612)*L91</f>
        <v>0</v>
      </c>
      <c r="H677" s="228">
        <f>(H628/H612)*L60</f>
        <v>0</v>
      </c>
      <c r="I677" s="226">
        <f>(I629/I612)*L92</f>
        <v>0</v>
      </c>
      <c r="J677" s="226">
        <f>(J630/J612)*L93</f>
        <v>0</v>
      </c>
      <c r="K677" s="226">
        <f>(K644/K612)*L89</f>
        <v>0</v>
      </c>
      <c r="L677" s="226">
        <f>(L647/L612)*L94</f>
        <v>0</v>
      </c>
      <c r="M677" s="211">
        <f t="shared" si="24"/>
        <v>0</v>
      </c>
      <c r="N677" s="220" t="s">
        <v>629</v>
      </c>
    </row>
    <row r="678" spans="1:14" s="211" customFormat="1" ht="12.65" customHeight="1" x14ac:dyDescent="0.3">
      <c r="A678" s="221">
        <v>6330</v>
      </c>
      <c r="B678" s="220" t="s">
        <v>630</v>
      </c>
      <c r="C678" s="226">
        <f>M85</f>
        <v>0</v>
      </c>
      <c r="D678" s="226">
        <f>(D615/D612)*M90</f>
        <v>0</v>
      </c>
      <c r="E678" s="228">
        <f>(E623/E612)*SUM(C678:D678)</f>
        <v>0</v>
      </c>
      <c r="F678" s="228">
        <f>(F624/F612)*M64</f>
        <v>0</v>
      </c>
      <c r="G678" s="226">
        <f>(G625/G612)*M91</f>
        <v>0</v>
      </c>
      <c r="H678" s="228">
        <f>(H628/H612)*M60</f>
        <v>0</v>
      </c>
      <c r="I678" s="226">
        <f>(I629/I612)*M92</f>
        <v>0</v>
      </c>
      <c r="J678" s="226">
        <f>(J630/J612)*M93</f>
        <v>0</v>
      </c>
      <c r="K678" s="226">
        <f>(K644/K612)*M89</f>
        <v>0</v>
      </c>
      <c r="L678" s="226">
        <f>(L647/L612)*M94</f>
        <v>0</v>
      </c>
      <c r="M678" s="211">
        <f t="shared" si="24"/>
        <v>0</v>
      </c>
      <c r="N678" s="220" t="s">
        <v>631</v>
      </c>
    </row>
    <row r="679" spans="1:14" s="211" customFormat="1" ht="12.65" customHeight="1" x14ac:dyDescent="0.3">
      <c r="A679" s="221">
        <v>6400</v>
      </c>
      <c r="B679" s="220" t="s">
        <v>632</v>
      </c>
      <c r="C679" s="226">
        <f>N85</f>
        <v>0</v>
      </c>
      <c r="D679" s="226">
        <f>(D615/D612)*N90</f>
        <v>0</v>
      </c>
      <c r="E679" s="228">
        <f>(E623/E612)*SUM(C679:D679)</f>
        <v>0</v>
      </c>
      <c r="F679" s="228">
        <f>(F624/F612)*N64</f>
        <v>0</v>
      </c>
      <c r="G679" s="226">
        <f>(G625/G612)*N91</f>
        <v>0</v>
      </c>
      <c r="H679" s="228">
        <f>(H628/H612)*N60</f>
        <v>0</v>
      </c>
      <c r="I679" s="226">
        <f>(I629/I612)*N92</f>
        <v>0</v>
      </c>
      <c r="J679" s="226">
        <f>(J630/J612)*N93</f>
        <v>0</v>
      </c>
      <c r="K679" s="226">
        <f>(K644/K612)*N89</f>
        <v>0</v>
      </c>
      <c r="L679" s="226">
        <f>(L647/L612)*N94</f>
        <v>0</v>
      </c>
      <c r="M679" s="211">
        <f t="shared" si="24"/>
        <v>0</v>
      </c>
      <c r="N679" s="220" t="s">
        <v>633</v>
      </c>
    </row>
    <row r="680" spans="1:14" s="211" customFormat="1" ht="12.65" customHeight="1" x14ac:dyDescent="0.3">
      <c r="A680" s="221">
        <v>7010</v>
      </c>
      <c r="B680" s="220" t="s">
        <v>634</v>
      </c>
      <c r="C680" s="226">
        <f>O85</f>
        <v>194840.84</v>
      </c>
      <c r="D680" s="226">
        <f>(D615/D612)*O90</f>
        <v>6368.3223231551729</v>
      </c>
      <c r="E680" s="228">
        <f>(E623/E612)*SUM(C680:D680)</f>
        <v>23726.793575095722</v>
      </c>
      <c r="F680" s="228">
        <f>(F624/F612)*O64</f>
        <v>13417.595865227715</v>
      </c>
      <c r="G680" s="226">
        <f>(G625/G612)*O91</f>
        <v>0</v>
      </c>
      <c r="H680" s="228">
        <f>(H628/H612)*O60</f>
        <v>0</v>
      </c>
      <c r="I680" s="226">
        <f>(I629/I612)*O92</f>
        <v>19400.637197747052</v>
      </c>
      <c r="J680" s="226">
        <f>(J630/J612)*O93</f>
        <v>54001.94503243512</v>
      </c>
      <c r="K680" s="226">
        <f>(K644/K612)*O89</f>
        <v>106862.6216856589</v>
      </c>
      <c r="L680" s="226">
        <f>(L647/L612)*O94</f>
        <v>0</v>
      </c>
      <c r="M680" s="211">
        <f t="shared" si="24"/>
        <v>223778</v>
      </c>
      <c r="N680" s="220" t="s">
        <v>635</v>
      </c>
    </row>
    <row r="681" spans="1:14" s="211" customFormat="1" ht="12.65" customHeight="1" x14ac:dyDescent="0.3">
      <c r="A681" s="221">
        <v>7020</v>
      </c>
      <c r="B681" s="220" t="s">
        <v>636</v>
      </c>
      <c r="C681" s="226">
        <f>P85</f>
        <v>3970764.63</v>
      </c>
      <c r="D681" s="226">
        <f>(D615/D612)*P90</f>
        <v>42887.701520848583</v>
      </c>
      <c r="E681" s="228">
        <f>(E623/E612)*SUM(C681:D681)</f>
        <v>473294.05506519333</v>
      </c>
      <c r="F681" s="228">
        <f>(F624/F612)*P64</f>
        <v>109895.42393499005</v>
      </c>
      <c r="G681" s="226">
        <f>(G625/G612)*P91</f>
        <v>23316.462822737529</v>
      </c>
      <c r="H681" s="228">
        <f>(H628/H612)*P60</f>
        <v>58767.439022744758</v>
      </c>
      <c r="I681" s="226">
        <f>(I629/I612)*P92</f>
        <v>130654.30661791799</v>
      </c>
      <c r="J681" s="226">
        <f>(J630/J612)*P93</f>
        <v>54190.960018581696</v>
      </c>
      <c r="K681" s="226">
        <f>(K644/K612)*P89</f>
        <v>657324.7728639592</v>
      </c>
      <c r="L681" s="226">
        <f>(L647/L612)*P94</f>
        <v>495222.25359793653</v>
      </c>
      <c r="M681" s="211">
        <f t="shared" si="24"/>
        <v>2045553</v>
      </c>
      <c r="N681" s="220" t="s">
        <v>637</v>
      </c>
    </row>
    <row r="682" spans="1:14" s="211" customFormat="1" ht="12.65" customHeight="1" x14ac:dyDescent="0.3">
      <c r="A682" s="221">
        <v>7030</v>
      </c>
      <c r="B682" s="220" t="s">
        <v>638</v>
      </c>
      <c r="C682" s="226">
        <f>Q85</f>
        <v>2534887.27</v>
      </c>
      <c r="D682" s="226">
        <f>(D615/D612)*Q90</f>
        <v>47341.150517703929</v>
      </c>
      <c r="E682" s="228">
        <f>(E623/E612)*SUM(C682:D682)</f>
        <v>304499.05953571131</v>
      </c>
      <c r="F682" s="228">
        <f>(F624/F612)*Q64</f>
        <v>13700.369145496732</v>
      </c>
      <c r="G682" s="226">
        <f>(G625/G612)*Q91</f>
        <v>0</v>
      </c>
      <c r="H682" s="228">
        <f>(H628/H612)*Q60</f>
        <v>52679.179621775147</v>
      </c>
      <c r="I682" s="226">
        <f>(I629/I612)*Q92</f>
        <v>144221.41956892429</v>
      </c>
      <c r="J682" s="226">
        <f>(J630/J612)*Q93</f>
        <v>44838.353107905859</v>
      </c>
      <c r="K682" s="226">
        <f>(K644/K612)*Q89</f>
        <v>197680.10349511795</v>
      </c>
      <c r="L682" s="226">
        <f>(L647/L612)*Q94</f>
        <v>443917.62655999331</v>
      </c>
      <c r="M682" s="211">
        <f t="shared" si="24"/>
        <v>1248877</v>
      </c>
      <c r="N682" s="220" t="s">
        <v>639</v>
      </c>
    </row>
    <row r="683" spans="1:14" s="211" customFormat="1" ht="12.65" customHeight="1" x14ac:dyDescent="0.3">
      <c r="A683" s="221">
        <v>7040</v>
      </c>
      <c r="B683" s="220" t="s">
        <v>133</v>
      </c>
      <c r="C683" s="226">
        <f>R85</f>
        <v>-733701.23</v>
      </c>
      <c r="D683" s="226">
        <f>(D615/D612)*R90</f>
        <v>2035.5245862328275</v>
      </c>
      <c r="E683" s="228">
        <f>(E623/E612)*SUM(C683:D683)</f>
        <v>-86278.780538074177</v>
      </c>
      <c r="F683" s="228">
        <f>(F624/F612)*R64</f>
        <v>9941.2101955645721</v>
      </c>
      <c r="G683" s="226">
        <f>(G625/G612)*R91</f>
        <v>0</v>
      </c>
      <c r="H683" s="228">
        <f>(H628/H612)*R60</f>
        <v>16085.178260759931</v>
      </c>
      <c r="I683" s="226">
        <f>(I629/I612)*R92</f>
        <v>6201.079656569862</v>
      </c>
      <c r="J683" s="226">
        <f>(J630/J612)*R93</f>
        <v>0</v>
      </c>
      <c r="K683" s="226">
        <f>(K644/K612)*R89</f>
        <v>65039.523873049082</v>
      </c>
      <c r="L683" s="226">
        <f>(L647/L612)*R94</f>
        <v>135546.79870829647</v>
      </c>
      <c r="M683" s="211">
        <f t="shared" si="24"/>
        <v>148571</v>
      </c>
      <c r="N683" s="220" t="s">
        <v>640</v>
      </c>
    </row>
    <row r="684" spans="1:14" s="211" customFormat="1" ht="12.65" customHeight="1" x14ac:dyDescent="0.3">
      <c r="A684" s="221">
        <v>7050</v>
      </c>
      <c r="B684" s="220" t="s">
        <v>641</v>
      </c>
      <c r="C684" s="226">
        <f>S85</f>
        <v>188694</v>
      </c>
      <c r="D684" s="226">
        <f>(D615/D612)*S90</f>
        <v>0</v>
      </c>
      <c r="E684" s="228">
        <f>(E623/E612)*SUM(C684:D684)</f>
        <v>22250.992624623072</v>
      </c>
      <c r="F684" s="228">
        <f>(F624/F612)*S64</f>
        <v>0</v>
      </c>
      <c r="G684" s="226">
        <f>(G625/G612)*S91</f>
        <v>0</v>
      </c>
      <c r="H684" s="228">
        <f>(H628/H612)*S60</f>
        <v>0</v>
      </c>
      <c r="I684" s="226">
        <f>(I629/I612)*S92</f>
        <v>0</v>
      </c>
      <c r="J684" s="226">
        <f>(J630/J612)*S93</f>
        <v>0</v>
      </c>
      <c r="K684" s="226">
        <f>(K644/K612)*S89</f>
        <v>0</v>
      </c>
      <c r="L684" s="226">
        <f>(L647/L612)*S94</f>
        <v>0</v>
      </c>
      <c r="M684" s="211">
        <f t="shared" si="24"/>
        <v>22251</v>
      </c>
      <c r="N684" s="220" t="s">
        <v>642</v>
      </c>
    </row>
    <row r="685" spans="1:14" s="211" customFormat="1" ht="12.65" customHeight="1" x14ac:dyDescent="0.3">
      <c r="A685" s="221">
        <v>7060</v>
      </c>
      <c r="B685" s="220" t="s">
        <v>643</v>
      </c>
      <c r="C685" s="226">
        <f>T85</f>
        <v>0</v>
      </c>
      <c r="D685" s="226">
        <f>(D615/D612)*T90</f>
        <v>0</v>
      </c>
      <c r="E685" s="228">
        <f>(E623/E612)*SUM(C685:D685)</f>
        <v>0</v>
      </c>
      <c r="F685" s="228">
        <f>(F624/F612)*T64</f>
        <v>0</v>
      </c>
      <c r="G685" s="226">
        <f>(G625/G612)*T91</f>
        <v>0</v>
      </c>
      <c r="H685" s="228">
        <f>(H628/H612)*T60</f>
        <v>0</v>
      </c>
      <c r="I685" s="226">
        <f>(I629/I612)*T92</f>
        <v>0</v>
      </c>
      <c r="J685" s="226">
        <f>(J630/J612)*T93</f>
        <v>0</v>
      </c>
      <c r="K685" s="226">
        <f>(K644/K612)*T89</f>
        <v>0</v>
      </c>
      <c r="L685" s="226">
        <f>(L647/L612)*T94</f>
        <v>0</v>
      </c>
      <c r="M685" s="211">
        <f t="shared" si="24"/>
        <v>0</v>
      </c>
      <c r="N685" s="220" t="s">
        <v>644</v>
      </c>
    </row>
    <row r="686" spans="1:14" s="211" customFormat="1" ht="12.65" customHeight="1" x14ac:dyDescent="0.3">
      <c r="A686" s="221">
        <v>7070</v>
      </c>
      <c r="B686" s="220" t="s">
        <v>136</v>
      </c>
      <c r="C686" s="226">
        <f>U85</f>
        <v>6838371.7199999988</v>
      </c>
      <c r="D686" s="226">
        <f>(D615/D612)*U90</f>
        <v>28696.056244463791</v>
      </c>
      <c r="E686" s="228">
        <f>(E623/E612)*SUM(C686:D686)</f>
        <v>809771.7703901676</v>
      </c>
      <c r="F686" s="228">
        <f>(F624/F612)*U64</f>
        <v>255113.15392167046</v>
      </c>
      <c r="G686" s="226">
        <f>(G625/G612)*U91</f>
        <v>0</v>
      </c>
      <c r="H686" s="228">
        <f>(H628/H612)*U60</f>
        <v>96613.521245495649</v>
      </c>
      <c r="I686" s="226">
        <f>(I629/I612)*U92</f>
        <v>87420.477160954848</v>
      </c>
      <c r="J686" s="226">
        <f>(J630/J612)*U93</f>
        <v>763.32975174579303</v>
      </c>
      <c r="K686" s="226">
        <f>(K644/K612)*U89</f>
        <v>1131743.8280649355</v>
      </c>
      <c r="L686" s="226">
        <f>(L647/L612)*U94</f>
        <v>0</v>
      </c>
      <c r="M686" s="211">
        <f t="shared" si="24"/>
        <v>2410122</v>
      </c>
      <c r="N686" s="220" t="s">
        <v>645</v>
      </c>
    </row>
    <row r="687" spans="1:14" s="211" customFormat="1" ht="12.65" customHeight="1" x14ac:dyDescent="0.3">
      <c r="A687" s="221">
        <v>7110</v>
      </c>
      <c r="B687" s="220" t="s">
        <v>646</v>
      </c>
      <c r="C687" s="226">
        <f>V85</f>
        <v>0</v>
      </c>
      <c r="D687" s="226">
        <f>(D615/D612)*V90</f>
        <v>0</v>
      </c>
      <c r="E687" s="228">
        <f>(E623/E612)*SUM(C687:D687)</f>
        <v>0</v>
      </c>
      <c r="F687" s="228">
        <f>(F624/F612)*V64</f>
        <v>0</v>
      </c>
      <c r="G687" s="226">
        <f>(G625/G612)*V91</f>
        <v>0</v>
      </c>
      <c r="H687" s="228">
        <f>(H628/H612)*V60</f>
        <v>0</v>
      </c>
      <c r="I687" s="226">
        <f>(I629/I612)*V92</f>
        <v>0</v>
      </c>
      <c r="J687" s="226">
        <f>(J630/J612)*V93</f>
        <v>0</v>
      </c>
      <c r="K687" s="226">
        <f>(K644/K612)*V89</f>
        <v>0</v>
      </c>
      <c r="L687" s="226">
        <f>(L647/L612)*V94</f>
        <v>0</v>
      </c>
      <c r="M687" s="211">
        <f t="shared" si="24"/>
        <v>0</v>
      </c>
      <c r="N687" s="220" t="s">
        <v>647</v>
      </c>
    </row>
    <row r="688" spans="1:14" s="211" customFormat="1" ht="12.65" customHeight="1" x14ac:dyDescent="0.3">
      <c r="A688" s="221">
        <v>7120</v>
      </c>
      <c r="B688" s="220" t="s">
        <v>648</v>
      </c>
      <c r="C688" s="226">
        <f>W85</f>
        <v>464426.95999999996</v>
      </c>
      <c r="D688" s="226">
        <f>(D615/D612)*W90</f>
        <v>13962.558125012294</v>
      </c>
      <c r="E688" s="228">
        <f>(E623/E612)*SUM(C688:D688)</f>
        <v>56412.189256132326</v>
      </c>
      <c r="F688" s="228">
        <f>(F624/F612)*W64</f>
        <v>2755.5838679540211</v>
      </c>
      <c r="G688" s="226">
        <f>(G625/G612)*W91</f>
        <v>0</v>
      </c>
      <c r="H688" s="228">
        <f>(H628/H612)*W60</f>
        <v>7862.4274391178587</v>
      </c>
      <c r="I688" s="226">
        <f>(I629/I612)*W92</f>
        <v>42535.931881288729</v>
      </c>
      <c r="J688" s="226">
        <f>(J630/J612)*W93</f>
        <v>0</v>
      </c>
      <c r="K688" s="226">
        <f>(K644/K612)*W89</f>
        <v>246063.79105834762</v>
      </c>
      <c r="L688" s="226">
        <f>(L647/L612)*W94</f>
        <v>0</v>
      </c>
      <c r="M688" s="211">
        <f t="shared" si="24"/>
        <v>369592</v>
      </c>
      <c r="N688" s="220" t="s">
        <v>649</v>
      </c>
    </row>
    <row r="689" spans="1:14" s="211" customFormat="1" ht="12.65" customHeight="1" x14ac:dyDescent="0.3">
      <c r="A689" s="221">
        <v>7130</v>
      </c>
      <c r="B689" s="220" t="s">
        <v>650</v>
      </c>
      <c r="C689" s="226">
        <f>X85</f>
        <v>943292.88</v>
      </c>
      <c r="D689" s="226">
        <f>(D615/D612)*X90</f>
        <v>5171.4121792719825</v>
      </c>
      <c r="E689" s="228">
        <f>(E623/E612)*SUM(C689:D689)</f>
        <v>111843.89524838798</v>
      </c>
      <c r="F689" s="228">
        <f>(F624/F612)*X64</f>
        <v>21284.541530622682</v>
      </c>
      <c r="G689" s="226">
        <f>(G625/G612)*X91</f>
        <v>0</v>
      </c>
      <c r="H689" s="228">
        <f>(H628/H612)*X60</f>
        <v>13915.808053866891</v>
      </c>
      <c r="I689" s="226">
        <f>(I629/I612)*X92</f>
        <v>15754.336291250802</v>
      </c>
      <c r="J689" s="226">
        <f>(J630/J612)*X93</f>
        <v>0</v>
      </c>
      <c r="K689" s="226">
        <f>(K644/K612)*X89</f>
        <v>816821.09774347919</v>
      </c>
      <c r="L689" s="226">
        <f>(L647/L612)*X94</f>
        <v>0</v>
      </c>
      <c r="M689" s="211">
        <f t="shared" si="24"/>
        <v>984791</v>
      </c>
      <c r="N689" s="220" t="s">
        <v>651</v>
      </c>
    </row>
    <row r="690" spans="1:14" s="211" customFormat="1" ht="12.65" customHeight="1" x14ac:dyDescent="0.3">
      <c r="A690" s="221">
        <v>7140</v>
      </c>
      <c r="B690" s="220" t="s">
        <v>652</v>
      </c>
      <c r="C690" s="226">
        <f>Y85</f>
        <v>4134572.9800000009</v>
      </c>
      <c r="D690" s="226">
        <f>(D615/D612)*Y90</f>
        <v>45674.830544974771</v>
      </c>
      <c r="E690" s="228">
        <f>(E623/E612)*SUM(C690:D690)</f>
        <v>492939.16712525563</v>
      </c>
      <c r="F690" s="228">
        <f>(F624/F612)*Y64</f>
        <v>24524.508123999582</v>
      </c>
      <c r="G690" s="226">
        <f>(G625/G612)*Y91</f>
        <v>0</v>
      </c>
      <c r="H690" s="228">
        <f>(H628/H612)*Y60</f>
        <v>85625.896026452436</v>
      </c>
      <c r="I690" s="226">
        <f>(I629/I612)*Y92</f>
        <v>139145.09528666633</v>
      </c>
      <c r="J690" s="226">
        <f>(J630/J612)*Y93</f>
        <v>41248.885822910765</v>
      </c>
      <c r="K690" s="226">
        <f>(K644/K612)*Y89</f>
        <v>636790.18355351395</v>
      </c>
      <c r="L690" s="226">
        <f>(L647/L612)*Y94</f>
        <v>0</v>
      </c>
      <c r="M690" s="211">
        <f t="shared" si="24"/>
        <v>1465949</v>
      </c>
      <c r="N690" s="220" t="s">
        <v>653</v>
      </c>
    </row>
    <row r="691" spans="1:14" s="211" customFormat="1" ht="12.65" customHeight="1" x14ac:dyDescent="0.3">
      <c r="A691" s="221">
        <v>7150</v>
      </c>
      <c r="B691" s="220" t="s">
        <v>654</v>
      </c>
      <c r="C691" s="226">
        <f>Z85</f>
        <v>0</v>
      </c>
      <c r="D691" s="226">
        <f>(D615/D612)*Z90</f>
        <v>0</v>
      </c>
      <c r="E691" s="228">
        <f>(E623/E612)*SUM(C691:D691)</f>
        <v>0</v>
      </c>
      <c r="F691" s="228">
        <f>(F624/F612)*Z64</f>
        <v>0</v>
      </c>
      <c r="G691" s="226">
        <f>(G625/G612)*Z91</f>
        <v>0</v>
      </c>
      <c r="H691" s="228">
        <f>(H628/H612)*Z60</f>
        <v>0</v>
      </c>
      <c r="I691" s="226">
        <f>(I629/I612)*Z92</f>
        <v>0</v>
      </c>
      <c r="J691" s="226">
        <f>(J630/J612)*Z93</f>
        <v>0</v>
      </c>
      <c r="K691" s="226">
        <f>(K644/K612)*Z89</f>
        <v>0</v>
      </c>
      <c r="L691" s="226">
        <f>(L647/L612)*Z94</f>
        <v>0</v>
      </c>
      <c r="M691" s="211">
        <f t="shared" si="24"/>
        <v>0</v>
      </c>
      <c r="N691" s="220" t="s">
        <v>655</v>
      </c>
    </row>
    <row r="692" spans="1:14" s="211" customFormat="1" ht="12.65" customHeight="1" x14ac:dyDescent="0.3">
      <c r="A692" s="221">
        <v>7160</v>
      </c>
      <c r="B692" s="220" t="s">
        <v>656</v>
      </c>
      <c r="C692" s="226">
        <f>AA85</f>
        <v>173654.86</v>
      </c>
      <c r="D692" s="226">
        <f>(D615/D612)*AA90</f>
        <v>4508.3201708367769</v>
      </c>
      <c r="E692" s="228">
        <f>(E623/E612)*SUM(C692:D692)</f>
        <v>21009.187403736632</v>
      </c>
      <c r="F692" s="228">
        <f>(F624/F612)*AA64</f>
        <v>1275.9707587738612</v>
      </c>
      <c r="G692" s="226">
        <f>(G625/G612)*AA91</f>
        <v>0</v>
      </c>
      <c r="H692" s="228">
        <f>(H628/H612)*AA60</f>
        <v>499.81977596347645</v>
      </c>
      <c r="I692" s="226">
        <f>(I629/I612)*AA92</f>
        <v>13734.274046976207</v>
      </c>
      <c r="J692" s="226">
        <f>(J630/J612)*AA93</f>
        <v>0</v>
      </c>
      <c r="K692" s="226">
        <f>(K644/K612)*AA89</f>
        <v>877.56641502455773</v>
      </c>
      <c r="L692" s="226">
        <f>(L647/L612)*AA94</f>
        <v>0</v>
      </c>
      <c r="M692" s="211">
        <f t="shared" si="24"/>
        <v>41905</v>
      </c>
      <c r="N692" s="220" t="s">
        <v>657</v>
      </c>
    </row>
    <row r="693" spans="1:14" s="211" customFormat="1" ht="12.65" customHeight="1" x14ac:dyDescent="0.3">
      <c r="A693" s="221">
        <v>7170</v>
      </c>
      <c r="B693" s="220" t="s">
        <v>142</v>
      </c>
      <c r="C693" s="226">
        <f>AB85</f>
        <v>2796559.4199999985</v>
      </c>
      <c r="D693" s="226">
        <f>(D615/D612)*AB90</f>
        <v>12557.464134130485</v>
      </c>
      <c r="E693" s="228">
        <f>(E623/E612)*SUM(C693:D693)</f>
        <v>331253.98301256343</v>
      </c>
      <c r="F693" s="228">
        <f>(F624/F612)*AB64</f>
        <v>297241.71099835023</v>
      </c>
      <c r="G693" s="226">
        <f>(G625/G612)*AB91</f>
        <v>0</v>
      </c>
      <c r="H693" s="228">
        <f>(H628/H612)*AB60</f>
        <v>53185.035930791069</v>
      </c>
      <c r="I693" s="226">
        <f>(I629/I612)*AB92</f>
        <v>38255.413816630426</v>
      </c>
      <c r="J693" s="226">
        <f>(J630/J612)*AB93</f>
        <v>0</v>
      </c>
      <c r="K693" s="226">
        <f>(K644/K612)*AB89</f>
        <v>351975.30191549985</v>
      </c>
      <c r="L693" s="226">
        <f>(L647/L612)*AB94</f>
        <v>0</v>
      </c>
      <c r="M693" s="211">
        <f t="shared" si="24"/>
        <v>1084469</v>
      </c>
      <c r="N693" s="220" t="s">
        <v>658</v>
      </c>
    </row>
    <row r="694" spans="1:14" s="211" customFormat="1" ht="12.65" customHeight="1" x14ac:dyDescent="0.3">
      <c r="A694" s="221">
        <v>7180</v>
      </c>
      <c r="B694" s="220" t="s">
        <v>659</v>
      </c>
      <c r="C694" s="226">
        <f>AC85</f>
        <v>1517813.0099999998</v>
      </c>
      <c r="D694" s="226">
        <f>(D615/D612)*AC90</f>
        <v>5261.753647862849</v>
      </c>
      <c r="E694" s="228">
        <f>(E623/E612)*SUM(C694:D694)</f>
        <v>179602.55934305341</v>
      </c>
      <c r="F694" s="228">
        <f>(F624/F612)*AC64</f>
        <v>12953.513699446341</v>
      </c>
      <c r="G694" s="226">
        <f>(G625/G612)*AC91</f>
        <v>0</v>
      </c>
      <c r="H694" s="228">
        <f>(H628/H612)*AC60</f>
        <v>28277.108190866529</v>
      </c>
      <c r="I694" s="226">
        <f>(I629/I612)*AC92</f>
        <v>16029.555095686994</v>
      </c>
      <c r="J694" s="226">
        <f>(J630/J612)*AC93</f>
        <v>0</v>
      </c>
      <c r="K694" s="226">
        <f>(K644/K612)*AC89</f>
        <v>259485.16341175503</v>
      </c>
      <c r="L694" s="226">
        <f>(L647/L612)*AC94</f>
        <v>0</v>
      </c>
      <c r="M694" s="211">
        <f t="shared" si="24"/>
        <v>501610</v>
      </c>
      <c r="N694" s="220" t="s">
        <v>660</v>
      </c>
    </row>
    <row r="695" spans="1:14" s="211" customFormat="1" ht="12.65" customHeight="1" x14ac:dyDescent="0.3">
      <c r="A695" s="221">
        <v>7190</v>
      </c>
      <c r="B695" s="220" t="s">
        <v>144</v>
      </c>
      <c r="C695" s="226">
        <f>AD85</f>
        <v>0</v>
      </c>
      <c r="D695" s="226">
        <f>(D615/D612)*AD90</f>
        <v>0</v>
      </c>
      <c r="E695" s="228">
        <f>(E623/E612)*SUM(C695:D695)</f>
        <v>0</v>
      </c>
      <c r="F695" s="228">
        <f>(F624/F612)*AD64</f>
        <v>0</v>
      </c>
      <c r="G695" s="226">
        <f>(G625/G612)*AD91</f>
        <v>0</v>
      </c>
      <c r="H695" s="228">
        <f>(H628/H612)*AD60</f>
        <v>0</v>
      </c>
      <c r="I695" s="226">
        <f>(I629/I612)*AD92</f>
        <v>0</v>
      </c>
      <c r="J695" s="226">
        <f>(J630/J612)*AD93</f>
        <v>0</v>
      </c>
      <c r="K695" s="226">
        <f>(K644/K612)*AD89</f>
        <v>0</v>
      </c>
      <c r="L695" s="226">
        <f>(L647/L612)*AD94</f>
        <v>0</v>
      </c>
      <c r="M695" s="211">
        <f t="shared" si="24"/>
        <v>0</v>
      </c>
      <c r="N695" s="220" t="s">
        <v>661</v>
      </c>
    </row>
    <row r="696" spans="1:14" s="211" customFormat="1" ht="12.65" customHeight="1" x14ac:dyDescent="0.3">
      <c r="A696" s="221">
        <v>7200</v>
      </c>
      <c r="B696" s="220" t="s">
        <v>662</v>
      </c>
      <c r="C696" s="226">
        <f>AE85</f>
        <v>3103397.1400000006</v>
      </c>
      <c r="D696" s="226">
        <f>(D615/D612)*AE90</f>
        <v>25390.982531648537</v>
      </c>
      <c r="E696" s="228">
        <f>(E623/E612)*SUM(C696:D696)</f>
        <v>368949.94773792481</v>
      </c>
      <c r="F696" s="228">
        <f>(F624/F612)*AE64</f>
        <v>5803.087231581535</v>
      </c>
      <c r="G696" s="226">
        <f>(G625/G612)*AE91</f>
        <v>0</v>
      </c>
      <c r="H696" s="228">
        <f>(H628/H612)*AE60</f>
        <v>80135.296243552672</v>
      </c>
      <c r="I696" s="226">
        <f>(I629/I612)*AE92</f>
        <v>77351.807147033323</v>
      </c>
      <c r="J696" s="226">
        <f>(J630/J612)*AE93</f>
        <v>5486.8869536203556</v>
      </c>
      <c r="K696" s="226">
        <f>(K644/K612)*AE89</f>
        <v>223841.92606399229</v>
      </c>
      <c r="L696" s="226">
        <f>(L647/L612)*AE94</f>
        <v>0</v>
      </c>
      <c r="M696" s="211">
        <f t="shared" si="24"/>
        <v>786960</v>
      </c>
      <c r="N696" s="220" t="s">
        <v>663</v>
      </c>
    </row>
    <row r="697" spans="1:14" s="211" customFormat="1" ht="12.65" customHeight="1" x14ac:dyDescent="0.3">
      <c r="A697" s="221">
        <v>7220</v>
      </c>
      <c r="B697" s="220" t="s">
        <v>664</v>
      </c>
      <c r="C697" s="226">
        <f>AF85</f>
        <v>0</v>
      </c>
      <c r="D697" s="226">
        <f>(D615/D612)*AF90</f>
        <v>0</v>
      </c>
      <c r="E697" s="228">
        <f>(E623/E612)*SUM(C697:D697)</f>
        <v>0</v>
      </c>
      <c r="F697" s="228">
        <f>(F624/F612)*AF64</f>
        <v>0</v>
      </c>
      <c r="G697" s="226">
        <f>(G625/G612)*AF91</f>
        <v>0</v>
      </c>
      <c r="H697" s="228">
        <f>(H628/H612)*AF60</f>
        <v>0</v>
      </c>
      <c r="I697" s="226">
        <f>(I629/I612)*AF92</f>
        <v>0</v>
      </c>
      <c r="J697" s="226">
        <f>(J630/J612)*AF93</f>
        <v>0</v>
      </c>
      <c r="K697" s="226">
        <f>(K644/K612)*AF89</f>
        <v>0</v>
      </c>
      <c r="L697" s="226">
        <f>(L647/L612)*AF94</f>
        <v>0</v>
      </c>
      <c r="M697" s="211">
        <f t="shared" si="24"/>
        <v>0</v>
      </c>
      <c r="N697" s="220" t="s">
        <v>665</v>
      </c>
    </row>
    <row r="698" spans="1:14" s="211" customFormat="1" ht="12.65" customHeight="1" x14ac:dyDescent="0.3">
      <c r="A698" s="221">
        <v>7230</v>
      </c>
      <c r="B698" s="220" t="s">
        <v>666</v>
      </c>
      <c r="C698" s="226">
        <f>AG85</f>
        <v>9577090.8099999968</v>
      </c>
      <c r="D698" s="226">
        <f>(D615/D612)*AG90</f>
        <v>62337.89962661398</v>
      </c>
      <c r="E698" s="228">
        <f>(E623/E612)*SUM(C698:D698)</f>
        <v>1136691.4534827902</v>
      </c>
      <c r="F698" s="228">
        <f>(F624/F612)*AG64</f>
        <v>43782.817930883371</v>
      </c>
      <c r="G698" s="226">
        <f>(G625/G612)*AG91</f>
        <v>74612.681032760098</v>
      </c>
      <c r="H698" s="228">
        <f>(H628/H612)*AG60</f>
        <v>121144.10595431449</v>
      </c>
      <c r="I698" s="226">
        <f>(I629/I612)*AG92</f>
        <v>189907.94010663655</v>
      </c>
      <c r="J698" s="226">
        <f>(J630/J612)*AG93</f>
        <v>109263.38415525079</v>
      </c>
      <c r="K698" s="226">
        <f>(K644/K612)*AG89</f>
        <v>1628058.4742941125</v>
      </c>
      <c r="L698" s="226">
        <f>(L647/L612)*AG94</f>
        <v>1020858.7979745661</v>
      </c>
      <c r="M698" s="211">
        <f t="shared" si="24"/>
        <v>4386658</v>
      </c>
      <c r="N698" s="220" t="s">
        <v>667</v>
      </c>
    </row>
    <row r="699" spans="1:14" s="211" customFormat="1" ht="12.65" customHeight="1" x14ac:dyDescent="0.3">
      <c r="A699" s="221">
        <v>7240</v>
      </c>
      <c r="B699" s="220" t="s">
        <v>146</v>
      </c>
      <c r="C699" s="226">
        <f>AH85</f>
        <v>0</v>
      </c>
      <c r="D699" s="226">
        <f>(D615/D612)*AH90</f>
        <v>0</v>
      </c>
      <c r="E699" s="228">
        <f>(E623/E612)*SUM(C699:D699)</f>
        <v>0</v>
      </c>
      <c r="F699" s="228">
        <f>(F624/F612)*AH64</f>
        <v>0</v>
      </c>
      <c r="G699" s="226">
        <f>(G625/G612)*AH91</f>
        <v>0</v>
      </c>
      <c r="H699" s="228">
        <f>(H628/H612)*AH60</f>
        <v>0</v>
      </c>
      <c r="I699" s="226">
        <f>(I629/I612)*AH92</f>
        <v>0</v>
      </c>
      <c r="J699" s="226">
        <f>(J630/J612)*AH93</f>
        <v>0</v>
      </c>
      <c r="K699" s="226">
        <f>(K644/K612)*AH89</f>
        <v>0</v>
      </c>
      <c r="L699" s="226">
        <f>(L647/L612)*AH94</f>
        <v>0</v>
      </c>
      <c r="M699" s="211">
        <f t="shared" si="24"/>
        <v>0</v>
      </c>
      <c r="N699" s="220" t="s">
        <v>668</v>
      </c>
    </row>
    <row r="700" spans="1:14" s="211" customFormat="1" ht="12.65" customHeight="1" x14ac:dyDescent="0.3">
      <c r="A700" s="221">
        <v>7250</v>
      </c>
      <c r="B700" s="220" t="s">
        <v>669</v>
      </c>
      <c r="C700" s="226">
        <f>AI85</f>
        <v>0</v>
      </c>
      <c r="D700" s="226">
        <f>(D615/D612)*AI90</f>
        <v>0</v>
      </c>
      <c r="E700" s="228">
        <f>(E623/E612)*SUM(C700:D700)</f>
        <v>0</v>
      </c>
      <c r="F700" s="228">
        <f>(F624/F612)*AI64</f>
        <v>0</v>
      </c>
      <c r="G700" s="226">
        <f>(G625/G612)*AI91</f>
        <v>0</v>
      </c>
      <c r="H700" s="228">
        <f>(H628/H612)*AI60</f>
        <v>0</v>
      </c>
      <c r="I700" s="226">
        <f>(I629/I612)*AI92</f>
        <v>0</v>
      </c>
      <c r="J700" s="226">
        <f>(J630/J612)*AI93</f>
        <v>0</v>
      </c>
      <c r="K700" s="226">
        <f>(K644/K612)*AI89</f>
        <v>0</v>
      </c>
      <c r="L700" s="226">
        <f>(L647/L612)*AI94</f>
        <v>0</v>
      </c>
      <c r="M700" s="211">
        <f t="shared" si="24"/>
        <v>0</v>
      </c>
      <c r="N700" s="220" t="s">
        <v>670</v>
      </c>
    </row>
    <row r="701" spans="1:14" s="211" customFormat="1" ht="12.65" customHeight="1" x14ac:dyDescent="0.3">
      <c r="A701" s="221">
        <v>7260</v>
      </c>
      <c r="B701" s="220" t="s">
        <v>148</v>
      </c>
      <c r="C701" s="226">
        <f>AJ85</f>
        <v>0</v>
      </c>
      <c r="D701" s="226">
        <f>(D615/D612)*AJ90</f>
        <v>0</v>
      </c>
      <c r="E701" s="228">
        <f>(E623/E612)*SUM(C701:D701)</f>
        <v>0</v>
      </c>
      <c r="F701" s="228">
        <f>(F624/F612)*AJ64</f>
        <v>0</v>
      </c>
      <c r="G701" s="226">
        <f>(G625/G612)*AJ91</f>
        <v>0</v>
      </c>
      <c r="H701" s="228">
        <f>(H628/H612)*AJ60</f>
        <v>0</v>
      </c>
      <c r="I701" s="226">
        <f>(I629/I612)*AJ92</f>
        <v>0</v>
      </c>
      <c r="J701" s="226">
        <f>(J630/J612)*AJ93</f>
        <v>0</v>
      </c>
      <c r="K701" s="226">
        <f>(K644/K612)*AJ89</f>
        <v>0</v>
      </c>
      <c r="L701" s="226">
        <f>(L647/L612)*AJ94</f>
        <v>0</v>
      </c>
      <c r="M701" s="211">
        <f t="shared" si="24"/>
        <v>0</v>
      </c>
      <c r="N701" s="220" t="s">
        <v>671</v>
      </c>
    </row>
    <row r="702" spans="1:14" s="211" customFormat="1" ht="12.65" customHeight="1" x14ac:dyDescent="0.3">
      <c r="A702" s="221">
        <v>7310</v>
      </c>
      <c r="B702" s="220" t="s">
        <v>672</v>
      </c>
      <c r="C702" s="226">
        <f>AK85</f>
        <v>0</v>
      </c>
      <c r="D702" s="226">
        <f>(D615/D612)*AK90</f>
        <v>0</v>
      </c>
      <c r="E702" s="228">
        <f>(E623/E612)*SUM(C702:D702)</f>
        <v>0</v>
      </c>
      <c r="F702" s="228">
        <f>(F624/F612)*AK64</f>
        <v>0</v>
      </c>
      <c r="G702" s="226">
        <f>(G625/G612)*AK91</f>
        <v>0</v>
      </c>
      <c r="H702" s="228">
        <f>(H628/H612)*AK60</f>
        <v>0</v>
      </c>
      <c r="I702" s="226">
        <f>(I629/I612)*AK92</f>
        <v>0</v>
      </c>
      <c r="J702" s="226">
        <f>(J630/J612)*AK93</f>
        <v>0</v>
      </c>
      <c r="K702" s="226">
        <f>(K644/K612)*AK89</f>
        <v>0</v>
      </c>
      <c r="L702" s="226">
        <f>(L647/L612)*AK94</f>
        <v>0</v>
      </c>
      <c r="M702" s="211">
        <f t="shared" si="24"/>
        <v>0</v>
      </c>
      <c r="N702" s="220" t="s">
        <v>673</v>
      </c>
    </row>
    <row r="703" spans="1:14" s="211" customFormat="1" ht="12.65" customHeight="1" x14ac:dyDescent="0.3">
      <c r="A703" s="221">
        <v>7320</v>
      </c>
      <c r="B703" s="220" t="s">
        <v>674</v>
      </c>
      <c r="C703" s="226">
        <f>AL85</f>
        <v>0</v>
      </c>
      <c r="D703" s="226">
        <f>(D615/D612)*AL90</f>
        <v>0</v>
      </c>
      <c r="E703" s="228">
        <f>(E623/E612)*SUM(C703:D703)</f>
        <v>0</v>
      </c>
      <c r="F703" s="228">
        <f>(F624/F612)*AL64</f>
        <v>0</v>
      </c>
      <c r="G703" s="226">
        <f>(G625/G612)*AL91</f>
        <v>0</v>
      </c>
      <c r="H703" s="228">
        <f>(H628/H612)*AL60</f>
        <v>0</v>
      </c>
      <c r="I703" s="226">
        <f>(I629/I612)*AL92</f>
        <v>0</v>
      </c>
      <c r="J703" s="226">
        <f>(J630/J612)*AL93</f>
        <v>0</v>
      </c>
      <c r="K703" s="226">
        <f>(K644/K612)*AL89</f>
        <v>0</v>
      </c>
      <c r="L703" s="226">
        <f>(L647/L612)*AL94</f>
        <v>0</v>
      </c>
      <c r="M703" s="211">
        <f t="shared" si="24"/>
        <v>0</v>
      </c>
      <c r="N703" s="220" t="s">
        <v>675</v>
      </c>
    </row>
    <row r="704" spans="1:14" s="211" customFormat="1" ht="12.65" customHeight="1" x14ac:dyDescent="0.3">
      <c r="A704" s="221">
        <v>7330</v>
      </c>
      <c r="B704" s="220" t="s">
        <v>676</v>
      </c>
      <c r="C704" s="226">
        <f>AM85</f>
        <v>0</v>
      </c>
      <c r="D704" s="226">
        <f>(D615/D612)*AM90</f>
        <v>0</v>
      </c>
      <c r="E704" s="228">
        <f>(E623/E612)*SUM(C704:D704)</f>
        <v>0</v>
      </c>
      <c r="F704" s="228">
        <f>(F624/F612)*AM64</f>
        <v>0</v>
      </c>
      <c r="G704" s="226">
        <f>(G625/G612)*AM91</f>
        <v>0</v>
      </c>
      <c r="H704" s="228">
        <f>(H628/H612)*AM60</f>
        <v>0</v>
      </c>
      <c r="I704" s="226">
        <f>(I629/I612)*AM92</f>
        <v>0</v>
      </c>
      <c r="J704" s="226">
        <f>(J630/J612)*AM93</f>
        <v>0</v>
      </c>
      <c r="K704" s="226">
        <f>(K644/K612)*AM89</f>
        <v>0</v>
      </c>
      <c r="L704" s="226">
        <f>(L647/L612)*AM94</f>
        <v>0</v>
      </c>
      <c r="M704" s="211">
        <f t="shared" si="24"/>
        <v>0</v>
      </c>
      <c r="N704" s="220" t="s">
        <v>677</v>
      </c>
    </row>
    <row r="705" spans="1:14" s="211" customFormat="1" ht="12.65" customHeight="1" x14ac:dyDescent="0.3">
      <c r="A705" s="221">
        <v>7340</v>
      </c>
      <c r="B705" s="220" t="s">
        <v>678</v>
      </c>
      <c r="C705" s="226">
        <f>AN85</f>
        <v>0</v>
      </c>
      <c r="D705" s="226">
        <f>(D615/D612)*AN90</f>
        <v>0</v>
      </c>
      <c r="E705" s="228">
        <f>(E623/E612)*SUM(C705:D705)</f>
        <v>0</v>
      </c>
      <c r="F705" s="228">
        <f>(F624/F612)*AN64</f>
        <v>0</v>
      </c>
      <c r="G705" s="226">
        <f>(G625/G612)*AN91</f>
        <v>0</v>
      </c>
      <c r="H705" s="228">
        <f>(H628/H612)*AN60</f>
        <v>0</v>
      </c>
      <c r="I705" s="226">
        <f>(I629/I612)*AN92</f>
        <v>0</v>
      </c>
      <c r="J705" s="226">
        <f>(J630/J612)*AN93</f>
        <v>0</v>
      </c>
      <c r="K705" s="226">
        <f>(K644/K612)*AN89</f>
        <v>0</v>
      </c>
      <c r="L705" s="226">
        <f>(L647/L612)*AN94</f>
        <v>0</v>
      </c>
      <c r="M705" s="211">
        <f t="shared" si="24"/>
        <v>0</v>
      </c>
      <c r="N705" s="220" t="s">
        <v>679</v>
      </c>
    </row>
    <row r="706" spans="1:14" s="211" customFormat="1" ht="12.65" customHeight="1" x14ac:dyDescent="0.3">
      <c r="A706" s="221">
        <v>7350</v>
      </c>
      <c r="B706" s="220" t="s">
        <v>680</v>
      </c>
      <c r="C706" s="226">
        <f>AO85</f>
        <v>0</v>
      </c>
      <c r="D706" s="226">
        <f>(D615/D612)*AO90</f>
        <v>0</v>
      </c>
      <c r="E706" s="228">
        <f>(E623/E612)*SUM(C706:D706)</f>
        <v>0</v>
      </c>
      <c r="F706" s="228">
        <f>(F624/F612)*AO64</f>
        <v>0</v>
      </c>
      <c r="G706" s="226">
        <f>(G625/G612)*AO91</f>
        <v>0</v>
      </c>
      <c r="H706" s="228">
        <f>(H628/H612)*AO60</f>
        <v>0</v>
      </c>
      <c r="I706" s="226">
        <f>(I629/I612)*AO92</f>
        <v>0</v>
      </c>
      <c r="J706" s="226">
        <f>(J630/J612)*AO93</f>
        <v>0</v>
      </c>
      <c r="K706" s="226">
        <f>(K644/K612)*AO89</f>
        <v>0</v>
      </c>
      <c r="L706" s="226">
        <f>(L647/L612)*AO94</f>
        <v>0</v>
      </c>
      <c r="M706" s="211">
        <f t="shared" si="24"/>
        <v>0</v>
      </c>
      <c r="N706" s="220" t="s">
        <v>681</v>
      </c>
    </row>
    <row r="707" spans="1:14" s="211" customFormat="1" ht="12.65" customHeight="1" x14ac:dyDescent="0.3">
      <c r="A707" s="221">
        <v>7380</v>
      </c>
      <c r="B707" s="220" t="s">
        <v>682</v>
      </c>
      <c r="C707" s="226">
        <f>AP85</f>
        <v>29580000.640000001</v>
      </c>
      <c r="D707" s="226">
        <f>(D615/D612)*AP90</f>
        <v>511119.04125990928</v>
      </c>
      <c r="E707" s="228">
        <f>(E623/E612)*SUM(C707:D707)</f>
        <v>3548376.1120881662</v>
      </c>
      <c r="F707" s="228">
        <f>(F624/F612)*AP64</f>
        <v>139752.31314893067</v>
      </c>
      <c r="G707" s="226">
        <f>(G625/G612)*AP91</f>
        <v>0</v>
      </c>
      <c r="H707" s="228">
        <f>(H628/H612)*AP60</f>
        <v>610077.24905537872</v>
      </c>
      <c r="I707" s="226">
        <f>(I629/I612)*AP92</f>
        <v>1557087.4998410768</v>
      </c>
      <c r="J707" s="226">
        <f>(J630/J612)*AP93</f>
        <v>0</v>
      </c>
      <c r="K707" s="226">
        <f>(K644/K612)*AP89</f>
        <v>1106474.8410040117</v>
      </c>
      <c r="L707" s="226">
        <f>(L647/L612)*AP94</f>
        <v>0</v>
      </c>
      <c r="M707" s="211">
        <f t="shared" si="24"/>
        <v>7472887</v>
      </c>
      <c r="N707" s="220" t="s">
        <v>683</v>
      </c>
    </row>
    <row r="708" spans="1:14" s="211" customFormat="1" ht="12.65" customHeight="1" x14ac:dyDescent="0.3">
      <c r="A708" s="221">
        <v>7390</v>
      </c>
      <c r="B708" s="220" t="s">
        <v>684</v>
      </c>
      <c r="C708" s="226">
        <f>AQ85</f>
        <v>0</v>
      </c>
      <c r="D708" s="226">
        <f>(D615/D612)*AQ90</f>
        <v>0</v>
      </c>
      <c r="E708" s="228">
        <f>(E623/E612)*SUM(C708:D708)</f>
        <v>0</v>
      </c>
      <c r="F708" s="228">
        <f>(F624/F612)*AQ64</f>
        <v>0</v>
      </c>
      <c r="G708" s="226">
        <f>(G625/G612)*AQ91</f>
        <v>0</v>
      </c>
      <c r="H708" s="228">
        <f>(H628/H612)*AQ60</f>
        <v>0</v>
      </c>
      <c r="I708" s="226">
        <f>(I629/I612)*AQ92</f>
        <v>0</v>
      </c>
      <c r="J708" s="226">
        <f>(J630/J612)*AQ93</f>
        <v>0</v>
      </c>
      <c r="K708" s="226">
        <f>(K644/K612)*AQ89</f>
        <v>0</v>
      </c>
      <c r="L708" s="226">
        <f>(L647/L612)*AQ94</f>
        <v>0</v>
      </c>
      <c r="M708" s="211">
        <f t="shared" si="24"/>
        <v>0</v>
      </c>
      <c r="N708" s="220" t="s">
        <v>685</v>
      </c>
    </row>
    <row r="709" spans="1:14" s="211" customFormat="1" ht="12.65" customHeight="1" x14ac:dyDescent="0.3">
      <c r="A709" s="221">
        <v>7400</v>
      </c>
      <c r="B709" s="220" t="s">
        <v>686</v>
      </c>
      <c r="C709" s="226">
        <f>AR85</f>
        <v>0</v>
      </c>
      <c r="D709" s="226">
        <f>(D615/D612)*AR90</f>
        <v>0</v>
      </c>
      <c r="E709" s="228">
        <f>(E623/E612)*SUM(C709:D709)</f>
        <v>0</v>
      </c>
      <c r="F709" s="228">
        <f>(F624/F612)*AR64</f>
        <v>0</v>
      </c>
      <c r="G709" s="226">
        <f>(G625/G612)*AR91</f>
        <v>0</v>
      </c>
      <c r="H709" s="228">
        <f>(H628/H612)*AR60</f>
        <v>0</v>
      </c>
      <c r="I709" s="226">
        <f>(I629/I612)*AR92</f>
        <v>0</v>
      </c>
      <c r="J709" s="226">
        <f>(J630/J612)*AR93</f>
        <v>0</v>
      </c>
      <c r="K709" s="226">
        <f>(K644/K612)*AR89</f>
        <v>0</v>
      </c>
      <c r="L709" s="226">
        <f>(L647/L612)*AR94</f>
        <v>0</v>
      </c>
      <c r="M709" s="211">
        <f t="shared" si="24"/>
        <v>0</v>
      </c>
      <c r="N709" s="220" t="s">
        <v>687</v>
      </c>
    </row>
    <row r="710" spans="1:14" s="211" customFormat="1" ht="12.65" customHeight="1" x14ac:dyDescent="0.3">
      <c r="A710" s="221">
        <v>7410</v>
      </c>
      <c r="B710" s="220" t="s">
        <v>156</v>
      </c>
      <c r="C710" s="226">
        <f>AS85</f>
        <v>0</v>
      </c>
      <c r="D710" s="226">
        <f>(D615/D612)*AS90</f>
        <v>0</v>
      </c>
      <c r="E710" s="228">
        <f>(E623/E612)*SUM(C710:D710)</f>
        <v>0</v>
      </c>
      <c r="F710" s="228">
        <f>(F624/F612)*AS64</f>
        <v>0</v>
      </c>
      <c r="G710" s="226">
        <f>(G625/G612)*AS91</f>
        <v>0</v>
      </c>
      <c r="H710" s="228">
        <f>(H628/H612)*AS60</f>
        <v>0</v>
      </c>
      <c r="I710" s="226">
        <f>(I629/I612)*AS92</f>
        <v>0</v>
      </c>
      <c r="J710" s="226">
        <f>(J630/J612)*AS93</f>
        <v>0</v>
      </c>
      <c r="K710" s="226">
        <f>(K644/K612)*AS89</f>
        <v>0</v>
      </c>
      <c r="L710" s="226">
        <f>(L647/L612)*AS94</f>
        <v>0</v>
      </c>
      <c r="M710" s="211">
        <f t="shared" si="24"/>
        <v>0</v>
      </c>
      <c r="N710" s="220" t="s">
        <v>688</v>
      </c>
    </row>
    <row r="711" spans="1:14" s="211" customFormat="1" ht="12.65" customHeight="1" x14ac:dyDescent="0.3">
      <c r="A711" s="221">
        <v>7420</v>
      </c>
      <c r="B711" s="220" t="s">
        <v>689</v>
      </c>
      <c r="C711" s="226">
        <f>AT85</f>
        <v>0</v>
      </c>
      <c r="D711" s="226">
        <f>(D615/D612)*AT90</f>
        <v>0</v>
      </c>
      <c r="E711" s="228">
        <f>(E623/E612)*SUM(C711:D711)</f>
        <v>0</v>
      </c>
      <c r="F711" s="228">
        <f>(F624/F612)*AT64</f>
        <v>0</v>
      </c>
      <c r="G711" s="226">
        <f>(G625/G612)*AT91</f>
        <v>0</v>
      </c>
      <c r="H711" s="228">
        <f>(H628/H612)*AT60</f>
        <v>0</v>
      </c>
      <c r="I711" s="226">
        <f>(I629/I612)*AT92</f>
        <v>0</v>
      </c>
      <c r="J711" s="226">
        <f>(J630/J612)*AT93</f>
        <v>0</v>
      </c>
      <c r="K711" s="226">
        <f>(K644/K612)*AT89</f>
        <v>0</v>
      </c>
      <c r="L711" s="226">
        <f>(L647/L612)*AT94</f>
        <v>0</v>
      </c>
      <c r="M711" s="211">
        <f t="shared" si="24"/>
        <v>0</v>
      </c>
      <c r="N711" s="220" t="s">
        <v>690</v>
      </c>
    </row>
    <row r="712" spans="1:14" s="211" customFormat="1" ht="12.65" customHeight="1" x14ac:dyDescent="0.3">
      <c r="A712" s="221">
        <v>7430</v>
      </c>
      <c r="B712" s="220" t="s">
        <v>691</v>
      </c>
      <c r="C712" s="226">
        <f>AU85</f>
        <v>0</v>
      </c>
      <c r="D712" s="226">
        <f>(D615/D612)*AU90</f>
        <v>0</v>
      </c>
      <c r="E712" s="228">
        <f>(E623/E612)*SUM(C712:D712)</f>
        <v>0</v>
      </c>
      <c r="F712" s="228">
        <f>(F624/F612)*AU64</f>
        <v>0</v>
      </c>
      <c r="G712" s="226">
        <f>(G625/G612)*AU91</f>
        <v>0</v>
      </c>
      <c r="H712" s="228">
        <f>(H628/H612)*AU60</f>
        <v>0</v>
      </c>
      <c r="I712" s="226">
        <f>(I629/I612)*AU92</f>
        <v>0</v>
      </c>
      <c r="J712" s="226">
        <f>(J630/J612)*AU93</f>
        <v>0</v>
      </c>
      <c r="K712" s="226">
        <f>(K644/K612)*AU89</f>
        <v>0</v>
      </c>
      <c r="L712" s="226">
        <f>(L647/L612)*AU94</f>
        <v>0</v>
      </c>
      <c r="M712" s="211">
        <f t="shared" si="24"/>
        <v>0</v>
      </c>
      <c r="N712" s="220" t="s">
        <v>692</v>
      </c>
    </row>
    <row r="713" spans="1:14" s="211" customFormat="1" ht="12.65" customHeight="1" x14ac:dyDescent="0.3">
      <c r="A713" s="221">
        <v>7490</v>
      </c>
      <c r="B713" s="220" t="s">
        <v>693</v>
      </c>
      <c r="C713" s="226">
        <f>AV85</f>
        <v>550165.9</v>
      </c>
      <c r="D713" s="226">
        <f>(D615/D612)*AV90</f>
        <v>1750.2598043555206</v>
      </c>
      <c r="E713" s="228">
        <f>(E623/E612)*SUM(C713:D713)</f>
        <v>65082.527272817388</v>
      </c>
      <c r="F713" s="228">
        <f>(F624/F612)*AV64</f>
        <v>1057.7115594501261</v>
      </c>
      <c r="G713" s="226">
        <f>(G625/G612)*AV91</f>
        <v>0</v>
      </c>
      <c r="H713" s="228">
        <f>(H628/H612)*AV60</f>
        <v>17236.108910525698</v>
      </c>
      <c r="I713" s="226">
        <f>(I629/I612)*AV92</f>
        <v>5332.0409588310031</v>
      </c>
      <c r="J713" s="226">
        <f>(J630/J612)*AV93</f>
        <v>0</v>
      </c>
      <c r="K713" s="226">
        <f>(K644/K612)*AV89</f>
        <v>10338.430655704646</v>
      </c>
      <c r="L713" s="226">
        <f>(L647/L612)*AV94</f>
        <v>0</v>
      </c>
      <c r="M713" s="211">
        <f t="shared" si="24"/>
        <v>100797</v>
      </c>
      <c r="N713" s="222" t="s">
        <v>694</v>
      </c>
    </row>
    <row r="714" spans="1:14" s="211" customFormat="1" ht="12.65" customHeight="1" x14ac:dyDescent="0.3"/>
    <row r="715" spans="1:14" s="211" customFormat="1" ht="12.65" customHeight="1" x14ac:dyDescent="0.3">
      <c r="C715" s="223">
        <f>SUM(C614:C647)+SUM(C668:C713)</f>
        <v>111390973.28</v>
      </c>
      <c r="D715" s="211">
        <f>SUM(D616:D647)+SUM(D668:D713)</f>
        <v>1334225.9099999997</v>
      </c>
      <c r="E715" s="211">
        <f>SUM(E624:E647)+SUM(E668:E713)</f>
        <v>11749791.706662914</v>
      </c>
      <c r="F715" s="211">
        <f>SUM(F625:F648)+SUM(F668:F713)</f>
        <v>1165130.8738171223</v>
      </c>
      <c r="G715" s="211">
        <f>SUM(G626:G647)+SUM(G668:G713)</f>
        <v>2390475.5115495832</v>
      </c>
      <c r="H715" s="211">
        <f>SUM(H629:H647)+SUM(H668:H713)</f>
        <v>1972534.2814458623</v>
      </c>
      <c r="I715" s="211">
        <f>SUM(I630:I647)+SUM(I668:I713)</f>
        <v>3293271.7959069358</v>
      </c>
      <c r="J715" s="211">
        <f>SUM(J631:J647)+SUM(J668:J713)</f>
        <v>467404.98151184781</v>
      </c>
      <c r="K715" s="211">
        <f>SUM(K668:K713)</f>
        <v>8908123.9817528296</v>
      </c>
      <c r="L715" s="211">
        <f>SUM(L668:L713)</f>
        <v>4199992.0036569787</v>
      </c>
      <c r="M715" s="211">
        <f>SUM(M668:M713)</f>
        <v>31966979</v>
      </c>
      <c r="N715" s="220" t="s">
        <v>695</v>
      </c>
    </row>
    <row r="716" spans="1:14" s="211" customFormat="1" ht="12.65" customHeight="1" x14ac:dyDescent="0.3">
      <c r="C716" s="223">
        <f>CE85</f>
        <v>111390973.28000002</v>
      </c>
      <c r="D716" s="211">
        <f>D615</f>
        <v>1334225.9099999997</v>
      </c>
      <c r="E716" s="211">
        <f>E623</f>
        <v>11749791.706662912</v>
      </c>
      <c r="F716" s="211">
        <f>F624</f>
        <v>1165130.8738171225</v>
      </c>
      <c r="G716" s="211">
        <f>G625</f>
        <v>2390475.5115495832</v>
      </c>
      <c r="H716" s="211">
        <f>H628</f>
        <v>1972534.281445862</v>
      </c>
      <c r="I716" s="211">
        <f>I629</f>
        <v>3293271.7959069358</v>
      </c>
      <c r="J716" s="211">
        <f>J630</f>
        <v>467404.98151184781</v>
      </c>
      <c r="K716" s="211">
        <f>K644</f>
        <v>8908123.9817528278</v>
      </c>
      <c r="L716" s="211">
        <f>L647</f>
        <v>4199992.0036569787</v>
      </c>
      <c r="M716" s="211">
        <f>C648</f>
        <v>31966979.219999995</v>
      </c>
      <c r="N716" s="220" t="s">
        <v>696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80" fitToHeight="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6B48-E0D1-4B3C-BC68-DCF8B877DEB5}">
  <sheetPr codeName="Sheet13"/>
  <dimension ref="A1:N2"/>
  <sheetViews>
    <sheetView workbookViewId="0">
      <selection activeCell="I2" sqref="I2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1045</v>
      </c>
      <c r="B1" s="11" t="s">
        <v>1046</v>
      </c>
      <c r="C1" s="11" t="s">
        <v>1047</v>
      </c>
      <c r="D1" s="11" t="s">
        <v>1048</v>
      </c>
      <c r="E1" s="11" t="s">
        <v>1049</v>
      </c>
      <c r="F1" s="11" t="s">
        <v>1050</v>
      </c>
      <c r="G1" s="11" t="s">
        <v>1051</v>
      </c>
      <c r="H1" s="11" t="s">
        <v>1052</v>
      </c>
      <c r="I1" s="11" t="s">
        <v>1053</v>
      </c>
      <c r="J1" s="11" t="s">
        <v>1054</v>
      </c>
      <c r="K1" s="11" t="s">
        <v>1055</v>
      </c>
      <c r="L1" s="11" t="s">
        <v>1056</v>
      </c>
      <c r="M1" s="11" t="s">
        <v>1057</v>
      </c>
      <c r="N1" s="11" t="s">
        <v>1058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152</v>
      </c>
      <c r="C2" s="11" t="str">
        <f>SUBSTITUTE(LEFT(data!C98,49),",","")</f>
        <v>Public Hospital District No 1 of Mason County WA</v>
      </c>
      <c r="D2" s="11" t="str">
        <f>LEFT(data!C99, 49)</f>
        <v>901 Mountain View Drive</v>
      </c>
      <c r="E2" s="11" t="str">
        <f>LEFT(data!C100, 100)</f>
        <v>Shelton</v>
      </c>
      <c r="F2" s="11" t="str">
        <f>LEFT(data!C101, 2)</f>
        <v>WA</v>
      </c>
      <c r="G2" s="11" t="str">
        <f>LEFT(data!C102, 100)</f>
        <v>98584</v>
      </c>
      <c r="H2" s="11" t="str">
        <f>LEFT(data!C103, 100)</f>
        <v>Mason</v>
      </c>
      <c r="I2" s="11" t="str">
        <f>LEFT(data!C104, 49)</f>
        <v/>
      </c>
      <c r="J2" s="11" t="str">
        <f>LEFT(data!C105, 49)</f>
        <v/>
      </c>
      <c r="K2" s="11" t="str">
        <f>LEFT(data!C107, 49)</f>
        <v>3604327721</v>
      </c>
      <c r="L2" s="11" t="str">
        <f>LEFT(data!C108, 49)</f>
        <v>3604271921</v>
      </c>
      <c r="M2" s="11" t="str">
        <f>LEFT(data!C109, 49)</f>
        <v>Jon Hornburg</v>
      </c>
      <c r="N2" s="11" t="str">
        <f>LEFT(data!C110, 49)</f>
        <v>jhornburg@masongeneral.com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F32E-7234-47B5-AEC4-4EB9538825CE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1059</v>
      </c>
      <c r="B1" s="12" t="s">
        <v>1060</v>
      </c>
      <c r="C1" s="10" t="s">
        <v>1061</v>
      </c>
      <c r="D1" s="10" t="s">
        <v>1062</v>
      </c>
      <c r="E1" s="10" t="s">
        <v>1063</v>
      </c>
      <c r="F1" s="10" t="s">
        <v>1064</v>
      </c>
      <c r="G1" s="10" t="s">
        <v>1065</v>
      </c>
      <c r="H1" s="10" t="s">
        <v>1066</v>
      </c>
      <c r="I1" s="10" t="s">
        <v>1067</v>
      </c>
      <c r="J1" s="10" t="s">
        <v>1068</v>
      </c>
      <c r="K1" s="10" t="s">
        <v>1069</v>
      </c>
      <c r="L1" s="10" t="s">
        <v>1070</v>
      </c>
      <c r="M1" s="10" t="s">
        <v>1071</v>
      </c>
      <c r="N1" s="10" t="s">
        <v>1072</v>
      </c>
      <c r="O1" s="10" t="s">
        <v>1073</v>
      </c>
      <c r="P1" s="10" t="s">
        <v>1074</v>
      </c>
      <c r="Q1" s="10" t="s">
        <v>1075</v>
      </c>
      <c r="R1" s="10" t="s">
        <v>1076</v>
      </c>
      <c r="S1" s="10" t="s">
        <v>1077</v>
      </c>
      <c r="T1" s="10" t="s">
        <v>1078</v>
      </c>
      <c r="U1" s="10" t="s">
        <v>1079</v>
      </c>
      <c r="V1" s="10" t="s">
        <v>1080</v>
      </c>
      <c r="W1" s="10" t="s">
        <v>1081</v>
      </c>
      <c r="X1" s="10" t="s">
        <v>1082</v>
      </c>
      <c r="Y1" s="10" t="s">
        <v>1083</v>
      </c>
      <c r="Z1" s="10" t="s">
        <v>1084</v>
      </c>
      <c r="AA1" s="10" t="s">
        <v>1085</v>
      </c>
      <c r="AB1" s="10" t="s">
        <v>1086</v>
      </c>
      <c r="AC1" s="10" t="s">
        <v>1087</v>
      </c>
      <c r="AD1" s="10" t="s">
        <v>1088</v>
      </c>
      <c r="AE1" s="10" t="s">
        <v>1089</v>
      </c>
      <c r="AF1" s="10" t="s">
        <v>1090</v>
      </c>
      <c r="AG1" s="10" t="s">
        <v>1091</v>
      </c>
      <c r="AH1" s="10" t="s">
        <v>1092</v>
      </c>
      <c r="AI1" s="10" t="s">
        <v>1093</v>
      </c>
      <c r="AJ1" s="10" t="s">
        <v>1094</v>
      </c>
      <c r="AK1" s="10" t="s">
        <v>1095</v>
      </c>
      <c r="AL1" s="10" t="s">
        <v>1096</v>
      </c>
      <c r="AM1" s="10" t="s">
        <v>1097</v>
      </c>
      <c r="AN1" s="10" t="s">
        <v>1098</v>
      </c>
      <c r="AO1" s="10" t="s">
        <v>1099</v>
      </c>
      <c r="AP1" s="10" t="s">
        <v>1100</v>
      </c>
      <c r="AQ1" s="10" t="s">
        <v>1101</v>
      </c>
      <c r="AR1" s="10" t="s">
        <v>1102</v>
      </c>
      <c r="AS1" s="10" t="s">
        <v>1103</v>
      </c>
      <c r="AT1" s="10" t="s">
        <v>1104</v>
      </c>
      <c r="AU1" s="10" t="s">
        <v>1105</v>
      </c>
      <c r="AV1" s="10" t="s">
        <v>1106</v>
      </c>
      <c r="AW1" s="10" t="s">
        <v>1107</v>
      </c>
      <c r="AX1" s="10" t="s">
        <v>1108</v>
      </c>
      <c r="AY1" s="10" t="s">
        <v>1109</v>
      </c>
      <c r="AZ1" s="10" t="s">
        <v>1110</v>
      </c>
      <c r="BA1" s="10" t="s">
        <v>1111</v>
      </c>
      <c r="BB1" s="10" t="s">
        <v>1112</v>
      </c>
      <c r="BC1" s="10" t="s">
        <v>1113</v>
      </c>
      <c r="BD1" s="10" t="s">
        <v>1114</v>
      </c>
      <c r="BE1" s="10" t="s">
        <v>1115</v>
      </c>
      <c r="BF1" s="10" t="s">
        <v>1116</v>
      </c>
      <c r="BG1" s="10" t="s">
        <v>1117</v>
      </c>
      <c r="BH1" s="10" t="s">
        <v>1118</v>
      </c>
      <c r="BI1" s="10" t="s">
        <v>1119</v>
      </c>
      <c r="BJ1" s="10" t="s">
        <v>1120</v>
      </c>
      <c r="BK1" s="10" t="s">
        <v>1121</v>
      </c>
      <c r="BL1" s="10" t="s">
        <v>1122</v>
      </c>
      <c r="BM1" s="10" t="s">
        <v>1123</v>
      </c>
      <c r="BN1" s="10" t="s">
        <v>1124</v>
      </c>
      <c r="BO1" s="10" t="s">
        <v>1125</v>
      </c>
      <c r="BP1" s="10" t="s">
        <v>1126</v>
      </c>
      <c r="BQ1" s="10" t="s">
        <v>1127</v>
      </c>
      <c r="BR1" s="10" t="s">
        <v>1128</v>
      </c>
      <c r="BS1" s="10" t="s">
        <v>1129</v>
      </c>
      <c r="BT1" s="10" t="s">
        <v>1130</v>
      </c>
      <c r="BU1" s="10" t="s">
        <v>1131</v>
      </c>
      <c r="BV1" s="10" t="s">
        <v>1132</v>
      </c>
      <c r="BW1" s="10" t="s">
        <v>1133</v>
      </c>
      <c r="BX1" s="10" t="s">
        <v>1134</v>
      </c>
      <c r="BY1" s="10" t="s">
        <v>1135</v>
      </c>
      <c r="BZ1" s="10" t="s">
        <v>1136</v>
      </c>
      <c r="CA1" s="10" t="s">
        <v>1137</v>
      </c>
      <c r="CB1" s="10" t="s">
        <v>1138</v>
      </c>
      <c r="CC1" s="10" t="s">
        <v>1139</v>
      </c>
      <c r="CD1" s="10" t="s">
        <v>1140</v>
      </c>
      <c r="CE1" s="10" t="s">
        <v>1141</v>
      </c>
      <c r="CF1" s="10" t="s">
        <v>1142</v>
      </c>
    </row>
    <row r="2" spans="1:84" s="178" customFormat="1" ht="12.65" customHeight="1" x14ac:dyDescent="0.35">
      <c r="A2" s="12" t="str">
        <f>RIGHT(data!C97,3)</f>
        <v>152</v>
      </c>
      <c r="B2" s="209" t="str">
        <f>RIGHT(data!C96,4)</f>
        <v>2023</v>
      </c>
      <c r="C2" s="12" t="s">
        <v>1143</v>
      </c>
      <c r="D2" s="208">
        <f>ROUND(N(data!C181),0)</f>
        <v>4212095</v>
      </c>
      <c r="E2" s="208">
        <f>ROUND(N(data!C182),0)</f>
        <v>65223</v>
      </c>
      <c r="F2" s="208">
        <f>ROUND(N(data!C183),0)</f>
        <v>524066</v>
      </c>
      <c r="G2" s="208">
        <f>ROUND(N(data!C184),0)</f>
        <v>10507234</v>
      </c>
      <c r="H2" s="208">
        <f>ROUND(N(data!C185),0)</f>
        <v>31997</v>
      </c>
      <c r="I2" s="208">
        <f>ROUND(N(data!C186),0)</f>
        <v>3223737</v>
      </c>
      <c r="J2" s="208">
        <f>ROUND(N(data!C187)+N(data!C188),0)</f>
        <v>252234</v>
      </c>
      <c r="K2" s="208">
        <f>ROUND(N(data!C191),0)</f>
        <v>22337</v>
      </c>
      <c r="L2" s="208">
        <f>ROUND(N(data!C192),0)</f>
        <v>302033</v>
      </c>
      <c r="M2" s="208">
        <f>ROUND(N(data!C195),0)</f>
        <v>583227</v>
      </c>
      <c r="N2" s="208">
        <f>ROUND(N(data!C196),0)</f>
        <v>679535</v>
      </c>
      <c r="O2" s="208">
        <f>ROUND(N(data!C199),0)</f>
        <v>0</v>
      </c>
      <c r="P2" s="208">
        <f>ROUND(N(data!C200),0)</f>
        <v>683333</v>
      </c>
      <c r="Q2" s="208">
        <f>ROUND(N(data!C201),0)</f>
        <v>0</v>
      </c>
      <c r="R2" s="208">
        <f>ROUND(N(data!C204),0)</f>
        <v>0</v>
      </c>
      <c r="S2" s="208">
        <f>ROUND(N(data!C205),0)</f>
        <v>3187322</v>
      </c>
      <c r="T2" s="208">
        <f>ROUND(N(data!B211),0)</f>
        <v>2015497</v>
      </c>
      <c r="U2" s="208">
        <f>ROUND(N(data!C211),0)</f>
        <v>802055</v>
      </c>
      <c r="V2" s="208">
        <f>ROUND(N(data!D211),0)</f>
        <v>0</v>
      </c>
      <c r="W2" s="208">
        <f>ROUND(N(data!B212),0)</f>
        <v>11111246</v>
      </c>
      <c r="X2" s="208">
        <f>ROUND(N(data!C212),0)</f>
        <v>0</v>
      </c>
      <c r="Y2" s="208">
        <f>ROUND(N(data!D212),0)</f>
        <v>0</v>
      </c>
      <c r="Z2" s="208">
        <f>ROUND(N(data!B213),0)</f>
        <v>59943438</v>
      </c>
      <c r="AA2" s="208">
        <f>ROUND(N(data!C213),0)</f>
        <v>252857</v>
      </c>
      <c r="AB2" s="208">
        <f>ROUND(N(data!D213),0)</f>
        <v>0</v>
      </c>
      <c r="AC2" s="208">
        <f>ROUND(N(data!B214),0)</f>
        <v>33411007</v>
      </c>
      <c r="AD2" s="208">
        <f>ROUND(N(data!C214),0)</f>
        <v>1079577</v>
      </c>
      <c r="AE2" s="208">
        <f>ROUND(N(data!D214),0)</f>
        <v>0</v>
      </c>
      <c r="AF2" s="208">
        <f>ROUND(N(data!B215),0)</f>
        <v>0</v>
      </c>
      <c r="AG2" s="208">
        <f>ROUND(N(data!C215),0)</f>
        <v>55441126</v>
      </c>
      <c r="AH2" s="208">
        <f>ROUND(N(data!D215),0)</f>
        <v>0</v>
      </c>
      <c r="AI2" s="208">
        <f>ROUND(N(data!B216),0)</f>
        <v>43227996</v>
      </c>
      <c r="AJ2" s="208">
        <f>ROUND(N(data!C216),0)</f>
        <v>3751628</v>
      </c>
      <c r="AK2" s="208">
        <f>ROUND(N(data!D216),0)</f>
        <v>494490</v>
      </c>
      <c r="AL2" s="208">
        <f>ROUND(N(data!B217),0)</f>
        <v>640218</v>
      </c>
      <c r="AM2" s="208">
        <f>ROUND(N(data!C217),0)</f>
        <v>1730358</v>
      </c>
      <c r="AN2" s="208">
        <f>ROUND(N(data!D217),0)</f>
        <v>0</v>
      </c>
      <c r="AO2" s="208">
        <f>ROUND(N(data!B218),0)</f>
        <v>1174052</v>
      </c>
      <c r="AP2" s="208">
        <f>ROUND(N(data!C218),0)</f>
        <v>0</v>
      </c>
      <c r="AQ2" s="208">
        <f>ROUND(N(data!D218),0)</f>
        <v>0</v>
      </c>
      <c r="AR2" s="208">
        <f>ROUND(N(data!B219),0)</f>
        <v>2874056</v>
      </c>
      <c r="AS2" s="208">
        <f>ROUND(N(data!C219),0)</f>
        <v>475909</v>
      </c>
      <c r="AT2" s="208">
        <f>ROUND(N(data!D219),0)</f>
        <v>0</v>
      </c>
      <c r="AU2" s="208">
        <v>0</v>
      </c>
      <c r="AV2" s="208">
        <v>0</v>
      </c>
      <c r="AW2" s="208">
        <v>0</v>
      </c>
      <c r="AX2" s="208">
        <f>ROUND(N(data!B225),0)</f>
        <v>4231008</v>
      </c>
      <c r="AY2" s="208">
        <f>ROUND(N(data!C225),0)</f>
        <v>718557</v>
      </c>
      <c r="AZ2" s="208">
        <f>ROUND(N(data!D225),0)</f>
        <v>0</v>
      </c>
      <c r="BA2" s="208">
        <f>ROUND(N(data!B226),0)</f>
        <v>26993366</v>
      </c>
      <c r="BB2" s="208">
        <f>ROUND(N(data!C226),0)</f>
        <v>1807451</v>
      </c>
      <c r="BC2" s="208">
        <f>ROUND(N(data!D226),0)</f>
        <v>0</v>
      </c>
      <c r="BD2" s="208">
        <f>ROUND(N(data!B227),0)</f>
        <v>15895318</v>
      </c>
      <c r="BE2" s="208">
        <f>ROUND(N(data!C227),0)</f>
        <v>1680375</v>
      </c>
      <c r="BF2" s="208">
        <f>ROUND(N(data!D227),0)</f>
        <v>0</v>
      </c>
      <c r="BG2" s="208">
        <f>ROUND(N(data!B228),0)</f>
        <v>0</v>
      </c>
      <c r="BH2" s="208">
        <f>ROUND(N(data!C228),0)</f>
        <v>17777374</v>
      </c>
      <c r="BI2" s="208">
        <f>ROUND(N(data!D228),0)</f>
        <v>0</v>
      </c>
      <c r="BJ2" s="208">
        <f>ROUND(N(data!B229),0)</f>
        <v>34189298</v>
      </c>
      <c r="BK2" s="208">
        <f>ROUND(N(data!C229),0)</f>
        <v>2641685</v>
      </c>
      <c r="BL2" s="208">
        <f>ROUND(N(data!D229),0)</f>
        <v>480821</v>
      </c>
      <c r="BM2" s="208">
        <f>ROUND(N(data!B230),0)</f>
        <v>213406</v>
      </c>
      <c r="BN2" s="208">
        <f>ROUND(N(data!C230),0)</f>
        <v>1073020</v>
      </c>
      <c r="BO2" s="208">
        <f>ROUND(N(data!D230),0)</f>
        <v>0</v>
      </c>
      <c r="BP2" s="208">
        <f>ROUND(N(data!B231),0)</f>
        <v>820289</v>
      </c>
      <c r="BQ2" s="208">
        <f>ROUND(N(data!C231),0)</f>
        <v>113960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90565597</v>
      </c>
      <c r="BW2" s="208">
        <f>ROUND(N(data!C240),0)</f>
        <v>58642866</v>
      </c>
      <c r="BX2" s="208">
        <f>ROUND(N(data!C241),0)</f>
        <v>9223882</v>
      </c>
      <c r="BY2" s="208">
        <f>ROUND(N(data!C242),0)</f>
        <v>0</v>
      </c>
      <c r="BZ2" s="208">
        <f>ROUND(N(data!C243),0)</f>
        <v>27488735</v>
      </c>
      <c r="CA2" s="208">
        <f>ROUND(N(data!C244),0)</f>
        <v>0</v>
      </c>
      <c r="CB2" s="208">
        <f>ROUND(N(data!C247),0)</f>
        <v>1727</v>
      </c>
      <c r="CC2" s="208">
        <f>ROUND(N(data!C249),0)</f>
        <v>467361</v>
      </c>
      <c r="CD2" s="208">
        <f>ROUND(N(data!C250),0)</f>
        <v>4430472</v>
      </c>
      <c r="CE2" s="208">
        <f>ROUND(N(data!C254)+N(data!C255),0)</f>
        <v>5769988</v>
      </c>
      <c r="CF2" s="208">
        <f>ROUND(N(data!D237),0)</f>
        <v>2040033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F555-12C2-4943-9DFA-3D5EB15A9D0E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1144</v>
      </c>
      <c r="B1" s="12" t="s">
        <v>1145</v>
      </c>
      <c r="C1" s="12" t="s">
        <v>1146</v>
      </c>
      <c r="D1" s="10" t="s">
        <v>1147</v>
      </c>
      <c r="E1" s="10" t="s">
        <v>1148</v>
      </c>
      <c r="F1" s="10" t="s">
        <v>1149</v>
      </c>
      <c r="G1" s="10" t="s">
        <v>1150</v>
      </c>
      <c r="H1" s="10" t="s">
        <v>1151</v>
      </c>
      <c r="I1" s="10" t="s">
        <v>1152</v>
      </c>
      <c r="J1" s="10" t="s">
        <v>1153</v>
      </c>
      <c r="K1" s="10" t="s">
        <v>1154</v>
      </c>
      <c r="L1" s="10" t="s">
        <v>1155</v>
      </c>
      <c r="M1" s="10" t="s">
        <v>1156</v>
      </c>
      <c r="N1" s="10" t="s">
        <v>1157</v>
      </c>
      <c r="O1" s="10" t="s">
        <v>1158</v>
      </c>
      <c r="P1" s="10" t="s">
        <v>1159</v>
      </c>
      <c r="Q1" s="10" t="s">
        <v>1160</v>
      </c>
      <c r="R1" s="10" t="s">
        <v>1161</v>
      </c>
      <c r="S1" s="10" t="s">
        <v>1162</v>
      </c>
      <c r="T1" s="10" t="s">
        <v>1163</v>
      </c>
      <c r="U1" s="10" t="s">
        <v>1164</v>
      </c>
      <c r="V1" s="10" t="s">
        <v>1165</v>
      </c>
      <c r="W1" s="10" t="s">
        <v>1166</v>
      </c>
      <c r="X1" s="10" t="s">
        <v>1167</v>
      </c>
      <c r="Y1" s="10" t="s">
        <v>1168</v>
      </c>
      <c r="Z1" s="10" t="s">
        <v>1169</v>
      </c>
      <c r="AA1" s="10" t="s">
        <v>1170</v>
      </c>
      <c r="AB1" s="10" t="s">
        <v>1171</v>
      </c>
      <c r="AC1" s="10" t="s">
        <v>1172</v>
      </c>
      <c r="AD1" s="10" t="s">
        <v>1173</v>
      </c>
      <c r="AE1" s="10" t="s">
        <v>1174</v>
      </c>
      <c r="AF1" s="10" t="s">
        <v>1175</v>
      </c>
      <c r="AG1" s="10" t="s">
        <v>1176</v>
      </c>
      <c r="AH1" s="10" t="s">
        <v>1177</v>
      </c>
      <c r="AI1" s="10" t="s">
        <v>1178</v>
      </c>
      <c r="AJ1" s="10" t="s">
        <v>1179</v>
      </c>
      <c r="AK1" s="10" t="s">
        <v>1180</v>
      </c>
      <c r="AL1" s="10" t="s">
        <v>1181</v>
      </c>
      <c r="AM1" s="10" t="s">
        <v>1182</v>
      </c>
      <c r="AN1" s="10" t="s">
        <v>1183</v>
      </c>
      <c r="AO1" s="10" t="s">
        <v>1184</v>
      </c>
      <c r="AP1" s="10" t="s">
        <v>1185</v>
      </c>
      <c r="AQ1" s="10" t="s">
        <v>1186</v>
      </c>
      <c r="AR1" s="10" t="s">
        <v>1187</v>
      </c>
      <c r="AS1" s="10" t="s">
        <v>1188</v>
      </c>
      <c r="AT1" s="10" t="s">
        <v>1189</v>
      </c>
      <c r="AU1" s="10" t="s">
        <v>1190</v>
      </c>
      <c r="AV1" s="10" t="s">
        <v>1191</v>
      </c>
      <c r="AW1" s="10" t="s">
        <v>1192</v>
      </c>
      <c r="AX1" s="10" t="s">
        <v>1193</v>
      </c>
      <c r="AY1" s="10" t="s">
        <v>1194</v>
      </c>
      <c r="AZ1" s="10" t="s">
        <v>1195</v>
      </c>
      <c r="BA1" s="10" t="s">
        <v>1196</v>
      </c>
      <c r="BB1" s="10" t="s">
        <v>1197</v>
      </c>
      <c r="BC1" s="10" t="s">
        <v>1198</v>
      </c>
      <c r="BD1" s="10" t="s">
        <v>1199</v>
      </c>
      <c r="BE1" s="10" t="s">
        <v>1200</v>
      </c>
      <c r="BF1" s="10" t="s">
        <v>1201</v>
      </c>
      <c r="BG1" s="10" t="s">
        <v>1202</v>
      </c>
      <c r="BH1" s="10" t="s">
        <v>1203</v>
      </c>
      <c r="BI1" s="10" t="s">
        <v>1204</v>
      </c>
      <c r="BJ1" s="10" t="s">
        <v>1205</v>
      </c>
      <c r="BK1" s="10" t="s">
        <v>1206</v>
      </c>
      <c r="BL1" s="10" t="s">
        <v>1207</v>
      </c>
      <c r="BM1" s="10" t="s">
        <v>1208</v>
      </c>
      <c r="BN1" s="10" t="s">
        <v>1209</v>
      </c>
      <c r="BO1" s="10" t="s">
        <v>1210</v>
      </c>
      <c r="BP1" s="10" t="s">
        <v>1211</v>
      </c>
      <c r="BQ1" s="10" t="s">
        <v>1212</v>
      </c>
      <c r="BR1" s="10" t="s">
        <v>1213</v>
      </c>
      <c r="BS1" s="10" t="s">
        <v>1214</v>
      </c>
    </row>
    <row r="2" spans="1:87" s="178" customFormat="1" ht="12.65" customHeight="1" x14ac:dyDescent="0.35">
      <c r="A2" s="12" t="str">
        <f>RIGHT(data!C97,3)</f>
        <v>152</v>
      </c>
      <c r="B2" s="12" t="str">
        <f>RIGHT(data!C96,4)</f>
        <v>2023</v>
      </c>
      <c r="C2" s="12" t="s">
        <v>1143</v>
      </c>
      <c r="D2" s="207">
        <f>ROUND(N(data!C127),0)</f>
        <v>1504</v>
      </c>
      <c r="E2" s="207">
        <f>ROUND(N(data!C128),0)</f>
        <v>0</v>
      </c>
      <c r="F2" s="207">
        <f>ROUND(N(data!C129),0)</f>
        <v>0</v>
      </c>
      <c r="G2" s="207">
        <f>ROUND(N(data!C130),0)</f>
        <v>374</v>
      </c>
      <c r="H2" s="207">
        <f>ROUND(N(data!D127),0)</f>
        <v>5156</v>
      </c>
      <c r="I2" s="207">
        <f>ROUND(N(data!D128),0)</f>
        <v>0</v>
      </c>
      <c r="J2" s="207">
        <f>ROUND(N(data!D129),0)</f>
        <v>0</v>
      </c>
      <c r="K2" s="207">
        <f>ROUND(N(data!D130),0)</f>
        <v>672</v>
      </c>
      <c r="L2" s="207">
        <f>ROUND(N(data!C132),0)</f>
        <v>7</v>
      </c>
      <c r="M2" s="207">
        <f>ROUND(N(data!C133),0)</f>
        <v>0</v>
      </c>
      <c r="N2" s="207">
        <f>ROUND(N(data!C134),0)</f>
        <v>16</v>
      </c>
      <c r="O2" s="207">
        <f>ROUND(N(data!C135),0)</f>
        <v>0</v>
      </c>
      <c r="P2" s="207">
        <f>ROUND(N(data!C136),0)</f>
        <v>2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68</v>
      </c>
      <c r="X2" s="207">
        <f>ROUND(N(data!C145),0)</f>
        <v>6</v>
      </c>
      <c r="Y2" s="207">
        <f>ROUND(N(data!B154),0)</f>
        <v>800</v>
      </c>
      <c r="Z2" s="207">
        <f>ROUND(N(data!B155),0)</f>
        <v>3232</v>
      </c>
      <c r="AA2" s="207">
        <f>ROUND(N(data!B156),0)</f>
        <v>66646</v>
      </c>
      <c r="AB2" s="207">
        <f>ROUND(N(data!B157),0)</f>
        <v>36037320</v>
      </c>
      <c r="AC2" s="207">
        <f>ROUND(N(data!B158),0)</f>
        <v>115582716</v>
      </c>
      <c r="AD2" s="207">
        <f>ROUND(N(data!C154),0)</f>
        <v>439</v>
      </c>
      <c r="AE2" s="207">
        <f>ROUND(N(data!C155),0)</f>
        <v>1136</v>
      </c>
      <c r="AF2" s="207">
        <f>ROUND(N(data!C156),0)</f>
        <v>62866</v>
      </c>
      <c r="AG2" s="207">
        <f>ROUND(N(data!C157),0)</f>
        <v>20781370</v>
      </c>
      <c r="AH2" s="207">
        <f>ROUND(N(data!C158),0)</f>
        <v>75838575</v>
      </c>
      <c r="AI2" s="207">
        <f>ROUND(N(data!D154),0)</f>
        <v>265</v>
      </c>
      <c r="AJ2" s="207">
        <f>ROUND(N(data!D155),0)</f>
        <v>788</v>
      </c>
      <c r="AK2" s="207">
        <f>ROUND(N(data!D156),0)</f>
        <v>66120</v>
      </c>
      <c r="AL2" s="207">
        <f>ROUND(N(data!D157),0)</f>
        <v>12267962</v>
      </c>
      <c r="AM2" s="207">
        <f>ROUND(N(data!D158),0)</f>
        <v>75311946</v>
      </c>
      <c r="AN2" s="207">
        <f>ROUND(N(data!B160),0)</f>
        <v>0</v>
      </c>
      <c r="AO2" s="207">
        <f>ROUND(N(data!B161),0)</f>
        <v>0</v>
      </c>
      <c r="AP2" s="207">
        <f>ROUND(N(data!B162),0)</f>
        <v>0</v>
      </c>
      <c r="AQ2" s="207">
        <f>ROUND(N(data!B163),0)</f>
        <v>0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2711139</v>
      </c>
      <c r="BS2" s="207">
        <f>ROUND(N(data!C173),0)</f>
        <v>1725622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96E68-A63B-4254-ABE0-54709241B3F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1215</v>
      </c>
      <c r="B1" s="12" t="s">
        <v>1216</v>
      </c>
      <c r="C1" s="12" t="s">
        <v>1217</v>
      </c>
      <c r="D1" s="10" t="s">
        <v>1218</v>
      </c>
      <c r="E1" s="10" t="s">
        <v>1219</v>
      </c>
      <c r="F1" s="10" t="s">
        <v>1220</v>
      </c>
      <c r="G1" s="10" t="s">
        <v>1221</v>
      </c>
      <c r="H1" s="10" t="s">
        <v>1222</v>
      </c>
      <c r="I1" s="10" t="s">
        <v>1223</v>
      </c>
      <c r="J1" s="10" t="s">
        <v>1224</v>
      </c>
      <c r="K1" s="10" t="s">
        <v>1225</v>
      </c>
      <c r="L1" s="10" t="s">
        <v>1226</v>
      </c>
      <c r="M1" s="10" t="s">
        <v>1227</v>
      </c>
      <c r="N1" s="10" t="s">
        <v>1228</v>
      </c>
      <c r="O1" s="10" t="s">
        <v>1229</v>
      </c>
      <c r="P1" s="10" t="s">
        <v>1230</v>
      </c>
      <c r="Q1" s="10" t="s">
        <v>1231</v>
      </c>
      <c r="R1" s="10" t="s">
        <v>1232</v>
      </c>
      <c r="S1" s="10" t="s">
        <v>1233</v>
      </c>
      <c r="T1" s="10" t="s">
        <v>1234</v>
      </c>
      <c r="U1" s="10" t="s">
        <v>1235</v>
      </c>
      <c r="V1" s="10" t="s">
        <v>1236</v>
      </c>
      <c r="W1" s="10" t="s">
        <v>1237</v>
      </c>
      <c r="X1" s="10" t="s">
        <v>1238</v>
      </c>
      <c r="Y1" s="10" t="s">
        <v>1239</v>
      </c>
      <c r="Z1" s="10" t="s">
        <v>1240</v>
      </c>
      <c r="AA1" s="10" t="s">
        <v>1241</v>
      </c>
      <c r="AB1" s="10" t="s">
        <v>1242</v>
      </c>
      <c r="AC1" s="10" t="s">
        <v>1243</v>
      </c>
      <c r="AD1" s="10" t="s">
        <v>1244</v>
      </c>
      <c r="AE1" s="10" t="s">
        <v>1245</v>
      </c>
      <c r="AF1" s="10" t="s">
        <v>1246</v>
      </c>
      <c r="AG1" s="10" t="s">
        <v>1247</v>
      </c>
      <c r="AH1" s="10" t="s">
        <v>1248</v>
      </c>
      <c r="AI1" s="10" t="s">
        <v>1249</v>
      </c>
      <c r="AJ1" s="10" t="s">
        <v>1250</v>
      </c>
      <c r="AK1" s="10" t="s">
        <v>1251</v>
      </c>
      <c r="AL1" s="10" t="s">
        <v>1252</v>
      </c>
      <c r="AM1" s="10" t="s">
        <v>1253</v>
      </c>
      <c r="AN1" s="10" t="s">
        <v>1254</v>
      </c>
      <c r="AO1" s="10" t="s">
        <v>1255</v>
      </c>
      <c r="AP1" s="10" t="s">
        <v>1256</v>
      </c>
      <c r="AQ1" s="10" t="s">
        <v>1257</v>
      </c>
      <c r="AR1" s="10" t="s">
        <v>1258</v>
      </c>
      <c r="AS1" s="10" t="s">
        <v>1259</v>
      </c>
      <c r="AT1" s="10" t="s">
        <v>1260</v>
      </c>
      <c r="AU1" s="10" t="s">
        <v>1261</v>
      </c>
      <c r="AV1" s="10" t="s">
        <v>1262</v>
      </c>
      <c r="AW1" s="10" t="s">
        <v>1263</v>
      </c>
      <c r="AX1" s="10" t="s">
        <v>1264</v>
      </c>
      <c r="AY1" s="10" t="s">
        <v>1265</v>
      </c>
      <c r="AZ1" s="10" t="s">
        <v>1266</v>
      </c>
      <c r="BA1" s="10" t="s">
        <v>1267</v>
      </c>
      <c r="BB1" s="10" t="s">
        <v>1268</v>
      </c>
      <c r="BC1" s="10" t="s">
        <v>1269</v>
      </c>
      <c r="BD1" s="10" t="s">
        <v>1270</v>
      </c>
      <c r="BE1" s="10" t="s">
        <v>1271</v>
      </c>
      <c r="BF1" s="10" t="s">
        <v>1272</v>
      </c>
      <c r="BG1" s="10" t="s">
        <v>1273</v>
      </c>
      <c r="BH1" s="10" t="s">
        <v>1274</v>
      </c>
      <c r="BI1" s="10" t="s">
        <v>1275</v>
      </c>
      <c r="BJ1" s="10" t="s">
        <v>1276</v>
      </c>
      <c r="BK1" s="10" t="s">
        <v>1277</v>
      </c>
      <c r="BL1" s="10" t="s">
        <v>1278</v>
      </c>
      <c r="BM1" s="10" t="s">
        <v>1279</v>
      </c>
      <c r="BN1" s="10" t="s">
        <v>1280</v>
      </c>
      <c r="BO1" s="10" t="s">
        <v>1281</v>
      </c>
      <c r="BP1" s="10" t="s">
        <v>1282</v>
      </c>
      <c r="BQ1" s="10" t="s">
        <v>1283</v>
      </c>
      <c r="BR1" s="10" t="s">
        <v>1284</v>
      </c>
      <c r="BS1" s="10" t="s">
        <v>1285</v>
      </c>
      <c r="BT1" s="10" t="s">
        <v>1286</v>
      </c>
      <c r="BU1" s="10" t="s">
        <v>1287</v>
      </c>
      <c r="BV1" s="10" t="s">
        <v>1288</v>
      </c>
      <c r="BW1" s="10" t="s">
        <v>1289</v>
      </c>
      <c r="BX1" s="10" t="s">
        <v>1290</v>
      </c>
      <c r="BY1" s="10" t="s">
        <v>1291</v>
      </c>
      <c r="BZ1" s="10" t="s">
        <v>1292</v>
      </c>
      <c r="CA1" s="10" t="s">
        <v>1293</v>
      </c>
      <c r="CB1" s="10" t="s">
        <v>1294</v>
      </c>
      <c r="CC1" s="10" t="s">
        <v>1295</v>
      </c>
      <c r="CD1" s="10" t="s">
        <v>1296</v>
      </c>
      <c r="CE1" s="10" t="s">
        <v>1297</v>
      </c>
      <c r="CF1" s="10" t="s">
        <v>1298</v>
      </c>
      <c r="CG1" s="10" t="s">
        <v>1299</v>
      </c>
      <c r="CH1" s="10" t="s">
        <v>1300</v>
      </c>
      <c r="CI1" s="10" t="s">
        <v>1301</v>
      </c>
      <c r="CJ1" s="10" t="s">
        <v>1302</v>
      </c>
      <c r="CK1" s="10" t="s">
        <v>1303</v>
      </c>
      <c r="CL1" s="10" t="s">
        <v>1304</v>
      </c>
      <c r="CM1" s="10" t="s">
        <v>1305</v>
      </c>
      <c r="CN1" s="10" t="s">
        <v>1306</v>
      </c>
      <c r="CO1" s="10" t="s">
        <v>1307</v>
      </c>
      <c r="CP1" s="10" t="s">
        <v>1308</v>
      </c>
      <c r="CQ1" s="206" t="s">
        <v>1309</v>
      </c>
      <c r="CR1" s="206" t="s">
        <v>1310</v>
      </c>
      <c r="CS1" s="206" t="s">
        <v>1311</v>
      </c>
      <c r="CT1" s="206" t="s">
        <v>1312</v>
      </c>
      <c r="CU1" s="206" t="s">
        <v>1313</v>
      </c>
      <c r="CV1" s="206" t="s">
        <v>1314</v>
      </c>
      <c r="CW1" s="206" t="s">
        <v>1315</v>
      </c>
      <c r="CX1" s="206" t="s">
        <v>1316</v>
      </c>
      <c r="CY1" s="206" t="s">
        <v>1317</v>
      </c>
      <c r="CZ1" s="206" t="s">
        <v>1318</v>
      </c>
      <c r="DA1" s="206" t="s">
        <v>1319</v>
      </c>
      <c r="DB1" s="206" t="s">
        <v>1320</v>
      </c>
      <c r="DC1" s="206" t="s">
        <v>1321</v>
      </c>
      <c r="DD1" s="206" t="s">
        <v>1322</v>
      </c>
      <c r="DE1" s="10" t="s">
        <v>1323</v>
      </c>
      <c r="DF1" s="10" t="s">
        <v>1324</v>
      </c>
      <c r="DG1" s="10" t="s">
        <v>1325</v>
      </c>
      <c r="DH1" s="10" t="s">
        <v>1326</v>
      </c>
    </row>
    <row r="2" spans="1:112" s="178" customFormat="1" ht="12.65" customHeight="1" x14ac:dyDescent="0.35">
      <c r="A2" s="208" t="str">
        <f>RIGHT(data!C97,3)</f>
        <v>152</v>
      </c>
      <c r="B2" s="209" t="str">
        <f>RIGHT(data!C96,4)</f>
        <v>2023</v>
      </c>
      <c r="C2" s="12" t="s">
        <v>1143</v>
      </c>
      <c r="D2" s="207">
        <f>ROUND(N(data!C181),0)</f>
        <v>4212095</v>
      </c>
      <c r="E2" s="207">
        <f>ROUND(N(data!C267),0)</f>
        <v>0</v>
      </c>
      <c r="F2" s="207">
        <f>ROUND(N(data!C268),0)</f>
        <v>45587003</v>
      </c>
      <c r="G2" s="207">
        <f>ROUND(N(data!C269),0)</f>
        <v>27766671</v>
      </c>
      <c r="H2" s="207">
        <f>ROUND(N(data!C270),0)</f>
        <v>0</v>
      </c>
      <c r="I2" s="207">
        <f>ROUND(N(data!C271),0)</f>
        <v>603187</v>
      </c>
      <c r="J2" s="207">
        <f>ROUND(N(data!C272),0)</f>
        <v>0</v>
      </c>
      <c r="K2" s="207">
        <f>ROUND(N(data!C273),0)</f>
        <v>2096971</v>
      </c>
      <c r="L2" s="207">
        <f>ROUND(N(data!C274),0)</f>
        <v>2332513</v>
      </c>
      <c r="M2" s="207">
        <f>ROUND(N(data!C275),0)</f>
        <v>0</v>
      </c>
      <c r="N2" s="207">
        <f>ROUND(N(data!C278),0)</f>
        <v>84131</v>
      </c>
      <c r="O2" s="207">
        <f>ROUND(N(data!C279),0)</f>
        <v>0</v>
      </c>
      <c r="P2" s="207">
        <f>ROUND(N(data!C280),0)</f>
        <v>0</v>
      </c>
      <c r="Q2" s="207">
        <f>ROUND(N(data!C283),0)</f>
        <v>2817552</v>
      </c>
      <c r="R2" s="207">
        <f>ROUND(N(data!C284),0)</f>
        <v>11111246</v>
      </c>
      <c r="S2" s="207">
        <f>ROUND(N(data!C285),0)</f>
        <v>60196295</v>
      </c>
      <c r="T2" s="207">
        <f>ROUND(N(data!C286),0)</f>
        <v>34490584</v>
      </c>
      <c r="U2" s="207">
        <f>ROUND(N(data!C287),0)</f>
        <v>0</v>
      </c>
      <c r="V2" s="207">
        <f>ROUND(N(data!C288),0)</f>
        <v>104296836</v>
      </c>
      <c r="W2" s="207">
        <f>ROUND(N(data!C289),0)</f>
        <v>1174052</v>
      </c>
      <c r="X2" s="207">
        <f>ROUND(N(data!C290),0)</f>
        <v>3349965</v>
      </c>
      <c r="Y2" s="207">
        <f>ROUND(N(data!C291),0)</f>
        <v>0</v>
      </c>
      <c r="Z2" s="207">
        <f>ROUND(N(data!C292),0)</f>
        <v>107674286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0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5034245</v>
      </c>
      <c r="AK2" s="207">
        <f>ROUND(N(data!C316),0)</f>
        <v>10254974</v>
      </c>
      <c r="AL2" s="207">
        <f>ROUND(N(data!C317),0)</f>
        <v>98072</v>
      </c>
      <c r="AM2" s="207">
        <f>ROUND(N(data!C318),0)</f>
        <v>0</v>
      </c>
      <c r="AN2" s="207">
        <f>ROUND(N(data!C319),0)</f>
        <v>2272613</v>
      </c>
      <c r="AO2" s="207">
        <f>ROUND(N(data!C320),0)</f>
        <v>0</v>
      </c>
      <c r="AP2" s="207">
        <f>ROUND(N(data!C321),0)</f>
        <v>0</v>
      </c>
      <c r="AQ2" s="207">
        <f>ROUND(N(data!C322),0)</f>
        <v>204997</v>
      </c>
      <c r="AR2" s="207">
        <f>ROUND(N(data!C323),0)</f>
        <v>6600928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37092186</v>
      </c>
      <c r="AZ2" s="207">
        <f>ROUND(N(data!C335),0)</f>
        <v>62378791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114947821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609.88</v>
      </c>
      <c r="BL2" s="207">
        <f>ROUND(N(data!C358),0)</f>
        <v>69086652</v>
      </c>
      <c r="BM2" s="207">
        <f>ROUND(N(data!C359),0)</f>
        <v>266733237</v>
      </c>
      <c r="BN2" s="207">
        <f>ROUND(N(data!C363),0)</f>
        <v>185921080</v>
      </c>
      <c r="BO2" s="207">
        <f>ROUND(N(data!C364),0)</f>
        <v>4897833</v>
      </c>
      <c r="BP2" s="207">
        <f>ROUND(N(data!C365),0)</f>
        <v>5769988</v>
      </c>
      <c r="BQ2" s="207">
        <f>ROUND(N(data!D381),0)</f>
        <v>4690607</v>
      </c>
      <c r="BR2" s="207">
        <f>ROUND(N(data!C370),0)</f>
        <v>0</v>
      </c>
      <c r="BS2" s="207">
        <f>ROUND(N(data!C371),0)</f>
        <v>0</v>
      </c>
      <c r="BT2" s="207">
        <f>ROUND(N(data!C372),0)</f>
        <v>0</v>
      </c>
      <c r="BU2" s="207">
        <f>ROUND(N(data!C373),0)</f>
        <v>0</v>
      </c>
      <c r="BV2" s="207">
        <f>ROUND(N(data!C374),0)</f>
        <v>0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0</v>
      </c>
      <c r="CB2" s="207">
        <f>ROUND(N(data!C380),0)</f>
        <v>4690607</v>
      </c>
      <c r="CC2" s="207">
        <f>ROUND(N(data!C382),0)</f>
        <v>2444828</v>
      </c>
      <c r="CD2" s="207">
        <f>ROUND(N(data!C389),0)</f>
        <v>60854332</v>
      </c>
      <c r="CE2" s="207">
        <f>ROUND(N(data!C390),0)</f>
        <v>18816586</v>
      </c>
      <c r="CF2" s="207">
        <f>ROUND(N(data!C391),0)</f>
        <v>11313643</v>
      </c>
      <c r="CG2" s="207">
        <f>ROUND(N(data!C392),0)</f>
        <v>15201656</v>
      </c>
      <c r="CH2" s="207">
        <f>ROUND(N(data!C393),0)</f>
        <v>1314813</v>
      </c>
      <c r="CI2" s="207">
        <f>ROUND(N(data!C394),0)</f>
        <v>13049020</v>
      </c>
      <c r="CJ2" s="207">
        <f>ROUND(N(data!C395),0)</f>
        <v>12671902</v>
      </c>
      <c r="CK2" s="207">
        <f>ROUND(N(data!C396),0)</f>
        <v>324369</v>
      </c>
      <c r="CL2" s="207">
        <f>ROUND(N(data!C397),0)</f>
        <v>1262763</v>
      </c>
      <c r="CM2" s="207">
        <f>ROUND(N(data!C398),0)</f>
        <v>683333</v>
      </c>
      <c r="CN2" s="207">
        <f>ROUND(N(data!C399),0)</f>
        <v>3187322</v>
      </c>
      <c r="CO2" s="207">
        <f>ROUND(N(data!C362),0)</f>
        <v>2040033</v>
      </c>
      <c r="CP2" s="207">
        <f>ROUND(N(data!D415),0)</f>
        <v>1625825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0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1625825</v>
      </c>
      <c r="DE2" s="61">
        <f>ROUND(N(data!C419),0)</f>
        <v>0</v>
      </c>
      <c r="DF2" s="207">
        <f>ROUND(N(data!D420),0)</f>
        <v>7360559</v>
      </c>
      <c r="DG2" s="207">
        <f>ROUND(N(data!C422),0)</f>
        <v>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C4DBD-E7D1-4D08-8633-CBD85E54A024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1327</v>
      </c>
      <c r="B1" s="12" t="s">
        <v>1328</v>
      </c>
      <c r="C1" s="10" t="s">
        <v>1329</v>
      </c>
      <c r="D1" s="12" t="s">
        <v>1330</v>
      </c>
      <c r="E1" s="10" t="s">
        <v>1331</v>
      </c>
      <c r="F1" s="10" t="s">
        <v>1332</v>
      </c>
      <c r="G1" s="10" t="s">
        <v>1333</v>
      </c>
      <c r="H1" s="10" t="s">
        <v>1334</v>
      </c>
      <c r="I1" s="10" t="s">
        <v>1335</v>
      </c>
      <c r="J1" s="10" t="s">
        <v>1336</v>
      </c>
      <c r="K1" s="10" t="s">
        <v>1337</v>
      </c>
      <c r="L1" s="10" t="s">
        <v>1338</v>
      </c>
      <c r="M1" s="10" t="s">
        <v>1339</v>
      </c>
      <c r="N1" s="10" t="s">
        <v>1340</v>
      </c>
      <c r="O1" s="10" t="s">
        <v>1341</v>
      </c>
      <c r="P1" s="10" t="s">
        <v>1309</v>
      </c>
      <c r="Q1" s="10" t="s">
        <v>1310</v>
      </c>
      <c r="R1" s="10" t="s">
        <v>1311</v>
      </c>
      <c r="S1" s="10" t="s">
        <v>1312</v>
      </c>
      <c r="T1" s="10" t="s">
        <v>1313</v>
      </c>
      <c r="U1" s="10" t="s">
        <v>1314</v>
      </c>
      <c r="V1" s="10" t="s">
        <v>1315</v>
      </c>
      <c r="W1" s="10" t="s">
        <v>1316</v>
      </c>
      <c r="X1" s="10" t="s">
        <v>1317</v>
      </c>
      <c r="Y1" s="10" t="s">
        <v>1318</v>
      </c>
      <c r="Z1" s="10" t="s">
        <v>1319</v>
      </c>
      <c r="AA1" s="10" t="s">
        <v>1320</v>
      </c>
      <c r="AB1" s="10" t="s">
        <v>1321</v>
      </c>
      <c r="AC1" s="10" t="s">
        <v>1322</v>
      </c>
      <c r="AD1" s="10" t="s">
        <v>1342</v>
      </c>
      <c r="AE1" s="10" t="s">
        <v>1343</v>
      </c>
      <c r="AF1" s="10" t="s">
        <v>1344</v>
      </c>
      <c r="AG1" s="10" t="s">
        <v>1345</v>
      </c>
      <c r="AH1" s="10" t="s">
        <v>1346</v>
      </c>
      <c r="AI1" s="10" t="s">
        <v>1347</v>
      </c>
      <c r="AJ1" s="10" t="s">
        <v>1348</v>
      </c>
      <c r="AK1" s="10" t="s">
        <v>1349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152</v>
      </c>
      <c r="B2" s="209" t="str">
        <f>RIGHT(data!$C$96,4)</f>
        <v>2023</v>
      </c>
      <c r="C2" s="12" t="str">
        <f>data!C$55</f>
        <v>6010</v>
      </c>
      <c r="D2" s="12" t="s">
        <v>1143</v>
      </c>
      <c r="E2" s="207">
        <f>ROUND(N(data!C59), 0)</f>
        <v>711</v>
      </c>
      <c r="F2" s="314">
        <f>ROUND(N(data!C60), 2)</f>
        <v>20.93</v>
      </c>
      <c r="G2" s="207">
        <f>ROUND(N(data!C61), 0)</f>
        <v>2333543</v>
      </c>
      <c r="H2" s="207">
        <f>ROUND(N(data!C62), 0)</f>
        <v>707429</v>
      </c>
      <c r="I2" s="207">
        <f>ROUND(N(data!C63), 0)</f>
        <v>327919</v>
      </c>
      <c r="J2" s="207">
        <f>ROUND(N(data!C64), 0)</f>
        <v>228043</v>
      </c>
      <c r="K2" s="207">
        <f>ROUND(N(data!C65), 0)</f>
        <v>616</v>
      </c>
      <c r="L2" s="207">
        <f>ROUND(N(data!C66), 0)</f>
        <v>15725</v>
      </c>
      <c r="M2" s="207">
        <f>ROUND(N(data!C67), 0)</f>
        <v>204620</v>
      </c>
      <c r="N2" s="207">
        <f>ROUND(N(data!C68), 0)</f>
        <v>10835</v>
      </c>
      <c r="O2" s="207">
        <f>ROUND(N(data!C69), 0)</f>
        <v>648</v>
      </c>
      <c r="P2" s="207">
        <f>ROUND(N(data!C70), 0)</f>
        <v>0</v>
      </c>
      <c r="Q2" s="207">
        <f>ROUND(N(data!C71), 0)</f>
        <v>0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0</v>
      </c>
      <c r="X2" s="207">
        <f>ROUND(N(data!C78), 0)</f>
        <v>0</v>
      </c>
      <c r="Y2" s="207">
        <f>ROUND(N(data!C79), 0)</f>
        <v>0</v>
      </c>
      <c r="Z2" s="207">
        <f>ROUND(N(data!C80), 0)</f>
        <v>0</v>
      </c>
      <c r="AA2" s="207">
        <f>ROUND(N(data!C81), 0)</f>
        <v>0</v>
      </c>
      <c r="AB2" s="207">
        <f>ROUND(N(data!C82), 0)</f>
        <v>0</v>
      </c>
      <c r="AC2" s="207">
        <f>ROUND(N(data!C83), 0)</f>
        <v>648</v>
      </c>
      <c r="AD2" s="207">
        <f>ROUND(N(data!C84), 0)</f>
        <v>0</v>
      </c>
      <c r="AE2" s="207">
        <f>ROUND(N(data!C89), 0)</f>
        <v>13693480</v>
      </c>
      <c r="AF2" s="207">
        <f>ROUND(N(data!C87), 0)</f>
        <v>11249462</v>
      </c>
      <c r="AG2" s="207">
        <f>ROUND(N(data!C90), 0)</f>
        <v>6518</v>
      </c>
      <c r="AH2" s="207">
        <f>ROUND(N(data!C91), 0)</f>
        <v>5445</v>
      </c>
      <c r="AI2" s="207">
        <f>ROUND(N(data!C92), 0)</f>
        <v>0</v>
      </c>
      <c r="AJ2" s="207">
        <f>ROUND(N(data!C93), 0)</f>
        <v>21528</v>
      </c>
      <c r="AK2" s="314">
        <f>ROUND(N(data!C94), 2)</f>
        <v>20.93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152</v>
      </c>
      <c r="B3" s="209" t="str">
        <f>RIGHT(data!$C$96,4)</f>
        <v>2023</v>
      </c>
      <c r="C3" s="12" t="str">
        <f>data!D$55</f>
        <v>6030</v>
      </c>
      <c r="D3" s="12" t="s">
        <v>1143</v>
      </c>
      <c r="E3" s="207">
        <f>ROUND(N(data!D59), 0)</f>
        <v>0</v>
      </c>
      <c r="F3" s="314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4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152</v>
      </c>
      <c r="B4" s="209" t="str">
        <f>RIGHT(data!$C$96,4)</f>
        <v>2023</v>
      </c>
      <c r="C4" s="12" t="str">
        <f>data!E$55</f>
        <v>6070</v>
      </c>
      <c r="D4" s="12" t="s">
        <v>1143</v>
      </c>
      <c r="E4" s="207">
        <f>ROUND(N(data!E59), 0)</f>
        <v>4445</v>
      </c>
      <c r="F4" s="314">
        <f>ROUND(N(data!E60), 2)</f>
        <v>44.94</v>
      </c>
      <c r="G4" s="207">
        <f>ROUND(N(data!E61), 0)</f>
        <v>5015175</v>
      </c>
      <c r="H4" s="207">
        <f>ROUND(N(data!E62), 0)</f>
        <v>1446107</v>
      </c>
      <c r="I4" s="207">
        <f>ROUND(N(data!E63), 0)</f>
        <v>1744558</v>
      </c>
      <c r="J4" s="207">
        <f>ROUND(N(data!E64), 0)</f>
        <v>241436</v>
      </c>
      <c r="K4" s="207">
        <f>ROUND(N(data!E65), 0)</f>
        <v>1040</v>
      </c>
      <c r="L4" s="207">
        <f>ROUND(N(data!E66), 0)</f>
        <v>59728</v>
      </c>
      <c r="M4" s="207">
        <f>ROUND(N(data!E67), 0)</f>
        <v>604422</v>
      </c>
      <c r="N4" s="207">
        <f>ROUND(N(data!E68), 0)</f>
        <v>9651</v>
      </c>
      <c r="O4" s="207">
        <f>ROUND(N(data!E69), 0)</f>
        <v>4867</v>
      </c>
      <c r="P4" s="207">
        <f>ROUND(N(data!E70), 0)</f>
        <v>0</v>
      </c>
      <c r="Q4" s="207">
        <f>ROUND(N(data!E71), 0)</f>
        <v>0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0</v>
      </c>
      <c r="X4" s="207">
        <f>ROUND(N(data!E78), 0)</f>
        <v>0</v>
      </c>
      <c r="Y4" s="207">
        <f>ROUND(N(data!E79), 0)</f>
        <v>0</v>
      </c>
      <c r="Z4" s="207">
        <f>ROUND(N(data!E80), 0)</f>
        <v>0</v>
      </c>
      <c r="AA4" s="207">
        <f>ROUND(N(data!E81), 0)</f>
        <v>0</v>
      </c>
      <c r="AB4" s="207">
        <f>ROUND(N(data!E82), 0)</f>
        <v>0</v>
      </c>
      <c r="AC4" s="207">
        <f>ROUND(N(data!E83), 0)</f>
        <v>4867</v>
      </c>
      <c r="AD4" s="207">
        <f>ROUND(N(data!E84), 0)</f>
        <v>0</v>
      </c>
      <c r="AE4" s="207">
        <f>ROUND(N(data!E89), 0)</f>
        <v>35059841</v>
      </c>
      <c r="AF4" s="207">
        <f>ROUND(N(data!E87), 0)</f>
        <v>23379608</v>
      </c>
      <c r="AG4" s="207">
        <f>ROUND(N(data!E90), 0)</f>
        <v>19104</v>
      </c>
      <c r="AH4" s="207">
        <f>ROUND(N(data!E91), 0)</f>
        <v>26617</v>
      </c>
      <c r="AI4" s="207">
        <f>ROUND(N(data!E92), 0)</f>
        <v>0</v>
      </c>
      <c r="AJ4" s="207">
        <f>ROUND(N(data!E93), 0)</f>
        <v>46731</v>
      </c>
      <c r="AK4" s="314">
        <f>ROUND(N(data!E94), 2)</f>
        <v>44.94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152</v>
      </c>
      <c r="B5" s="209" t="str">
        <f>RIGHT(data!$C$96,4)</f>
        <v>2023</v>
      </c>
      <c r="C5" s="12" t="str">
        <f>data!F$55</f>
        <v>6100</v>
      </c>
      <c r="D5" s="12" t="s">
        <v>1143</v>
      </c>
      <c r="E5" s="207">
        <f>ROUND(N(data!F59), 0)</f>
        <v>0</v>
      </c>
      <c r="F5" s="314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4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152</v>
      </c>
      <c r="B6" s="209" t="str">
        <f>RIGHT(data!$C$96,4)</f>
        <v>2023</v>
      </c>
      <c r="C6" s="12" t="str">
        <f>data!G$55</f>
        <v>6120</v>
      </c>
      <c r="D6" s="12" t="s">
        <v>1143</v>
      </c>
      <c r="E6" s="207">
        <f>ROUND(N(data!G59), 0)</f>
        <v>0</v>
      </c>
      <c r="F6" s="314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4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152</v>
      </c>
      <c r="B7" s="209" t="str">
        <f>RIGHT(data!$C$96,4)</f>
        <v>2023</v>
      </c>
      <c r="C7" s="12" t="str">
        <f>data!H$55</f>
        <v>6140</v>
      </c>
      <c r="D7" s="12" t="s">
        <v>1143</v>
      </c>
      <c r="E7" s="207">
        <f>ROUND(N(data!H59), 0)</f>
        <v>0</v>
      </c>
      <c r="F7" s="314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4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152</v>
      </c>
      <c r="B8" s="209" t="str">
        <f>RIGHT(data!$C$96,4)</f>
        <v>2023</v>
      </c>
      <c r="C8" s="12" t="str">
        <f>data!I$55</f>
        <v>6150</v>
      </c>
      <c r="D8" s="12" t="s">
        <v>1143</v>
      </c>
      <c r="E8" s="207">
        <f>ROUND(N(data!I59), 0)</f>
        <v>0</v>
      </c>
      <c r="F8" s="314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4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152</v>
      </c>
      <c r="B9" s="209" t="str">
        <f>RIGHT(data!$C$96,4)</f>
        <v>2023</v>
      </c>
      <c r="C9" s="12" t="str">
        <f>data!J$55</f>
        <v>6170</v>
      </c>
      <c r="D9" s="12" t="s">
        <v>1143</v>
      </c>
      <c r="E9" s="207">
        <f>ROUND(N(data!J59), 0)</f>
        <v>672</v>
      </c>
      <c r="F9" s="314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27725</v>
      </c>
      <c r="K9" s="207">
        <f>ROUND(N(data!J65), 0)</f>
        <v>0</v>
      </c>
      <c r="L9" s="207">
        <f>ROUND(N(data!J66), 0)</f>
        <v>2547</v>
      </c>
      <c r="M9" s="207">
        <f>ROUND(N(data!J67), 0)</f>
        <v>15132</v>
      </c>
      <c r="N9" s="207">
        <f>ROUND(N(data!J68), 0)</f>
        <v>0</v>
      </c>
      <c r="O9" s="207">
        <f>ROUND(N(data!J69), 0)</f>
        <v>727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727</v>
      </c>
      <c r="AD9" s="207">
        <f>ROUND(N(data!J84), 0)</f>
        <v>0</v>
      </c>
      <c r="AE9" s="207">
        <f>ROUND(N(data!J89), 0)</f>
        <v>1509073</v>
      </c>
      <c r="AF9" s="207">
        <f>ROUND(N(data!J87), 0)</f>
        <v>1405796</v>
      </c>
      <c r="AG9" s="207">
        <f>ROUND(N(data!J90), 0)</f>
        <v>482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4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152</v>
      </c>
      <c r="B10" s="209" t="str">
        <f>RIGHT(data!$C$96,4)</f>
        <v>2023</v>
      </c>
      <c r="C10" s="12" t="str">
        <f>data!K$55</f>
        <v>6200</v>
      </c>
      <c r="D10" s="12" t="s">
        <v>1143</v>
      </c>
      <c r="E10" s="207">
        <f>ROUND(N(data!K59), 0)</f>
        <v>0</v>
      </c>
      <c r="F10" s="314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4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152</v>
      </c>
      <c r="B11" s="209" t="str">
        <f>RIGHT(data!$C$96,4)</f>
        <v>2023</v>
      </c>
      <c r="C11" s="12" t="str">
        <f>data!L$55</f>
        <v>6210</v>
      </c>
      <c r="D11" s="12" t="s">
        <v>1143</v>
      </c>
      <c r="E11" s="207">
        <f>ROUND(N(data!L59), 0)</f>
        <v>0</v>
      </c>
      <c r="F11" s="314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4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152</v>
      </c>
      <c r="B12" s="209" t="str">
        <f>RIGHT(data!$C$96,4)</f>
        <v>2023</v>
      </c>
      <c r="C12" s="12" t="str">
        <f>data!M$55</f>
        <v>6330</v>
      </c>
      <c r="D12" s="12" t="s">
        <v>1143</v>
      </c>
      <c r="E12" s="207">
        <f>ROUND(N(data!M59), 0)</f>
        <v>0</v>
      </c>
      <c r="F12" s="314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4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152</v>
      </c>
      <c r="B13" s="209" t="str">
        <f>RIGHT(data!$C$96,4)</f>
        <v>2023</v>
      </c>
      <c r="C13" s="12" t="str">
        <f>data!N$55</f>
        <v>6400</v>
      </c>
      <c r="D13" s="12" t="s">
        <v>1143</v>
      </c>
      <c r="E13" s="207">
        <f>ROUND(N(data!N59), 0)</f>
        <v>0</v>
      </c>
      <c r="F13" s="314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4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152</v>
      </c>
      <c r="B14" s="209" t="str">
        <f>RIGHT(data!$C$96,4)</f>
        <v>2023</v>
      </c>
      <c r="C14" s="12" t="str">
        <f>data!O$55</f>
        <v>7010</v>
      </c>
      <c r="D14" s="12" t="s">
        <v>1143</v>
      </c>
      <c r="E14" s="207">
        <f>ROUND(N(data!O59), 0)</f>
        <v>1257</v>
      </c>
      <c r="F14" s="314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54840</v>
      </c>
      <c r="J14" s="207">
        <f>ROUND(N(data!O64), 0)</f>
        <v>94936</v>
      </c>
      <c r="K14" s="207">
        <f>ROUND(N(data!O65), 0)</f>
        <v>361</v>
      </c>
      <c r="L14" s="207">
        <f>ROUND(N(data!O66), 0)</f>
        <v>7025</v>
      </c>
      <c r="M14" s="207">
        <f>ROUND(N(data!O67), 0)</f>
        <v>30604</v>
      </c>
      <c r="N14" s="207">
        <f>ROUND(N(data!O68), 0)</f>
        <v>0</v>
      </c>
      <c r="O14" s="207">
        <f>ROUND(N(data!O69), 0)</f>
        <v>6871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6871</v>
      </c>
      <c r="AD14" s="207">
        <f>ROUND(N(data!O84), 0)</f>
        <v>0</v>
      </c>
      <c r="AE14" s="207">
        <f>ROUND(N(data!O89), 0)</f>
        <v>1497464</v>
      </c>
      <c r="AF14" s="207">
        <f>ROUND(N(data!O87), 0)</f>
        <v>1152731</v>
      </c>
      <c r="AG14" s="207">
        <f>ROUND(N(data!O90), 0)</f>
        <v>975</v>
      </c>
      <c r="AH14" s="207">
        <f>ROUND(N(data!O91), 0)</f>
        <v>0</v>
      </c>
      <c r="AI14" s="207">
        <f>ROUND(N(data!O92), 0)</f>
        <v>0</v>
      </c>
      <c r="AJ14" s="207">
        <f>ROUND(N(data!O93), 0)</f>
        <v>24643</v>
      </c>
      <c r="AK14" s="314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152</v>
      </c>
      <c r="B15" s="209" t="str">
        <f>RIGHT(data!$C$96,4)</f>
        <v>2023</v>
      </c>
      <c r="C15" s="12" t="str">
        <f>data!P$55</f>
        <v>7020</v>
      </c>
      <c r="D15" s="12" t="s">
        <v>1143</v>
      </c>
      <c r="E15" s="207">
        <f>ROUND(N(data!P59), 0)</f>
        <v>0</v>
      </c>
      <c r="F15" s="314">
        <f>ROUND(N(data!P60), 2)</f>
        <v>15.72</v>
      </c>
      <c r="G15" s="207">
        <f>ROUND(N(data!P61), 0)</f>
        <v>1601524</v>
      </c>
      <c r="H15" s="207">
        <f>ROUND(N(data!P62), 0)</f>
        <v>438044</v>
      </c>
      <c r="I15" s="207">
        <f>ROUND(N(data!P63), 0)</f>
        <v>600305</v>
      </c>
      <c r="J15" s="207">
        <f>ROUND(N(data!P64), 0)</f>
        <v>923406</v>
      </c>
      <c r="K15" s="207">
        <f>ROUND(N(data!P65), 0)</f>
        <v>616</v>
      </c>
      <c r="L15" s="207">
        <f>ROUND(N(data!P66), 0)</f>
        <v>370880</v>
      </c>
      <c r="M15" s="207">
        <f>ROUND(N(data!P67), 0)</f>
        <v>206107</v>
      </c>
      <c r="N15" s="207">
        <f>ROUND(N(data!P68), 0)</f>
        <v>61061</v>
      </c>
      <c r="O15" s="207">
        <f>ROUND(N(data!P69), 0)</f>
        <v>6008</v>
      </c>
      <c r="P15" s="207">
        <f>ROUND(N(data!P70), 0)</f>
        <v>0</v>
      </c>
      <c r="Q15" s="207">
        <f>ROUND(N(data!P71), 0)</f>
        <v>0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0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0</v>
      </c>
      <c r="AB15" s="207">
        <f>ROUND(N(data!P82), 0)</f>
        <v>0</v>
      </c>
      <c r="AC15" s="207">
        <f>ROUND(N(data!P83), 0)</f>
        <v>6008</v>
      </c>
      <c r="AD15" s="207">
        <f>ROUND(N(data!P84), 0)</f>
        <v>0</v>
      </c>
      <c r="AE15" s="207">
        <f>ROUND(N(data!P89), 0)</f>
        <v>23012259</v>
      </c>
      <c r="AF15" s="207">
        <f>ROUND(N(data!P87), 0)</f>
        <v>4082685</v>
      </c>
      <c r="AG15" s="207">
        <f>ROUND(N(data!P90), 0)</f>
        <v>6566</v>
      </c>
      <c r="AH15" s="207">
        <f>ROUND(N(data!P91), 0)</f>
        <v>326</v>
      </c>
      <c r="AI15" s="207">
        <f>ROUND(N(data!P92), 0)</f>
        <v>0</v>
      </c>
      <c r="AJ15" s="207">
        <f>ROUND(N(data!P93), 0)</f>
        <v>26728</v>
      </c>
      <c r="AK15" s="314">
        <f>ROUND(N(data!P94), 2)</f>
        <v>15.72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152</v>
      </c>
      <c r="B16" s="209" t="str">
        <f>RIGHT(data!$C$96,4)</f>
        <v>2023</v>
      </c>
      <c r="C16" s="12" t="str">
        <f>data!Q$55</f>
        <v>7030</v>
      </c>
      <c r="D16" s="12" t="s">
        <v>1143</v>
      </c>
      <c r="E16" s="207">
        <f>ROUND(N(data!Q59), 0)</f>
        <v>133943</v>
      </c>
      <c r="F16" s="314">
        <f>ROUND(N(data!Q60), 2)</f>
        <v>13.57</v>
      </c>
      <c r="G16" s="207">
        <f>ROUND(N(data!Q61), 0)</f>
        <v>1574378</v>
      </c>
      <c r="H16" s="207">
        <f>ROUND(N(data!Q62), 0)</f>
        <v>462880</v>
      </c>
      <c r="I16" s="207">
        <f>ROUND(N(data!Q63), 0)</f>
        <v>0</v>
      </c>
      <c r="J16" s="207">
        <f>ROUND(N(data!Q64), 0)</f>
        <v>137127</v>
      </c>
      <c r="K16" s="207">
        <f>ROUND(N(data!Q65), 0)</f>
        <v>0</v>
      </c>
      <c r="L16" s="207">
        <f>ROUND(N(data!Q66), 0)</f>
        <v>2892</v>
      </c>
      <c r="M16" s="207">
        <f>ROUND(N(data!Q67), 0)</f>
        <v>227509</v>
      </c>
      <c r="N16" s="207">
        <f>ROUND(N(data!Q68), 0)</f>
        <v>0</v>
      </c>
      <c r="O16" s="207">
        <f>ROUND(N(data!Q69), 0)</f>
        <v>3091</v>
      </c>
      <c r="P16" s="207">
        <f>ROUND(N(data!Q70), 0)</f>
        <v>0</v>
      </c>
      <c r="Q16" s="207">
        <f>ROUND(N(data!Q71), 0)</f>
        <v>0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0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3091</v>
      </c>
      <c r="AD16" s="207">
        <f>ROUND(N(data!Q84), 0)</f>
        <v>0</v>
      </c>
      <c r="AE16" s="207">
        <f>ROUND(N(data!Q89), 0)</f>
        <v>8884292</v>
      </c>
      <c r="AF16" s="207">
        <f>ROUND(N(data!Q87), 0)</f>
        <v>811380</v>
      </c>
      <c r="AG16" s="207">
        <f>ROUND(N(data!Q90), 0)</f>
        <v>7147</v>
      </c>
      <c r="AH16" s="207">
        <f>ROUND(N(data!Q91), 0)</f>
        <v>0</v>
      </c>
      <c r="AI16" s="207">
        <f>ROUND(N(data!Q92), 0)</f>
        <v>0</v>
      </c>
      <c r="AJ16" s="207">
        <f>ROUND(N(data!Q93), 0)</f>
        <v>21285</v>
      </c>
      <c r="AK16" s="314">
        <f>ROUND(N(data!Q94), 2)</f>
        <v>13.57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152</v>
      </c>
      <c r="B17" s="209" t="str">
        <f>RIGHT(data!$C$96,4)</f>
        <v>2023</v>
      </c>
      <c r="C17" s="12" t="str">
        <f>data!R$55</f>
        <v>7040</v>
      </c>
      <c r="D17" s="12" t="s">
        <v>1143</v>
      </c>
      <c r="E17" s="207">
        <f>ROUND(N(data!R59), 0)</f>
        <v>0</v>
      </c>
      <c r="F17" s="314">
        <f>ROUND(N(data!R60), 2)</f>
        <v>3.38</v>
      </c>
      <c r="G17" s="207">
        <f>ROUND(N(data!R61), 0)</f>
        <v>912520</v>
      </c>
      <c r="H17" s="207">
        <f>ROUND(N(data!R62), 0)</f>
        <v>185176</v>
      </c>
      <c r="I17" s="207">
        <f>ROUND(N(data!R63), 0)</f>
        <v>226535</v>
      </c>
      <c r="J17" s="207">
        <f>ROUND(N(data!R64), 0)</f>
        <v>57923</v>
      </c>
      <c r="K17" s="207">
        <f>ROUND(N(data!R65), 0)</f>
        <v>-49</v>
      </c>
      <c r="L17" s="207">
        <f>ROUND(N(data!R66), 0)</f>
        <v>63623</v>
      </c>
      <c r="M17" s="207">
        <f>ROUND(N(data!R67), 0)</f>
        <v>9782</v>
      </c>
      <c r="N17" s="207">
        <f>ROUND(N(data!R68), 0)</f>
        <v>2683</v>
      </c>
      <c r="O17" s="207">
        <f>ROUND(N(data!R69), 0)</f>
        <v>14706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0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14706</v>
      </c>
      <c r="AD17" s="207">
        <f>ROUND(N(data!R84), 0)</f>
        <v>0</v>
      </c>
      <c r="AE17" s="207">
        <f>ROUND(N(data!R89), 0)</f>
        <v>5371500</v>
      </c>
      <c r="AF17" s="207">
        <f>ROUND(N(data!R87), 0)</f>
        <v>509994</v>
      </c>
      <c r="AG17" s="207">
        <f>ROUND(N(data!R90), 0)</f>
        <v>312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4">
        <f>ROUND(N(data!R94), 2)</f>
        <v>3.38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152</v>
      </c>
      <c r="B18" s="209" t="str">
        <f>RIGHT(data!$C$96,4)</f>
        <v>2023</v>
      </c>
      <c r="C18" s="12" t="str">
        <f>data!S$55</f>
        <v>7050</v>
      </c>
      <c r="D18" s="12" t="s">
        <v>1143</v>
      </c>
      <c r="E18" s="207">
        <f>ROUND(N(data!S59), 0)</f>
        <v>0</v>
      </c>
      <c r="F18" s="314">
        <f>ROUND(N(data!S60), 2)</f>
        <v>0</v>
      </c>
      <c r="G18" s="207">
        <f>ROUND(N(data!S61), 0)</f>
        <v>0</v>
      </c>
      <c r="H18" s="207">
        <f>ROUND(N(data!S62), 0)</f>
        <v>0</v>
      </c>
      <c r="I18" s="207">
        <f>ROUND(N(data!S63), 0)</f>
        <v>216</v>
      </c>
      <c r="J18" s="207">
        <f>ROUND(N(data!S64), 0)</f>
        <v>4184487</v>
      </c>
      <c r="K18" s="207">
        <f>ROUND(N(data!S65), 0)</f>
        <v>0</v>
      </c>
      <c r="L18" s="207">
        <f>ROUND(N(data!S66), 0)</f>
        <v>74723</v>
      </c>
      <c r="M18" s="207">
        <f>ROUND(N(data!S67), 0)</f>
        <v>93248</v>
      </c>
      <c r="N18" s="207">
        <f>ROUND(N(data!S68), 0)</f>
        <v>0</v>
      </c>
      <c r="O18" s="207">
        <f>ROUND(N(data!S69), 0)</f>
        <v>66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0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66</v>
      </c>
      <c r="AD18" s="207">
        <f>ROUND(N(data!S84), 0)</f>
        <v>0</v>
      </c>
      <c r="AE18" s="207">
        <f>ROUND(N(data!S89), 0)</f>
        <v>9273927</v>
      </c>
      <c r="AF18" s="207">
        <f>ROUND(N(data!S87), 0)</f>
        <v>1819019</v>
      </c>
      <c r="AG18" s="207">
        <f>ROUND(N(data!S90), 0)</f>
        <v>2970</v>
      </c>
      <c r="AH18" s="207">
        <f>ROUND(N(data!S91), 0)</f>
        <v>0</v>
      </c>
      <c r="AI18" s="207">
        <f>ROUND(N(data!S92), 0)</f>
        <v>0</v>
      </c>
      <c r="AJ18" s="207">
        <f>ROUND(N(data!S93), 0)</f>
        <v>0</v>
      </c>
      <c r="AK18" s="314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152</v>
      </c>
      <c r="B19" s="209" t="str">
        <f>RIGHT(data!$C$96,4)</f>
        <v>2023</v>
      </c>
      <c r="C19" s="12" t="str">
        <f>data!T$55</f>
        <v>7060</v>
      </c>
      <c r="D19" s="12" t="s">
        <v>1143</v>
      </c>
      <c r="E19" s="207">
        <f>ROUND(N(data!T59), 0)</f>
        <v>0</v>
      </c>
      <c r="F19" s="314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0</v>
      </c>
      <c r="K19" s="207">
        <f>ROUND(N(data!T65), 0)</f>
        <v>0</v>
      </c>
      <c r="L19" s="207">
        <f>ROUND(N(data!T66), 0)</f>
        <v>0</v>
      </c>
      <c r="M19" s="207">
        <f>ROUND(N(data!T67), 0)</f>
        <v>0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0</v>
      </c>
      <c r="AF19" s="207">
        <f>ROUND(N(data!T87), 0)</f>
        <v>0</v>
      </c>
      <c r="AG19" s="207">
        <f>ROUND(N(data!T90), 0)</f>
        <v>0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4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152</v>
      </c>
      <c r="B20" s="209" t="str">
        <f>RIGHT(data!$C$96,4)</f>
        <v>2023</v>
      </c>
      <c r="C20" s="12" t="str">
        <f>data!U$55</f>
        <v>7070</v>
      </c>
      <c r="D20" s="12" t="s">
        <v>1143</v>
      </c>
      <c r="E20" s="207">
        <f>ROUND(N(data!U59), 0)</f>
        <v>326130</v>
      </c>
      <c r="F20" s="314">
        <f>ROUND(N(data!U60), 2)</f>
        <v>31.05</v>
      </c>
      <c r="G20" s="207">
        <f>ROUND(N(data!U61), 0)</f>
        <v>2299755</v>
      </c>
      <c r="H20" s="207">
        <f>ROUND(N(data!U62), 0)</f>
        <v>768774</v>
      </c>
      <c r="I20" s="207">
        <f>ROUND(N(data!U63), 0)</f>
        <v>621163</v>
      </c>
      <c r="J20" s="207">
        <f>ROUND(N(data!U64), 0)</f>
        <v>2109657</v>
      </c>
      <c r="K20" s="207">
        <f>ROUND(N(data!U65), 0)</f>
        <v>0</v>
      </c>
      <c r="L20" s="207">
        <f>ROUND(N(data!U66), 0)</f>
        <v>1492886</v>
      </c>
      <c r="M20" s="207">
        <f>ROUND(N(data!U67), 0)</f>
        <v>137905</v>
      </c>
      <c r="N20" s="207">
        <f>ROUND(N(data!U68), 0)</f>
        <v>0</v>
      </c>
      <c r="O20" s="207">
        <f>ROUND(N(data!U69), 0)</f>
        <v>7052</v>
      </c>
      <c r="P20" s="207">
        <f>ROUND(N(data!U70), 0)</f>
        <v>0</v>
      </c>
      <c r="Q20" s="207">
        <f>ROUND(N(data!U71), 0)</f>
        <v>0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0</v>
      </c>
      <c r="W20" s="207">
        <f>ROUND(N(data!U77), 0)</f>
        <v>0</v>
      </c>
      <c r="X20" s="207">
        <f>ROUND(N(data!U78), 0)</f>
        <v>0</v>
      </c>
      <c r="Y20" s="207">
        <f>ROUND(N(data!U79), 0)</f>
        <v>0</v>
      </c>
      <c r="Z20" s="207">
        <f>ROUND(N(data!U80), 0)</f>
        <v>0</v>
      </c>
      <c r="AA20" s="207">
        <f>ROUND(N(data!U81), 0)</f>
        <v>0</v>
      </c>
      <c r="AB20" s="207">
        <f>ROUND(N(data!U82), 0)</f>
        <v>0</v>
      </c>
      <c r="AC20" s="207">
        <f>ROUND(N(data!U83), 0)</f>
        <v>7052</v>
      </c>
      <c r="AD20" s="207">
        <f>ROUND(N(data!U84), 0)</f>
        <v>69</v>
      </c>
      <c r="AE20" s="207">
        <f>ROUND(N(data!U89), 0)</f>
        <v>40857879</v>
      </c>
      <c r="AF20" s="207">
        <f>ROUND(N(data!U87), 0)</f>
        <v>5207524</v>
      </c>
      <c r="AG20" s="207">
        <f>ROUND(N(data!U90), 0)</f>
        <v>4393</v>
      </c>
      <c r="AH20" s="207">
        <f>ROUND(N(data!U91), 0)</f>
        <v>0</v>
      </c>
      <c r="AI20" s="207">
        <f>ROUND(N(data!U92), 0)</f>
        <v>0</v>
      </c>
      <c r="AJ20" s="207">
        <f>ROUND(N(data!U93), 0)</f>
        <v>361</v>
      </c>
      <c r="AK20" s="314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152</v>
      </c>
      <c r="B21" s="209" t="str">
        <f>RIGHT(data!$C$96,4)</f>
        <v>2023</v>
      </c>
      <c r="C21" s="12" t="str">
        <f>data!V$55</f>
        <v>7110</v>
      </c>
      <c r="D21" s="12" t="s">
        <v>1143</v>
      </c>
      <c r="E21" s="207">
        <f>ROUND(N(data!V59), 0)</f>
        <v>0</v>
      </c>
      <c r="F21" s="314">
        <f>ROUND(N(data!V60), 2)</f>
        <v>0</v>
      </c>
      <c r="G21" s="207">
        <f>ROUND(N(data!V61), 0)</f>
        <v>0</v>
      </c>
      <c r="H21" s="207">
        <f>ROUND(N(data!V62), 0)</f>
        <v>0</v>
      </c>
      <c r="I21" s="207">
        <f>ROUND(N(data!V63), 0)</f>
        <v>0</v>
      </c>
      <c r="J21" s="207">
        <f>ROUND(N(data!V64), 0)</f>
        <v>0</v>
      </c>
      <c r="K21" s="207">
        <f>ROUND(N(data!V65), 0)</f>
        <v>0</v>
      </c>
      <c r="L21" s="207">
        <f>ROUND(N(data!V66), 0)</f>
        <v>0</v>
      </c>
      <c r="M21" s="207">
        <f>ROUND(N(data!V67), 0)</f>
        <v>0</v>
      </c>
      <c r="N21" s="207">
        <f>ROUND(N(data!V68), 0)</f>
        <v>0</v>
      </c>
      <c r="O21" s="207">
        <f>ROUND(N(data!V69), 0)</f>
        <v>0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0</v>
      </c>
      <c r="X21" s="207">
        <f>ROUND(N(data!V78), 0)</f>
        <v>0</v>
      </c>
      <c r="Y21" s="207">
        <f>ROUND(N(data!V79), 0)</f>
        <v>0</v>
      </c>
      <c r="Z21" s="207">
        <f>ROUND(N(data!V80), 0)</f>
        <v>0</v>
      </c>
      <c r="AA21" s="207">
        <f>ROUND(N(data!V81), 0)</f>
        <v>0</v>
      </c>
      <c r="AB21" s="207">
        <f>ROUND(N(data!V82), 0)</f>
        <v>0</v>
      </c>
      <c r="AC21" s="207">
        <f>ROUND(N(data!V83), 0)</f>
        <v>0</v>
      </c>
      <c r="AD21" s="207">
        <f>ROUND(N(data!V84), 0)</f>
        <v>0</v>
      </c>
      <c r="AE21" s="207">
        <f>ROUND(N(data!V89), 0)</f>
        <v>0</v>
      </c>
      <c r="AF21" s="207">
        <f>ROUND(N(data!V87), 0)</f>
        <v>0</v>
      </c>
      <c r="AG21" s="207">
        <f>ROUND(N(data!V90), 0)</f>
        <v>0</v>
      </c>
      <c r="AH21" s="207">
        <f>ROUND(N(data!V91), 0)</f>
        <v>0</v>
      </c>
      <c r="AI21" s="207">
        <f>ROUND(N(data!V92), 0)</f>
        <v>0</v>
      </c>
      <c r="AJ21" s="207">
        <f>ROUND(N(data!V93), 0)</f>
        <v>0</v>
      </c>
      <c r="AK21" s="314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152</v>
      </c>
      <c r="B22" s="209" t="str">
        <f>RIGHT(data!$C$96,4)</f>
        <v>2023</v>
      </c>
      <c r="C22" s="12" t="str">
        <f>data!W$55</f>
        <v>7120</v>
      </c>
      <c r="D22" s="12" t="s">
        <v>1143</v>
      </c>
      <c r="E22" s="207">
        <f>ROUND(N(data!W59), 0)</f>
        <v>2058</v>
      </c>
      <c r="F22" s="314">
        <f>ROUND(N(data!W60), 2)</f>
        <v>2.11</v>
      </c>
      <c r="G22" s="207">
        <f>ROUND(N(data!W61), 0)</f>
        <v>231751</v>
      </c>
      <c r="H22" s="207">
        <f>ROUND(N(data!W62), 0)</f>
        <v>86968</v>
      </c>
      <c r="I22" s="207">
        <f>ROUND(N(data!W63), 0)</f>
        <v>0</v>
      </c>
      <c r="J22" s="207">
        <f>ROUND(N(data!W64), 0)</f>
        <v>13227</v>
      </c>
      <c r="K22" s="207">
        <f>ROUND(N(data!W65), 0)</f>
        <v>0</v>
      </c>
      <c r="L22" s="207">
        <f>ROUND(N(data!W66), 0)</f>
        <v>2508</v>
      </c>
      <c r="M22" s="207">
        <f>ROUND(N(data!W67), 0)</f>
        <v>67100</v>
      </c>
      <c r="N22" s="207">
        <f>ROUND(N(data!W68), 0)</f>
        <v>0</v>
      </c>
      <c r="O22" s="207">
        <f>ROUND(N(data!W69), 0)</f>
        <v>3431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0</v>
      </c>
      <c r="AA22" s="207">
        <f>ROUND(N(data!W81), 0)</f>
        <v>0</v>
      </c>
      <c r="AB22" s="207">
        <f>ROUND(N(data!W82), 0)</f>
        <v>0</v>
      </c>
      <c r="AC22" s="207">
        <f>ROUND(N(data!W83), 0)</f>
        <v>3431</v>
      </c>
      <c r="AD22" s="207">
        <f>ROUND(N(data!W84), 0)</f>
        <v>0</v>
      </c>
      <c r="AE22" s="207">
        <f>ROUND(N(data!W89), 0)</f>
        <v>8999299</v>
      </c>
      <c r="AF22" s="207">
        <f>ROUND(N(data!W87), 0)</f>
        <v>493118</v>
      </c>
      <c r="AG22" s="207">
        <f>ROUND(N(data!W90), 0)</f>
        <v>2137</v>
      </c>
      <c r="AH22" s="207">
        <f>ROUND(N(data!W91), 0)</f>
        <v>0</v>
      </c>
      <c r="AI22" s="207">
        <f>ROUND(N(data!W92), 0)</f>
        <v>0</v>
      </c>
      <c r="AJ22" s="207">
        <f>ROUND(N(data!W93), 0)</f>
        <v>0</v>
      </c>
      <c r="AK22" s="314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152</v>
      </c>
      <c r="B23" s="209" t="str">
        <f>RIGHT(data!$C$96,4)</f>
        <v>2023</v>
      </c>
      <c r="C23" s="12" t="str">
        <f>data!X$55</f>
        <v>7130</v>
      </c>
      <c r="D23" s="12" t="s">
        <v>1143</v>
      </c>
      <c r="E23" s="207">
        <f>ROUND(N(data!X59), 0)</f>
        <v>38594</v>
      </c>
      <c r="F23" s="314">
        <f>ROUND(N(data!X60), 2)</f>
        <v>4.49</v>
      </c>
      <c r="G23" s="207">
        <f>ROUND(N(data!X61), 0)</f>
        <v>506873</v>
      </c>
      <c r="H23" s="207">
        <f>ROUND(N(data!X62), 0)</f>
        <v>159514</v>
      </c>
      <c r="I23" s="207">
        <f>ROUND(N(data!X63), 0)</f>
        <v>0</v>
      </c>
      <c r="J23" s="207">
        <f>ROUND(N(data!X64), 0)</f>
        <v>129055</v>
      </c>
      <c r="K23" s="207">
        <f>ROUND(N(data!X65), 0)</f>
        <v>0</v>
      </c>
      <c r="L23" s="207">
        <f>ROUND(N(data!X66), 0)</f>
        <v>132150</v>
      </c>
      <c r="M23" s="207">
        <f>ROUND(N(data!X67), 0)</f>
        <v>24852</v>
      </c>
      <c r="N23" s="207">
        <f>ROUND(N(data!X68), 0)</f>
        <v>0</v>
      </c>
      <c r="O23" s="207">
        <f>ROUND(N(data!X69), 0)</f>
        <v>0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0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0</v>
      </c>
      <c r="AD23" s="207">
        <f>ROUND(N(data!X84), 0)</f>
        <v>0</v>
      </c>
      <c r="AE23" s="207">
        <f>ROUND(N(data!X89), 0)</f>
        <v>31223782</v>
      </c>
      <c r="AF23" s="207">
        <f>ROUND(N(data!X87), 0)</f>
        <v>1756885</v>
      </c>
      <c r="AG23" s="207">
        <f>ROUND(N(data!X90), 0)</f>
        <v>792</v>
      </c>
      <c r="AH23" s="207">
        <f>ROUND(N(data!X91), 0)</f>
        <v>0</v>
      </c>
      <c r="AI23" s="207">
        <f>ROUND(N(data!X92), 0)</f>
        <v>0</v>
      </c>
      <c r="AJ23" s="207">
        <f>ROUND(N(data!X93), 0)</f>
        <v>0</v>
      </c>
      <c r="AK23" s="314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152</v>
      </c>
      <c r="B24" s="209" t="str">
        <f>RIGHT(data!$C$96,4)</f>
        <v>2023</v>
      </c>
      <c r="C24" s="12" t="str">
        <f>data!Y$55</f>
        <v>7140</v>
      </c>
      <c r="D24" s="12" t="s">
        <v>1143</v>
      </c>
      <c r="E24" s="207">
        <f>ROUND(N(data!Y59), 0)</f>
        <v>0</v>
      </c>
      <c r="F24" s="314">
        <f>ROUND(N(data!Y60), 2)</f>
        <v>23.88</v>
      </c>
      <c r="G24" s="207">
        <f>ROUND(N(data!Y61), 0)</f>
        <v>2110038</v>
      </c>
      <c r="H24" s="207">
        <f>ROUND(N(data!Y62), 0)</f>
        <v>734136</v>
      </c>
      <c r="I24" s="207">
        <f>ROUND(N(data!Y63), 0)</f>
        <v>245244</v>
      </c>
      <c r="J24" s="207">
        <f>ROUND(N(data!Y64), 0)</f>
        <v>121071</v>
      </c>
      <c r="K24" s="207">
        <f>ROUND(N(data!Y65), 0)</f>
        <v>616</v>
      </c>
      <c r="L24" s="207">
        <f>ROUND(N(data!Y66), 0)</f>
        <v>661758</v>
      </c>
      <c r="M24" s="207">
        <f>ROUND(N(data!Y67), 0)</f>
        <v>219501</v>
      </c>
      <c r="N24" s="207">
        <f>ROUND(N(data!Y68), 0)</f>
        <v>810</v>
      </c>
      <c r="O24" s="207">
        <f>ROUND(N(data!Y69), 0)</f>
        <v>2305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0</v>
      </c>
      <c r="X24" s="207">
        <f>ROUND(N(data!Y78), 0)</f>
        <v>0</v>
      </c>
      <c r="Y24" s="207">
        <f>ROUND(N(data!Y79), 0)</f>
        <v>0</v>
      </c>
      <c r="Z24" s="207">
        <f>ROUND(N(data!Y80), 0)</f>
        <v>0</v>
      </c>
      <c r="AA24" s="207">
        <f>ROUND(N(data!Y81), 0)</f>
        <v>0</v>
      </c>
      <c r="AB24" s="207">
        <f>ROUND(N(data!Y82), 0)</f>
        <v>0</v>
      </c>
      <c r="AC24" s="207">
        <f>ROUND(N(data!Y83), 0)</f>
        <v>2305</v>
      </c>
      <c r="AD24" s="207">
        <f>ROUND(N(data!Y84), 0)</f>
        <v>0</v>
      </c>
      <c r="AE24" s="207">
        <f>ROUND(N(data!Y89), 0)</f>
        <v>25150806</v>
      </c>
      <c r="AF24" s="207">
        <f>ROUND(N(data!Y87), 0)</f>
        <v>1631907</v>
      </c>
      <c r="AG24" s="207">
        <f>ROUND(N(data!Y90), 0)</f>
        <v>7380</v>
      </c>
      <c r="AH24" s="207">
        <f>ROUND(N(data!Y91), 0)</f>
        <v>0</v>
      </c>
      <c r="AI24" s="207">
        <f>ROUND(N(data!Y92), 0)</f>
        <v>0</v>
      </c>
      <c r="AJ24" s="207">
        <f>ROUND(N(data!Y93), 0)</f>
        <v>24432</v>
      </c>
      <c r="AK24" s="314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152</v>
      </c>
      <c r="B25" s="209" t="str">
        <f>RIGHT(data!$C$96,4)</f>
        <v>2023</v>
      </c>
      <c r="C25" s="12" t="str">
        <f>data!Z$55</f>
        <v>7150</v>
      </c>
      <c r="D25" s="12" t="s">
        <v>1143</v>
      </c>
      <c r="E25" s="207">
        <f>ROUND(N(data!Z59), 0)</f>
        <v>0</v>
      </c>
      <c r="F25" s="314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4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152</v>
      </c>
      <c r="B26" s="209" t="str">
        <f>RIGHT(data!$C$96,4)</f>
        <v>2023</v>
      </c>
      <c r="C26" s="12" t="str">
        <f>data!AA$55</f>
        <v>7160</v>
      </c>
      <c r="D26" s="12" t="s">
        <v>1143</v>
      </c>
      <c r="E26" s="207">
        <f>ROUND(N(data!AA59), 0)</f>
        <v>831</v>
      </c>
      <c r="F26" s="314">
        <f>ROUND(N(data!AA60), 2)</f>
        <v>1</v>
      </c>
      <c r="G26" s="207">
        <f>ROUND(N(data!AA61), 0)</f>
        <v>114302</v>
      </c>
      <c r="H26" s="207">
        <f>ROUND(N(data!AA62), 0)</f>
        <v>45508</v>
      </c>
      <c r="I26" s="207">
        <f>ROUND(N(data!AA63), 0)</f>
        <v>0</v>
      </c>
      <c r="J26" s="207">
        <f>ROUND(N(data!AA64), 0)</f>
        <v>53575</v>
      </c>
      <c r="K26" s="207">
        <f>ROUND(N(data!AA65), 0)</f>
        <v>0</v>
      </c>
      <c r="L26" s="207">
        <f>ROUND(N(data!AA66), 0)</f>
        <v>3804</v>
      </c>
      <c r="M26" s="207">
        <f>ROUND(N(data!AA67), 0)</f>
        <v>21666</v>
      </c>
      <c r="N26" s="207">
        <f>ROUND(N(data!AA68), 0)</f>
        <v>0</v>
      </c>
      <c r="O26" s="207">
        <f>ROUND(N(data!AA69), 0)</f>
        <v>6608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0</v>
      </c>
      <c r="AB26" s="207">
        <f>ROUND(N(data!AA82), 0)</f>
        <v>0</v>
      </c>
      <c r="AC26" s="207">
        <f>ROUND(N(data!AA83), 0)</f>
        <v>6608</v>
      </c>
      <c r="AD26" s="207">
        <f>ROUND(N(data!AA84), 0)</f>
        <v>0</v>
      </c>
      <c r="AE26" s="207">
        <f>ROUND(N(data!AA89), 0)</f>
        <v>359542</v>
      </c>
      <c r="AF26" s="207">
        <f>ROUND(N(data!AA87), 0)</f>
        <v>55405</v>
      </c>
      <c r="AG26" s="207">
        <f>ROUND(N(data!AA90), 0)</f>
        <v>690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4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152</v>
      </c>
      <c r="B27" s="209" t="str">
        <f>RIGHT(data!$C$96,4)</f>
        <v>2023</v>
      </c>
      <c r="C27" s="12" t="str">
        <f>data!AB$55</f>
        <v>7170</v>
      </c>
      <c r="D27" s="12" t="s">
        <v>1143</v>
      </c>
      <c r="E27" s="207">
        <f>ROUND(N(data!AB59), 0)</f>
        <v>0</v>
      </c>
      <c r="F27" s="314">
        <f>ROUND(N(data!AB60), 2)</f>
        <v>14.72</v>
      </c>
      <c r="G27" s="207">
        <f>ROUND(N(data!AB61), 0)</f>
        <v>1825729</v>
      </c>
      <c r="H27" s="207">
        <f>ROUND(N(data!AB62), 0)</f>
        <v>581724</v>
      </c>
      <c r="I27" s="207">
        <f>ROUND(N(data!AB63), 0)</f>
        <v>0</v>
      </c>
      <c r="J27" s="207">
        <f>ROUND(N(data!AB64), 0)</f>
        <v>2963225</v>
      </c>
      <c r="K27" s="207">
        <f>ROUND(N(data!AB65), 0)</f>
        <v>0</v>
      </c>
      <c r="L27" s="207">
        <f>ROUND(N(data!AB66), 0)</f>
        <v>436476</v>
      </c>
      <c r="M27" s="207">
        <f>ROUND(N(data!AB67), 0)</f>
        <v>60348</v>
      </c>
      <c r="N27" s="207">
        <f>ROUND(N(data!AB68), 0)</f>
        <v>0</v>
      </c>
      <c r="O27" s="207">
        <f>ROUND(N(data!AB69), 0)</f>
        <v>29071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0</v>
      </c>
      <c r="X27" s="207">
        <f>ROUND(N(data!AB78), 0)</f>
        <v>0</v>
      </c>
      <c r="Y27" s="207">
        <f>ROUND(N(data!AB79), 0)</f>
        <v>0</v>
      </c>
      <c r="Z27" s="207">
        <f>ROUND(N(data!AB80), 0)</f>
        <v>0</v>
      </c>
      <c r="AA27" s="207">
        <f>ROUND(N(data!AB81), 0)</f>
        <v>0</v>
      </c>
      <c r="AB27" s="207">
        <f>ROUND(N(data!AB82), 0)</f>
        <v>0</v>
      </c>
      <c r="AC27" s="207">
        <f>ROUND(N(data!AB83), 0)</f>
        <v>29071</v>
      </c>
      <c r="AD27" s="207">
        <f>ROUND(N(data!AB84), 0)</f>
        <v>3796985</v>
      </c>
      <c r="AE27" s="207">
        <f>ROUND(N(data!AB89), 0)</f>
        <v>12976852</v>
      </c>
      <c r="AF27" s="207">
        <f>ROUND(N(data!AB87), 0)</f>
        <v>4033530</v>
      </c>
      <c r="AG27" s="207">
        <f>ROUND(N(data!AB90), 0)</f>
        <v>3833</v>
      </c>
      <c r="AH27" s="207">
        <f>ROUND(N(data!AB91), 0)</f>
        <v>0</v>
      </c>
      <c r="AI27" s="207">
        <f>ROUND(N(data!AB92), 0)</f>
        <v>0</v>
      </c>
      <c r="AJ27" s="207">
        <f>ROUND(N(data!AB93), 0)</f>
        <v>0</v>
      </c>
      <c r="AK27" s="314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152</v>
      </c>
      <c r="B28" s="209" t="str">
        <f>RIGHT(data!$C$96,4)</f>
        <v>2023</v>
      </c>
      <c r="C28" s="12" t="str">
        <f>data!AC$55</f>
        <v>7180</v>
      </c>
      <c r="D28" s="12" t="s">
        <v>1143</v>
      </c>
      <c r="E28" s="207">
        <f>ROUND(N(data!AC59), 0)</f>
        <v>4167</v>
      </c>
      <c r="F28" s="314">
        <f>ROUND(N(data!AC60), 2)</f>
        <v>8.4600000000000009</v>
      </c>
      <c r="G28" s="207">
        <f>ROUND(N(data!AC61), 0)</f>
        <v>874951</v>
      </c>
      <c r="H28" s="207">
        <f>ROUND(N(data!AC62), 0)</f>
        <v>263760</v>
      </c>
      <c r="I28" s="207">
        <f>ROUND(N(data!AC63), 0)</f>
        <v>168127</v>
      </c>
      <c r="J28" s="207">
        <f>ROUND(N(data!AC64), 0)</f>
        <v>132975</v>
      </c>
      <c r="K28" s="207">
        <f>ROUND(N(data!AC65), 0)</f>
        <v>0</v>
      </c>
      <c r="L28" s="207">
        <f>ROUND(N(data!AC66), 0)</f>
        <v>89901</v>
      </c>
      <c r="M28" s="207">
        <f>ROUND(N(data!AC67), 0)</f>
        <v>25287</v>
      </c>
      <c r="N28" s="207">
        <f>ROUND(N(data!AC68), 0)</f>
        <v>11014</v>
      </c>
      <c r="O28" s="207">
        <f>ROUND(N(data!AC69), 0)</f>
        <v>1995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0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1995</v>
      </c>
      <c r="AD28" s="207">
        <f>ROUND(N(data!AC84), 0)</f>
        <v>0</v>
      </c>
      <c r="AE28" s="207">
        <f>ROUND(N(data!AC89), 0)</f>
        <v>9446918</v>
      </c>
      <c r="AF28" s="207">
        <f>ROUND(N(data!AC87), 0)</f>
        <v>5007520</v>
      </c>
      <c r="AG28" s="207">
        <f>ROUND(N(data!AC90), 0)</f>
        <v>806</v>
      </c>
      <c r="AH28" s="207">
        <f>ROUND(N(data!AC91), 0)</f>
        <v>0</v>
      </c>
      <c r="AI28" s="207">
        <f>ROUND(N(data!AC92), 0)</f>
        <v>0</v>
      </c>
      <c r="AJ28" s="207">
        <f>ROUND(N(data!AC93), 0)</f>
        <v>0</v>
      </c>
      <c r="AK28" s="314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152</v>
      </c>
      <c r="B29" s="209" t="str">
        <f>RIGHT(data!$C$96,4)</f>
        <v>2023</v>
      </c>
      <c r="C29" s="12" t="str">
        <f>data!AD$55</f>
        <v>7190</v>
      </c>
      <c r="D29" s="12" t="s">
        <v>1143</v>
      </c>
      <c r="E29" s="207">
        <f>ROUND(N(data!AD59), 0)</f>
        <v>0</v>
      </c>
      <c r="F29" s="314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0</v>
      </c>
      <c r="M29" s="207">
        <f>ROUND(N(data!AD67), 0)</f>
        <v>0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0</v>
      </c>
      <c r="AF29" s="207">
        <f>ROUND(N(data!AD87), 0)</f>
        <v>0</v>
      </c>
      <c r="AG29" s="207">
        <f>ROUND(N(data!AD90), 0)</f>
        <v>0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4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152</v>
      </c>
      <c r="B30" s="209" t="str">
        <f>RIGHT(data!$C$96,4)</f>
        <v>2023</v>
      </c>
      <c r="C30" s="12" t="str">
        <f>data!AE$55</f>
        <v>7200</v>
      </c>
      <c r="D30" s="12" t="s">
        <v>1143</v>
      </c>
      <c r="E30" s="207">
        <f>ROUND(N(data!AE59), 0)</f>
        <v>20823</v>
      </c>
      <c r="F30" s="314">
        <f>ROUND(N(data!AE60), 2)</f>
        <v>21.01</v>
      </c>
      <c r="G30" s="207">
        <f>ROUND(N(data!AE61), 0)</f>
        <v>1813448</v>
      </c>
      <c r="H30" s="207">
        <f>ROUND(N(data!AE62), 0)</f>
        <v>626038</v>
      </c>
      <c r="I30" s="207">
        <f>ROUND(N(data!AE63), 0)</f>
        <v>427100</v>
      </c>
      <c r="J30" s="207">
        <f>ROUND(N(data!AE64), 0)</f>
        <v>46571</v>
      </c>
      <c r="K30" s="207">
        <f>ROUND(N(data!AE65), 0)</f>
        <v>0</v>
      </c>
      <c r="L30" s="207">
        <f>ROUND(N(data!AE66), 0)</f>
        <v>10494</v>
      </c>
      <c r="M30" s="207">
        <f>ROUND(N(data!AE67), 0)</f>
        <v>249915</v>
      </c>
      <c r="N30" s="207">
        <f>ROUND(N(data!AE68), 0)</f>
        <v>0</v>
      </c>
      <c r="O30" s="207">
        <f>ROUND(N(data!AE69), 0)</f>
        <v>15046</v>
      </c>
      <c r="P30" s="207">
        <f>ROUND(N(data!AE70), 0)</f>
        <v>0</v>
      </c>
      <c r="Q30" s="207">
        <f>ROUND(N(data!AE71), 0)</f>
        <v>0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0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0</v>
      </c>
      <c r="AB30" s="207">
        <f>ROUND(N(data!AE82), 0)</f>
        <v>0</v>
      </c>
      <c r="AC30" s="207">
        <f>ROUND(N(data!AE83), 0)</f>
        <v>15046</v>
      </c>
      <c r="AD30" s="207">
        <f>ROUND(N(data!AE84), 0)</f>
        <v>0</v>
      </c>
      <c r="AE30" s="207">
        <f>ROUND(N(data!AE89), 0)</f>
        <v>8856583</v>
      </c>
      <c r="AF30" s="207">
        <f>ROUND(N(data!AE87), 0)</f>
        <v>627379</v>
      </c>
      <c r="AG30" s="207">
        <f>ROUND(N(data!AE90), 0)</f>
        <v>8054</v>
      </c>
      <c r="AH30" s="207">
        <f>ROUND(N(data!AE91), 0)</f>
        <v>0</v>
      </c>
      <c r="AI30" s="207">
        <f>ROUND(N(data!AE92), 0)</f>
        <v>0</v>
      </c>
      <c r="AJ30" s="207">
        <f>ROUND(N(data!AE93), 0)</f>
        <v>1732</v>
      </c>
      <c r="AK30" s="314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152</v>
      </c>
      <c r="B31" s="209" t="str">
        <f>RIGHT(data!$C$96,4)</f>
        <v>2023</v>
      </c>
      <c r="C31" s="12" t="str">
        <f>data!AF$55</f>
        <v>7220</v>
      </c>
      <c r="D31" s="12" t="s">
        <v>1143</v>
      </c>
      <c r="E31" s="207">
        <f>ROUND(N(data!AF59), 0)</f>
        <v>0</v>
      </c>
      <c r="F31" s="314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4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152</v>
      </c>
      <c r="B32" s="209" t="str">
        <f>RIGHT(data!$C$96,4)</f>
        <v>2023</v>
      </c>
      <c r="C32" s="12" t="str">
        <f>data!AG$55</f>
        <v>7230</v>
      </c>
      <c r="D32" s="12" t="s">
        <v>1143</v>
      </c>
      <c r="E32" s="207">
        <f>ROUND(N(data!AG59), 0)</f>
        <v>17566</v>
      </c>
      <c r="F32" s="314">
        <f>ROUND(N(data!AG60), 2)</f>
        <v>30.77</v>
      </c>
      <c r="G32" s="207">
        <f>ROUND(N(data!AG61), 0)</f>
        <v>4255893</v>
      </c>
      <c r="H32" s="207">
        <f>ROUND(N(data!AG62), 0)</f>
        <v>1023950</v>
      </c>
      <c r="I32" s="207">
        <f>ROUND(N(data!AG63), 0)</f>
        <v>3869279</v>
      </c>
      <c r="J32" s="207">
        <f>ROUND(N(data!AG64), 0)</f>
        <v>398414</v>
      </c>
      <c r="K32" s="207">
        <f>ROUND(N(data!AG65), 0)</f>
        <v>234</v>
      </c>
      <c r="L32" s="207">
        <f>ROUND(N(data!AG66), 0)</f>
        <v>398732</v>
      </c>
      <c r="M32" s="207">
        <f>ROUND(N(data!AG67), 0)</f>
        <v>299579</v>
      </c>
      <c r="N32" s="207">
        <f>ROUND(N(data!AG68), 0)</f>
        <v>181</v>
      </c>
      <c r="O32" s="207">
        <f>ROUND(N(data!AG69), 0)</f>
        <v>52675</v>
      </c>
      <c r="P32" s="207">
        <f>ROUND(N(data!AG70), 0)</f>
        <v>0</v>
      </c>
      <c r="Q32" s="207">
        <f>ROUND(N(data!AG71), 0)</f>
        <v>0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0</v>
      </c>
      <c r="X32" s="207">
        <f>ROUND(N(data!AG78), 0)</f>
        <v>0</v>
      </c>
      <c r="Y32" s="207">
        <f>ROUND(N(data!AG79), 0)</f>
        <v>0</v>
      </c>
      <c r="Z32" s="207">
        <f>ROUND(N(data!AG80), 0)</f>
        <v>0</v>
      </c>
      <c r="AA32" s="207">
        <f>ROUND(N(data!AG81), 0)</f>
        <v>0</v>
      </c>
      <c r="AB32" s="207">
        <f>ROUND(N(data!AG82), 0)</f>
        <v>0</v>
      </c>
      <c r="AC32" s="207">
        <f>ROUND(N(data!AG83), 0)</f>
        <v>52675</v>
      </c>
      <c r="AD32" s="207">
        <f>ROUND(N(data!AG84), 0)</f>
        <v>0</v>
      </c>
      <c r="AE32" s="207">
        <f>ROUND(N(data!AG89), 0)</f>
        <v>57911608</v>
      </c>
      <c r="AF32" s="207">
        <f>ROUND(N(data!AG87), 0)</f>
        <v>2916096</v>
      </c>
      <c r="AG32" s="207">
        <f>ROUND(N(data!AG90), 0)</f>
        <v>9543</v>
      </c>
      <c r="AH32" s="207">
        <f>ROUND(N(data!AG91), 0)</f>
        <v>1043</v>
      </c>
      <c r="AI32" s="207">
        <f>ROUND(N(data!AG92), 0)</f>
        <v>0</v>
      </c>
      <c r="AJ32" s="207">
        <f>ROUND(N(data!AG93), 0)</f>
        <v>60858</v>
      </c>
      <c r="AK32" s="314">
        <f>ROUND(N(data!AG94), 2)</f>
        <v>30.77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152</v>
      </c>
      <c r="B33" s="209" t="str">
        <f>RIGHT(data!$C$96,4)</f>
        <v>2023</v>
      </c>
      <c r="C33" s="12" t="str">
        <f>data!AH$55</f>
        <v>7240</v>
      </c>
      <c r="D33" s="12" t="s">
        <v>1143</v>
      </c>
      <c r="E33" s="207">
        <f>ROUND(N(data!AH59), 0)</f>
        <v>0</v>
      </c>
      <c r="F33" s="314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4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152</v>
      </c>
      <c r="B34" s="209" t="str">
        <f>RIGHT(data!$C$96,4)</f>
        <v>2023</v>
      </c>
      <c r="C34" s="12" t="str">
        <f>data!AI$55</f>
        <v>7250</v>
      </c>
      <c r="D34" s="12" t="s">
        <v>1143</v>
      </c>
      <c r="E34" s="207">
        <f>ROUND(N(data!AI59), 0)</f>
        <v>0</v>
      </c>
      <c r="F34" s="314">
        <f>ROUND(N(data!AI60), 2)</f>
        <v>0</v>
      </c>
      <c r="G34" s="207">
        <f>ROUND(N(data!AI61), 0)</f>
        <v>0</v>
      </c>
      <c r="H34" s="207">
        <f>ROUND(N(data!AI62), 0)</f>
        <v>0</v>
      </c>
      <c r="I34" s="207">
        <f>ROUND(N(data!AI63), 0)</f>
        <v>0</v>
      </c>
      <c r="J34" s="207">
        <f>ROUND(N(data!AI64), 0)</f>
        <v>0</v>
      </c>
      <c r="K34" s="207">
        <f>ROUND(N(data!AI65), 0)</f>
        <v>0</v>
      </c>
      <c r="L34" s="207">
        <f>ROUND(N(data!AI66), 0)</f>
        <v>0</v>
      </c>
      <c r="M34" s="207">
        <f>ROUND(N(data!AI67), 0)</f>
        <v>0</v>
      </c>
      <c r="N34" s="207">
        <f>ROUND(N(data!AI68), 0)</f>
        <v>0</v>
      </c>
      <c r="O34" s="207">
        <f>ROUND(N(data!AI69), 0)</f>
        <v>0</v>
      </c>
      <c r="P34" s="207">
        <f>ROUND(N(data!AI70), 0)</f>
        <v>0</v>
      </c>
      <c r="Q34" s="207">
        <f>ROUND(N(data!AI71), 0)</f>
        <v>0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0</v>
      </c>
      <c r="AD34" s="207">
        <f>ROUND(N(data!AI84), 0)</f>
        <v>0</v>
      </c>
      <c r="AE34" s="207">
        <f>ROUND(N(data!AI89), 0)</f>
        <v>0</v>
      </c>
      <c r="AF34" s="207">
        <f>ROUND(N(data!AI87), 0)</f>
        <v>0</v>
      </c>
      <c r="AG34" s="207">
        <f>ROUND(N(data!AI90), 0)</f>
        <v>0</v>
      </c>
      <c r="AH34" s="207">
        <f>ROUND(N(data!AI91), 0)</f>
        <v>0</v>
      </c>
      <c r="AI34" s="207">
        <f>ROUND(N(data!AI92), 0)</f>
        <v>0</v>
      </c>
      <c r="AJ34" s="207">
        <f>ROUND(N(data!AI93), 0)</f>
        <v>0</v>
      </c>
      <c r="AK34" s="314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152</v>
      </c>
      <c r="B35" s="209" t="str">
        <f>RIGHT(data!$C$96,4)</f>
        <v>2023</v>
      </c>
      <c r="C35" s="12" t="str">
        <f>data!AJ$55</f>
        <v>7260</v>
      </c>
      <c r="D35" s="12" t="s">
        <v>1143</v>
      </c>
      <c r="E35" s="207">
        <f>ROUND(N(data!AJ59), 0)</f>
        <v>0</v>
      </c>
      <c r="F35" s="314">
        <f>ROUND(N(data!AJ60), 2)</f>
        <v>0</v>
      </c>
      <c r="G35" s="207">
        <f>ROUND(N(data!AJ61), 0)</f>
        <v>0</v>
      </c>
      <c r="H35" s="207">
        <f>ROUND(N(data!AJ62), 0)</f>
        <v>0</v>
      </c>
      <c r="I35" s="207">
        <f>ROUND(N(data!AJ63), 0)</f>
        <v>0</v>
      </c>
      <c r="J35" s="207">
        <f>ROUND(N(data!AJ64), 0)</f>
        <v>0</v>
      </c>
      <c r="K35" s="207">
        <f>ROUND(N(data!AJ65), 0)</f>
        <v>0</v>
      </c>
      <c r="L35" s="207">
        <f>ROUND(N(data!AJ66), 0)</f>
        <v>0</v>
      </c>
      <c r="M35" s="207">
        <f>ROUND(N(data!AJ67), 0)</f>
        <v>0</v>
      </c>
      <c r="N35" s="207">
        <f>ROUND(N(data!AJ68), 0)</f>
        <v>0</v>
      </c>
      <c r="O35" s="207">
        <f>ROUND(N(data!AJ69), 0)</f>
        <v>0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0</v>
      </c>
      <c r="X35" s="207">
        <f>ROUND(N(data!AJ78), 0)</f>
        <v>0</v>
      </c>
      <c r="Y35" s="207">
        <f>ROUND(N(data!AJ79), 0)</f>
        <v>0</v>
      </c>
      <c r="Z35" s="207">
        <f>ROUND(N(data!AJ80), 0)</f>
        <v>0</v>
      </c>
      <c r="AA35" s="207">
        <f>ROUND(N(data!AJ81), 0)</f>
        <v>0</v>
      </c>
      <c r="AB35" s="207">
        <f>ROUND(N(data!AJ82), 0)</f>
        <v>0</v>
      </c>
      <c r="AC35" s="207">
        <f>ROUND(N(data!AJ83), 0)</f>
        <v>0</v>
      </c>
      <c r="AD35" s="207">
        <f>ROUND(N(data!AJ84), 0)</f>
        <v>0</v>
      </c>
      <c r="AE35" s="207">
        <f>ROUND(N(data!AJ89), 0)</f>
        <v>0</v>
      </c>
      <c r="AF35" s="207">
        <f>ROUND(N(data!AJ87), 0)</f>
        <v>0</v>
      </c>
      <c r="AG35" s="207">
        <f>ROUND(N(data!AJ90), 0)</f>
        <v>0</v>
      </c>
      <c r="AH35" s="207">
        <f>ROUND(N(data!AJ91), 0)</f>
        <v>0</v>
      </c>
      <c r="AI35" s="207">
        <f>ROUND(N(data!AJ92), 0)</f>
        <v>0</v>
      </c>
      <c r="AJ35" s="207">
        <f>ROUND(N(data!AJ93), 0)</f>
        <v>0</v>
      </c>
      <c r="AK35" s="314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152</v>
      </c>
      <c r="B36" s="209" t="str">
        <f>RIGHT(data!$C$96,4)</f>
        <v>2023</v>
      </c>
      <c r="C36" s="12" t="str">
        <f>data!AK$55</f>
        <v>7310</v>
      </c>
      <c r="D36" s="12" t="s">
        <v>1143</v>
      </c>
      <c r="E36" s="207">
        <f>ROUND(N(data!AK59), 0)</f>
        <v>0</v>
      </c>
      <c r="F36" s="314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4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152</v>
      </c>
      <c r="B37" s="209" t="str">
        <f>RIGHT(data!$C$96,4)</f>
        <v>2023</v>
      </c>
      <c r="C37" s="12" t="str">
        <f>data!AL$55</f>
        <v>7320</v>
      </c>
      <c r="D37" s="12" t="s">
        <v>1143</v>
      </c>
      <c r="E37" s="207">
        <f>ROUND(N(data!AL59), 0)</f>
        <v>0</v>
      </c>
      <c r="F37" s="314">
        <f>ROUND(N(data!AL60), 2)</f>
        <v>0</v>
      </c>
      <c r="G37" s="207">
        <f>ROUND(N(data!AL61), 0)</f>
        <v>0</v>
      </c>
      <c r="H37" s="207">
        <f>ROUND(N(data!AL62), 0)</f>
        <v>0</v>
      </c>
      <c r="I37" s="207">
        <f>ROUND(N(data!AL63), 0)</f>
        <v>0</v>
      </c>
      <c r="J37" s="207">
        <f>ROUND(N(data!AL64), 0)</f>
        <v>0</v>
      </c>
      <c r="K37" s="207">
        <f>ROUND(N(data!AL65), 0)</f>
        <v>0</v>
      </c>
      <c r="L37" s="207">
        <f>ROUND(N(data!AL66), 0)</f>
        <v>0</v>
      </c>
      <c r="M37" s="207">
        <f>ROUND(N(data!AL67), 0)</f>
        <v>0</v>
      </c>
      <c r="N37" s="207">
        <f>ROUND(N(data!AL68), 0)</f>
        <v>0</v>
      </c>
      <c r="O37" s="207">
        <f>ROUND(N(data!AL69), 0)</f>
        <v>0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0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0</v>
      </c>
      <c r="AB37" s="207">
        <f>ROUND(N(data!AL82), 0)</f>
        <v>0</v>
      </c>
      <c r="AC37" s="207">
        <f>ROUND(N(data!AL83), 0)</f>
        <v>0</v>
      </c>
      <c r="AD37" s="207">
        <f>ROUND(N(data!AL84), 0)</f>
        <v>0</v>
      </c>
      <c r="AE37" s="207">
        <f>ROUND(N(data!AL89), 0)</f>
        <v>0</v>
      </c>
      <c r="AF37" s="207">
        <f>ROUND(N(data!AL87), 0)</f>
        <v>0</v>
      </c>
      <c r="AG37" s="207">
        <f>ROUND(N(data!AL90), 0)</f>
        <v>0</v>
      </c>
      <c r="AH37" s="207">
        <f>ROUND(N(data!AL91), 0)</f>
        <v>0</v>
      </c>
      <c r="AI37" s="207">
        <f>ROUND(N(data!AL92), 0)</f>
        <v>0</v>
      </c>
      <c r="AJ37" s="207">
        <f>ROUND(N(data!AL93), 0)</f>
        <v>0</v>
      </c>
      <c r="AK37" s="314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152</v>
      </c>
      <c r="B38" s="209" t="str">
        <f>RIGHT(data!$C$96,4)</f>
        <v>2023</v>
      </c>
      <c r="C38" s="12" t="str">
        <f>data!AM$55</f>
        <v>7330</v>
      </c>
      <c r="D38" s="12" t="s">
        <v>1143</v>
      </c>
      <c r="E38" s="207">
        <f>ROUND(N(data!AM59), 0)</f>
        <v>0</v>
      </c>
      <c r="F38" s="314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4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152</v>
      </c>
      <c r="B39" s="209" t="str">
        <f>RIGHT(data!$C$96,4)</f>
        <v>2023</v>
      </c>
      <c r="C39" s="12" t="str">
        <f>data!AN$55</f>
        <v>7340</v>
      </c>
      <c r="D39" s="12" t="s">
        <v>1143</v>
      </c>
      <c r="E39" s="207">
        <f>ROUND(N(data!AN59), 0)</f>
        <v>0</v>
      </c>
      <c r="F39" s="314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4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152</v>
      </c>
      <c r="B40" s="209" t="str">
        <f>RIGHT(data!$C$96,4)</f>
        <v>2023</v>
      </c>
      <c r="C40" s="12" t="str">
        <f>data!AO$55</f>
        <v>7350</v>
      </c>
      <c r="D40" s="12" t="s">
        <v>1143</v>
      </c>
      <c r="E40" s="207">
        <f>ROUND(N(data!AO59), 0)</f>
        <v>0</v>
      </c>
      <c r="F40" s="314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0</v>
      </c>
      <c r="AF40" s="207">
        <f>ROUND(N(data!AO87), 0)</f>
        <v>0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4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152</v>
      </c>
      <c r="B41" s="209" t="str">
        <f>RIGHT(data!$C$96,4)</f>
        <v>2023</v>
      </c>
      <c r="C41" s="12" t="str">
        <f>data!AP$55</f>
        <v>7380</v>
      </c>
      <c r="D41" s="12" t="s">
        <v>1143</v>
      </c>
      <c r="E41" s="207">
        <f>ROUND(N(data!AP59), 0)</f>
        <v>90971</v>
      </c>
      <c r="F41" s="314">
        <f>ROUND(N(data!AP60), 2)</f>
        <v>169.56</v>
      </c>
      <c r="G41" s="207">
        <f>ROUND(N(data!AP61), 0)</f>
        <v>19241405</v>
      </c>
      <c r="H41" s="207">
        <f>ROUND(N(data!AP62), 0)</f>
        <v>5647972</v>
      </c>
      <c r="I41" s="207">
        <f>ROUND(N(data!AP63), 0)</f>
        <v>2466473</v>
      </c>
      <c r="J41" s="207">
        <f>ROUND(N(data!AP64), 0)</f>
        <v>1326921</v>
      </c>
      <c r="K41" s="207">
        <f>ROUND(N(data!AP65), 0)</f>
        <v>82106</v>
      </c>
      <c r="L41" s="207">
        <f>ROUND(N(data!AP66), 0)</f>
        <v>334034</v>
      </c>
      <c r="M41" s="207">
        <f>ROUND(N(data!AP67), 0)</f>
        <v>2824964</v>
      </c>
      <c r="N41" s="207">
        <f>ROUND(N(data!AP68), 0)</f>
        <v>36468</v>
      </c>
      <c r="O41" s="207">
        <f>ROUND(N(data!AP69), 0)</f>
        <v>474738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474738</v>
      </c>
      <c r="AD41" s="207">
        <f>ROUND(N(data!AP84), 0)</f>
        <v>79598</v>
      </c>
      <c r="AE41" s="207">
        <f>ROUND(N(data!AP89), 0)</f>
        <v>41301186</v>
      </c>
      <c r="AF41" s="207">
        <f>ROUND(N(data!AP87), 0)</f>
        <v>2946612</v>
      </c>
      <c r="AG41" s="207">
        <f>ROUND(N(data!AP90), 0)</f>
        <v>63978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4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152</v>
      </c>
      <c r="B42" s="209" t="str">
        <f>RIGHT(data!$C$96,4)</f>
        <v>2023</v>
      </c>
      <c r="C42" s="12" t="str">
        <f>data!AQ$55</f>
        <v>7390</v>
      </c>
      <c r="D42" s="12" t="s">
        <v>1143</v>
      </c>
      <c r="E42" s="207">
        <f>ROUND(N(data!AQ59), 0)</f>
        <v>0</v>
      </c>
      <c r="F42" s="314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4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152</v>
      </c>
      <c r="B43" s="209" t="str">
        <f>RIGHT(data!$C$96,4)</f>
        <v>2023</v>
      </c>
      <c r="C43" s="12" t="str">
        <f>data!AR$55</f>
        <v>7400</v>
      </c>
      <c r="D43" s="12" t="s">
        <v>1143</v>
      </c>
      <c r="E43" s="207">
        <f>ROUND(N(data!AR59), 0)</f>
        <v>0</v>
      </c>
      <c r="F43" s="314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4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152</v>
      </c>
      <c r="B44" s="209" t="str">
        <f>RIGHT(data!$C$96,4)</f>
        <v>2023</v>
      </c>
      <c r="C44" s="12" t="str">
        <f>data!AS$55</f>
        <v>7410</v>
      </c>
      <c r="D44" s="12" t="s">
        <v>1143</v>
      </c>
      <c r="E44" s="207">
        <f>ROUND(N(data!AS59), 0)</f>
        <v>0</v>
      </c>
      <c r="F44" s="314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4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152</v>
      </c>
      <c r="B45" s="209" t="str">
        <f>RIGHT(data!$C$96,4)</f>
        <v>2023</v>
      </c>
      <c r="C45" s="12" t="str">
        <f>data!AT$55</f>
        <v>7420</v>
      </c>
      <c r="D45" s="12" t="s">
        <v>1143</v>
      </c>
      <c r="E45" s="207">
        <f>ROUND(N(data!AT59), 0)</f>
        <v>0</v>
      </c>
      <c r="F45" s="314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4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152</v>
      </c>
      <c r="B46" s="209" t="str">
        <f>RIGHT(data!$C$96,4)</f>
        <v>2023</v>
      </c>
      <c r="C46" s="12" t="str">
        <f>data!AU$55</f>
        <v>7430</v>
      </c>
      <c r="D46" s="12" t="s">
        <v>1143</v>
      </c>
      <c r="E46" s="207">
        <f>ROUND(N(data!AU59), 0)</f>
        <v>0</v>
      </c>
      <c r="F46" s="314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4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152</v>
      </c>
      <c r="B47" s="209" t="str">
        <f>RIGHT(data!$C$96,4)</f>
        <v>2023</v>
      </c>
      <c r="C47" s="12" t="str">
        <f>data!AV$55</f>
        <v>7490</v>
      </c>
      <c r="D47" s="12" t="s">
        <v>1143</v>
      </c>
      <c r="E47" s="207">
        <f>ROUND(N(data!AV59), 0)</f>
        <v>0</v>
      </c>
      <c r="F47" s="314">
        <f>ROUND(N(data!AV60), 2)</f>
        <v>4.0599999999999996</v>
      </c>
      <c r="G47" s="207">
        <f>ROUND(N(data!AV61), 0)</f>
        <v>376996</v>
      </c>
      <c r="H47" s="207">
        <f>ROUND(N(data!AV62), 0)</f>
        <v>141599</v>
      </c>
      <c r="I47" s="207">
        <f>ROUND(N(data!AV63), 0)</f>
        <v>34545</v>
      </c>
      <c r="J47" s="207">
        <f>ROUND(N(data!AV64), 0)</f>
        <v>10790</v>
      </c>
      <c r="K47" s="207">
        <f>ROUND(N(data!AV65), 0)</f>
        <v>0</v>
      </c>
      <c r="L47" s="207">
        <f>ROUND(N(data!AV66), 0)</f>
        <v>3895</v>
      </c>
      <c r="M47" s="207">
        <f>ROUND(N(data!AV67), 0)</f>
        <v>8411</v>
      </c>
      <c r="N47" s="207">
        <f>ROUND(N(data!AV68), 0)</f>
        <v>0</v>
      </c>
      <c r="O47" s="207">
        <f>ROUND(N(data!AV69), 0)</f>
        <v>6661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0</v>
      </c>
      <c r="X47" s="207">
        <f>ROUND(N(data!AV78), 0)</f>
        <v>0</v>
      </c>
      <c r="Y47" s="207">
        <f>ROUND(N(data!AV79), 0)</f>
        <v>0</v>
      </c>
      <c r="Z47" s="207">
        <f>ROUND(N(data!AV80), 0)</f>
        <v>0</v>
      </c>
      <c r="AA47" s="207">
        <f>ROUND(N(data!AV81), 0)</f>
        <v>0</v>
      </c>
      <c r="AB47" s="207">
        <f>ROUND(N(data!AV82), 0)</f>
        <v>0</v>
      </c>
      <c r="AC47" s="207">
        <f>ROUND(N(data!AV83), 0)</f>
        <v>6661</v>
      </c>
      <c r="AD47" s="207">
        <f>ROUND(N(data!AV84), 0)</f>
        <v>0</v>
      </c>
      <c r="AE47" s="207">
        <f>ROUND(N(data!AV89), 0)</f>
        <v>433599</v>
      </c>
      <c r="AF47" s="207">
        <f>ROUND(N(data!AV87), 0)</f>
        <v>0</v>
      </c>
      <c r="AG47" s="207">
        <f>ROUND(N(data!AV90), 0)</f>
        <v>268</v>
      </c>
      <c r="AH47" s="207">
        <f>ROUND(N(data!AV91), 0)</f>
        <v>0</v>
      </c>
      <c r="AI47" s="207">
        <f>ROUND(N(data!AV92), 0)</f>
        <v>0</v>
      </c>
      <c r="AJ47" s="207">
        <f>ROUND(N(data!AV93), 0)</f>
        <v>0</v>
      </c>
      <c r="AK47" s="314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152</v>
      </c>
      <c r="B48" s="209" t="str">
        <f>RIGHT(data!$C$96,4)</f>
        <v>2023</v>
      </c>
      <c r="C48" s="12" t="str">
        <f>data!AW$55</f>
        <v>8200</v>
      </c>
      <c r="D48" s="12" t="s">
        <v>1143</v>
      </c>
      <c r="E48" s="207">
        <f>ROUND(N(data!AW59), 0)</f>
        <v>0</v>
      </c>
      <c r="F48" s="314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4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152</v>
      </c>
      <c r="B49" s="209" t="str">
        <f>RIGHT(data!$C$96,4)</f>
        <v>2023</v>
      </c>
      <c r="C49" s="12" t="str">
        <f>data!AX$55</f>
        <v>8310</v>
      </c>
      <c r="D49" s="12" t="s">
        <v>1143</v>
      </c>
      <c r="E49" s="207">
        <f>ROUND(N(data!AX59), 0)</f>
        <v>0</v>
      </c>
      <c r="F49" s="314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4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152</v>
      </c>
      <c r="B50" s="209" t="str">
        <f>RIGHT(data!$C$96,4)</f>
        <v>2023</v>
      </c>
      <c r="C50" s="12" t="str">
        <f>data!AY$55</f>
        <v>8320</v>
      </c>
      <c r="D50" s="12" t="s">
        <v>1143</v>
      </c>
      <c r="E50" s="207">
        <f>ROUND(N(data!AY59), 0)</f>
        <v>33431</v>
      </c>
      <c r="F50" s="314">
        <f>ROUND(N(data!AY60), 2)</f>
        <v>19.41</v>
      </c>
      <c r="G50" s="207">
        <f>ROUND(N(data!AY61), 0)</f>
        <v>977535</v>
      </c>
      <c r="H50" s="207">
        <f>ROUND(N(data!AY62), 0)</f>
        <v>376415</v>
      </c>
      <c r="I50" s="207">
        <f>ROUND(N(data!AY63), 0)</f>
        <v>156</v>
      </c>
      <c r="J50" s="207">
        <f>ROUND(N(data!AY64), 0)</f>
        <v>851098</v>
      </c>
      <c r="K50" s="207">
        <f>ROUND(N(data!AY65), 0)</f>
        <v>0</v>
      </c>
      <c r="L50" s="207">
        <f>ROUND(N(data!AY66), 0)</f>
        <v>21794</v>
      </c>
      <c r="M50" s="207">
        <f>ROUND(N(data!AY67), 0)</f>
        <v>158215</v>
      </c>
      <c r="N50" s="207">
        <f>ROUND(N(data!AY68), 0)</f>
        <v>0</v>
      </c>
      <c r="O50" s="207">
        <f>ROUND(N(data!AY69), 0)</f>
        <v>18243</v>
      </c>
      <c r="P50" s="207">
        <f>ROUND(N(data!AY70), 0)</f>
        <v>0</v>
      </c>
      <c r="Q50" s="207">
        <f>ROUND(N(data!AY71), 0)</f>
        <v>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0</v>
      </c>
      <c r="X50" s="207">
        <f>ROUND(N(data!AY78), 0)</f>
        <v>0</v>
      </c>
      <c r="Y50" s="207">
        <f>ROUND(N(data!AY79), 0)</f>
        <v>0</v>
      </c>
      <c r="Z50" s="207">
        <f>ROUND(N(data!AY80), 0)</f>
        <v>0</v>
      </c>
      <c r="AA50" s="207">
        <f>ROUND(N(data!AY81), 0)</f>
        <v>0</v>
      </c>
      <c r="AB50" s="207">
        <f>ROUND(N(data!AY82), 0)</f>
        <v>0</v>
      </c>
      <c r="AC50" s="207">
        <f>ROUND(N(data!AY83), 0)</f>
        <v>18243</v>
      </c>
      <c r="AD50" s="207">
        <f>ROUND(N(data!AY84), 0)</f>
        <v>529835</v>
      </c>
      <c r="AE50" s="207">
        <f>ROUND(N(data!AY89), 0)</f>
        <v>0</v>
      </c>
      <c r="AF50" s="207">
        <f>ROUND(N(data!AY87), 0)</f>
        <v>0</v>
      </c>
      <c r="AG50" s="207">
        <f>ROUND(N(data!AY90), 0)</f>
        <v>5040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4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152</v>
      </c>
      <c r="B51" s="209" t="str">
        <f>RIGHT(data!$C$96,4)</f>
        <v>2023</v>
      </c>
      <c r="C51" s="12" t="str">
        <f>data!AZ$55</f>
        <v>8330</v>
      </c>
      <c r="D51" s="12" t="s">
        <v>1143</v>
      </c>
      <c r="E51" s="207">
        <f>ROUND(N(data!AZ59), 0)</f>
        <v>0</v>
      </c>
      <c r="F51" s="314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4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152</v>
      </c>
      <c r="B52" s="209" t="str">
        <f>RIGHT(data!$C$96,4)</f>
        <v>2023</v>
      </c>
      <c r="C52" s="12" t="str">
        <f>data!BA$55</f>
        <v>8350</v>
      </c>
      <c r="D52" s="12" t="s">
        <v>1143</v>
      </c>
      <c r="E52" s="207">
        <f>ROUND(N(data!BA59), 0)</f>
        <v>0</v>
      </c>
      <c r="F52" s="314">
        <f>ROUND(N(data!BA60), 2)</f>
        <v>0.99</v>
      </c>
      <c r="G52" s="207">
        <f>ROUND(N(data!BA61), 0)</f>
        <v>55774</v>
      </c>
      <c r="H52" s="207">
        <f>ROUND(N(data!BA62), 0)</f>
        <v>41919</v>
      </c>
      <c r="I52" s="207">
        <f>ROUND(N(data!BA63), 0)</f>
        <v>0</v>
      </c>
      <c r="J52" s="207">
        <f>ROUND(N(data!BA64), 0)</f>
        <v>71738</v>
      </c>
      <c r="K52" s="207">
        <f>ROUND(N(data!BA65), 0)</f>
        <v>0</v>
      </c>
      <c r="L52" s="207">
        <f>ROUND(N(data!BA66), 0)</f>
        <v>187510</v>
      </c>
      <c r="M52" s="207">
        <f>ROUND(N(data!BA67), 0)</f>
        <v>45858</v>
      </c>
      <c r="N52" s="207">
        <f>ROUND(N(data!BA68), 0)</f>
        <v>0</v>
      </c>
      <c r="O52" s="207">
        <f>ROUND(N(data!BA69), 0)</f>
        <v>0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0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1461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4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152</v>
      </c>
      <c r="B53" s="209" t="str">
        <f>RIGHT(data!$C$96,4)</f>
        <v>2023</v>
      </c>
      <c r="C53" s="12" t="str">
        <f>data!BB$55</f>
        <v>8360</v>
      </c>
      <c r="D53" s="12" t="s">
        <v>1143</v>
      </c>
      <c r="E53" s="207">
        <f>ROUND(N(data!BB59), 0)</f>
        <v>0</v>
      </c>
      <c r="F53" s="314">
        <f>ROUND(N(data!BB60), 2)</f>
        <v>0</v>
      </c>
      <c r="G53" s="207">
        <f>ROUND(N(data!BB61), 0)</f>
        <v>0</v>
      </c>
      <c r="H53" s="207">
        <f>ROUND(N(data!BB62), 0)</f>
        <v>0</v>
      </c>
      <c r="I53" s="207">
        <f>ROUND(N(data!BB63), 0)</f>
        <v>0</v>
      </c>
      <c r="J53" s="207">
        <f>ROUND(N(data!BB64), 0)</f>
        <v>0</v>
      </c>
      <c r="K53" s="207">
        <f>ROUND(N(data!BB65), 0)</f>
        <v>0</v>
      </c>
      <c r="L53" s="207">
        <f>ROUND(N(data!BB66), 0)</f>
        <v>0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4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152</v>
      </c>
      <c r="B54" s="209" t="str">
        <f>RIGHT(data!$C$96,4)</f>
        <v>2023</v>
      </c>
      <c r="C54" s="12" t="str">
        <f>data!BC$55</f>
        <v>8370</v>
      </c>
      <c r="D54" s="12" t="s">
        <v>1143</v>
      </c>
      <c r="E54" s="207">
        <f>ROUND(N(data!BC59), 0)</f>
        <v>0</v>
      </c>
      <c r="F54" s="314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4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152</v>
      </c>
      <c r="B55" s="209" t="str">
        <f>RIGHT(data!$C$96,4)</f>
        <v>2023</v>
      </c>
      <c r="C55" s="12" t="str">
        <f>data!BD$55</f>
        <v>8420</v>
      </c>
      <c r="D55" s="12" t="s">
        <v>1143</v>
      </c>
      <c r="E55" s="207">
        <f>ROUND(N(data!BD59), 0)</f>
        <v>0</v>
      </c>
      <c r="F55" s="314">
        <f>ROUND(N(data!BD60), 2)</f>
        <v>7.47</v>
      </c>
      <c r="G55" s="207">
        <f>ROUND(N(data!BD61), 0)</f>
        <v>501171</v>
      </c>
      <c r="H55" s="207">
        <f>ROUND(N(data!BD62), 0)</f>
        <v>195084</v>
      </c>
      <c r="I55" s="207">
        <f>ROUND(N(data!BD63), 0)</f>
        <v>0</v>
      </c>
      <c r="J55" s="207">
        <f>ROUND(N(data!BD64), 0)</f>
        <v>77366</v>
      </c>
      <c r="K55" s="207">
        <f>ROUND(N(data!BD65), 0)</f>
        <v>2474</v>
      </c>
      <c r="L55" s="207">
        <f>ROUND(N(data!BD66), 0)</f>
        <v>80210</v>
      </c>
      <c r="M55" s="207">
        <f>ROUND(N(data!BD67), 0)</f>
        <v>106807</v>
      </c>
      <c r="N55" s="207">
        <f>ROUND(N(data!BD68), 0)</f>
        <v>-10983</v>
      </c>
      <c r="O55" s="207">
        <f>ROUND(N(data!BD69), 0)</f>
        <v>21418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0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21418</v>
      </c>
      <c r="AD55" s="207">
        <f>ROUND(N(data!BD84), 0)</f>
        <v>2479</v>
      </c>
      <c r="AE55" s="207">
        <f>ROUND(N(data!BD89), 0)</f>
        <v>0</v>
      </c>
      <c r="AF55" s="207">
        <f>ROUND(N(data!BD87), 0)</f>
        <v>0</v>
      </c>
      <c r="AG55" s="207">
        <f>ROUND(N(data!BD90), 0)</f>
        <v>3402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4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152</v>
      </c>
      <c r="B56" s="209" t="str">
        <f>RIGHT(data!$C$96,4)</f>
        <v>2023</v>
      </c>
      <c r="C56" s="12" t="str">
        <f>data!BE$55</f>
        <v>8430</v>
      </c>
      <c r="D56" s="12" t="s">
        <v>1143</v>
      </c>
      <c r="E56" s="207">
        <f>ROUND(N(data!BE59), 0)</f>
        <v>227969</v>
      </c>
      <c r="F56" s="314">
        <f>ROUND(N(data!BE60), 2)</f>
        <v>11.45</v>
      </c>
      <c r="G56" s="207">
        <f>ROUND(N(data!BE61), 0)</f>
        <v>898095</v>
      </c>
      <c r="H56" s="207">
        <f>ROUND(N(data!BE62), 0)</f>
        <v>322758</v>
      </c>
      <c r="I56" s="207">
        <f>ROUND(N(data!BE63), 0)</f>
        <v>0</v>
      </c>
      <c r="J56" s="207">
        <f>ROUND(N(data!BE64), 0)</f>
        <v>112079</v>
      </c>
      <c r="K56" s="207">
        <f>ROUND(N(data!BE65), 0)</f>
        <v>761265</v>
      </c>
      <c r="L56" s="207">
        <f>ROUND(N(data!BE66), 0)</f>
        <v>704363</v>
      </c>
      <c r="M56" s="207">
        <f>ROUND(N(data!BE67), 0)</f>
        <v>523778</v>
      </c>
      <c r="N56" s="207">
        <f>ROUND(N(data!BE68), 0)</f>
        <v>2651</v>
      </c>
      <c r="O56" s="207">
        <f>ROUND(N(data!BE69), 0)</f>
        <v>15059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0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0</v>
      </c>
      <c r="AB56" s="207">
        <f>ROUND(N(data!BE82), 0)</f>
        <v>0</v>
      </c>
      <c r="AC56" s="207">
        <f>ROUND(N(data!BE83), 0)</f>
        <v>15059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29694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4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152</v>
      </c>
      <c r="B57" s="209" t="str">
        <f>RIGHT(data!$C$96,4)</f>
        <v>2023</v>
      </c>
      <c r="C57" s="12" t="str">
        <f>data!BF$55</f>
        <v>8460</v>
      </c>
      <c r="D57" s="12" t="s">
        <v>1143</v>
      </c>
      <c r="E57" s="207">
        <f>ROUND(N(data!BF59), 0)</f>
        <v>0</v>
      </c>
      <c r="F57" s="314">
        <f>ROUND(N(data!BF60), 2)</f>
        <v>31.24</v>
      </c>
      <c r="G57" s="207">
        <f>ROUND(N(data!BF61), 0)</f>
        <v>1686759</v>
      </c>
      <c r="H57" s="207">
        <f>ROUND(N(data!BF62), 0)</f>
        <v>655254</v>
      </c>
      <c r="I57" s="207">
        <f>ROUND(N(data!BF63), 0)</f>
        <v>0</v>
      </c>
      <c r="J57" s="207">
        <f>ROUND(N(data!BF64), 0)</f>
        <v>179290</v>
      </c>
      <c r="K57" s="207">
        <f>ROUND(N(data!BF65), 0)</f>
        <v>211116</v>
      </c>
      <c r="L57" s="207">
        <f>ROUND(N(data!BF66), 0)</f>
        <v>93325</v>
      </c>
      <c r="M57" s="207">
        <f>ROUND(N(data!BF67), 0)</f>
        <v>72046</v>
      </c>
      <c r="N57" s="207">
        <f>ROUND(N(data!BF68), 0)</f>
        <v>0</v>
      </c>
      <c r="O57" s="207">
        <f>ROUND(N(data!BF69), 0)</f>
        <v>7599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0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7599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2016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4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152</v>
      </c>
      <c r="B58" s="209" t="str">
        <f>RIGHT(data!$C$96,4)</f>
        <v>2023</v>
      </c>
      <c r="C58" s="12" t="str">
        <f>data!BG$55</f>
        <v>8470</v>
      </c>
      <c r="D58" s="12" t="s">
        <v>1143</v>
      </c>
      <c r="E58" s="207">
        <f>ROUND(N(data!BG59), 0)</f>
        <v>0</v>
      </c>
      <c r="F58" s="314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4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152</v>
      </c>
      <c r="B59" s="209" t="str">
        <f>RIGHT(data!$C$96,4)</f>
        <v>2023</v>
      </c>
      <c r="C59" s="12" t="str">
        <f>data!BH$55</f>
        <v>8480</v>
      </c>
      <c r="D59" s="12" t="s">
        <v>1143</v>
      </c>
      <c r="E59" s="207">
        <f>ROUND(N(data!BH59), 0)</f>
        <v>0</v>
      </c>
      <c r="F59" s="314">
        <f>ROUND(N(data!BH60), 2)</f>
        <v>0</v>
      </c>
      <c r="G59" s="207">
        <f>ROUND(N(data!BH61), 0)</f>
        <v>0</v>
      </c>
      <c r="H59" s="207">
        <f>ROUND(N(data!BH62), 0)</f>
        <v>0</v>
      </c>
      <c r="I59" s="207">
        <f>ROUND(N(data!BH63), 0)</f>
        <v>0</v>
      </c>
      <c r="J59" s="207">
        <f>ROUND(N(data!BH64), 0)</f>
        <v>501188</v>
      </c>
      <c r="K59" s="207">
        <f>ROUND(N(data!BH65), 0)</f>
        <v>245412</v>
      </c>
      <c r="L59" s="207">
        <f>ROUND(N(data!BH66), 0)</f>
        <v>5112416</v>
      </c>
      <c r="M59" s="207">
        <f>ROUND(N(data!BH67), 0)</f>
        <v>4933363</v>
      </c>
      <c r="N59" s="207">
        <f>ROUND(N(data!BH68), 0)</f>
        <v>177076</v>
      </c>
      <c r="O59" s="207">
        <f>ROUND(N(data!BH69), 0)</f>
        <v>1137455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0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0</v>
      </c>
      <c r="AB59" s="207">
        <f>ROUND(N(data!BH82), 0)</f>
        <v>0</v>
      </c>
      <c r="AC59" s="207">
        <f>ROUND(N(data!BH83), 0)</f>
        <v>1137455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8501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4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152</v>
      </c>
      <c r="B60" s="209" t="str">
        <f>RIGHT(data!$C$96,4)</f>
        <v>2023</v>
      </c>
      <c r="C60" s="12" t="str">
        <f>data!BI$55</f>
        <v>8490</v>
      </c>
      <c r="D60" s="12" t="s">
        <v>1143</v>
      </c>
      <c r="E60" s="207">
        <f>ROUND(N(data!BI59), 0)</f>
        <v>0</v>
      </c>
      <c r="F60" s="314">
        <f>ROUND(N(data!BI60), 2)</f>
        <v>0</v>
      </c>
      <c r="G60" s="207">
        <f>ROUND(N(data!BI61), 0)</f>
        <v>0</v>
      </c>
      <c r="H60" s="207">
        <f>ROUND(N(data!BI62), 0)</f>
        <v>0</v>
      </c>
      <c r="I60" s="207">
        <f>ROUND(N(data!BI63), 0)</f>
        <v>0</v>
      </c>
      <c r="J60" s="207">
        <f>ROUND(N(data!BI64), 0)</f>
        <v>0</v>
      </c>
      <c r="K60" s="207">
        <f>ROUND(N(data!BI65), 0)</f>
        <v>0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0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0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0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4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152</v>
      </c>
      <c r="B61" s="209" t="str">
        <f>RIGHT(data!$C$96,4)</f>
        <v>2023</v>
      </c>
      <c r="C61" s="12" t="str">
        <f>data!BJ$55</f>
        <v>8510</v>
      </c>
      <c r="D61" s="12" t="s">
        <v>1143</v>
      </c>
      <c r="E61" s="207">
        <f>ROUND(N(data!BJ59), 0)</f>
        <v>0</v>
      </c>
      <c r="F61" s="314">
        <f>ROUND(N(data!BJ60), 2)</f>
        <v>6.61</v>
      </c>
      <c r="G61" s="207">
        <f>ROUND(N(data!BJ61), 0)</f>
        <v>627371</v>
      </c>
      <c r="H61" s="207">
        <f>ROUND(N(data!BJ62), 0)</f>
        <v>210598</v>
      </c>
      <c r="I61" s="207">
        <f>ROUND(N(data!BJ63), 0)</f>
        <v>0</v>
      </c>
      <c r="J61" s="207">
        <f>ROUND(N(data!BJ64), 0)</f>
        <v>6221</v>
      </c>
      <c r="K61" s="207">
        <f>ROUND(N(data!BJ65), 0)</f>
        <v>360</v>
      </c>
      <c r="L61" s="207">
        <f>ROUND(N(data!BJ66), 0)</f>
        <v>4193</v>
      </c>
      <c r="M61" s="207">
        <f>ROUND(N(data!BJ67), 0)</f>
        <v>84316</v>
      </c>
      <c r="N61" s="207">
        <f>ROUND(N(data!BJ68), 0)</f>
        <v>54</v>
      </c>
      <c r="O61" s="207">
        <f>ROUND(N(data!BJ69), 0)</f>
        <v>172930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0</v>
      </c>
      <c r="AB61" s="207">
        <f>ROUND(N(data!BJ82), 0)</f>
        <v>0</v>
      </c>
      <c r="AC61" s="207">
        <f>ROUND(N(data!BJ83), 0)</f>
        <v>172930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4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152</v>
      </c>
      <c r="B62" s="209" t="str">
        <f>RIGHT(data!$C$96,4)</f>
        <v>2023</v>
      </c>
      <c r="C62" s="12" t="str">
        <f>data!BK$55</f>
        <v>8530</v>
      </c>
      <c r="D62" s="12" t="s">
        <v>1143</v>
      </c>
      <c r="E62" s="207">
        <f>ROUND(N(data!BK59), 0)</f>
        <v>0</v>
      </c>
      <c r="F62" s="314">
        <f>ROUND(N(data!BK60), 2)</f>
        <v>23.13</v>
      </c>
      <c r="G62" s="207">
        <f>ROUND(N(data!BK61), 0)</f>
        <v>1452356</v>
      </c>
      <c r="H62" s="207">
        <f>ROUND(N(data!BK62), 0)</f>
        <v>612699</v>
      </c>
      <c r="I62" s="207">
        <f>ROUND(N(data!BK63), 0)</f>
        <v>103998</v>
      </c>
      <c r="J62" s="207">
        <f>ROUND(N(data!BK64), 0)</f>
        <v>18189</v>
      </c>
      <c r="K62" s="207">
        <f>ROUND(N(data!BK65), 0)</f>
        <v>360</v>
      </c>
      <c r="L62" s="207">
        <f>ROUND(N(data!BK66), 0)</f>
        <v>305584</v>
      </c>
      <c r="M62" s="207">
        <f>ROUND(N(data!BK67), 0)</f>
        <v>119005</v>
      </c>
      <c r="N62" s="207">
        <f>ROUND(N(data!BK68), 0)</f>
        <v>4350</v>
      </c>
      <c r="O62" s="207">
        <f>ROUND(N(data!BK69), 0)</f>
        <v>7655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7655</v>
      </c>
      <c r="AD62" s="207">
        <f>ROUND(N(data!BK84), 0)</f>
        <v>2127</v>
      </c>
      <c r="AE62" s="207">
        <f>ROUND(N(data!BK89), 0)</f>
        <v>0</v>
      </c>
      <c r="AF62" s="207">
        <f>ROUND(N(data!BK87), 0)</f>
        <v>0</v>
      </c>
      <c r="AG62" s="207">
        <f>ROUND(N(data!BK90), 0)</f>
        <v>2927</v>
      </c>
      <c r="AH62" s="207">
        <f>ROUND(N(data!BK91), 0)</f>
        <v>0</v>
      </c>
      <c r="AI62" s="207">
        <f>ROUND(N(data!BK92), 0)</f>
        <v>0</v>
      </c>
      <c r="AJ62" s="207">
        <f>ROUND(N(data!BK93), 0)</f>
        <v>0</v>
      </c>
      <c r="AK62" s="314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152</v>
      </c>
      <c r="B63" s="209" t="str">
        <f>RIGHT(data!$C$96,4)</f>
        <v>2023</v>
      </c>
      <c r="C63" s="12" t="str">
        <f>data!BL$55</f>
        <v>8560</v>
      </c>
      <c r="D63" s="12" t="s">
        <v>1143</v>
      </c>
      <c r="E63" s="207">
        <f>ROUND(N(data!BL59), 0)</f>
        <v>0</v>
      </c>
      <c r="F63" s="314">
        <f>ROUND(N(data!BL60), 2)</f>
        <v>25.19</v>
      </c>
      <c r="G63" s="207">
        <f>ROUND(N(data!BL61), 0)</f>
        <v>1317778</v>
      </c>
      <c r="H63" s="207">
        <f>ROUND(N(data!BL62), 0)</f>
        <v>554108</v>
      </c>
      <c r="I63" s="207">
        <f>ROUND(N(data!BL63), 0)</f>
        <v>0</v>
      </c>
      <c r="J63" s="207">
        <f>ROUND(N(data!BL64), 0)</f>
        <v>14540</v>
      </c>
      <c r="K63" s="207">
        <f>ROUND(N(data!BL65), 0)</f>
        <v>0</v>
      </c>
      <c r="L63" s="207">
        <f>ROUND(N(data!BL66), 0)</f>
        <v>16332</v>
      </c>
      <c r="M63" s="207">
        <f>ROUND(N(data!BL67), 0)</f>
        <v>60335</v>
      </c>
      <c r="N63" s="207">
        <f>ROUND(N(data!BL68), 0)</f>
        <v>0</v>
      </c>
      <c r="O63" s="207">
        <f>ROUND(N(data!BL69), 0)</f>
        <v>2945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2945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3694</v>
      </c>
      <c r="AH63" s="207">
        <f>ROUND(N(data!BL91), 0)</f>
        <v>0</v>
      </c>
      <c r="AI63" s="207">
        <f>ROUND(N(data!BL92), 0)</f>
        <v>0</v>
      </c>
      <c r="AJ63" s="207">
        <f>ROUND(N(data!BL93), 0)</f>
        <v>0</v>
      </c>
      <c r="AK63" s="314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152</v>
      </c>
      <c r="B64" s="209" t="str">
        <f>RIGHT(data!$C$96,4)</f>
        <v>2023</v>
      </c>
      <c r="C64" s="12" t="str">
        <f>data!BM$55</f>
        <v>8590</v>
      </c>
      <c r="D64" s="12" t="s">
        <v>1143</v>
      </c>
      <c r="E64" s="207">
        <f>ROUND(N(data!BM59), 0)</f>
        <v>0</v>
      </c>
      <c r="F64" s="314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0</v>
      </c>
      <c r="AJ64" s="207">
        <f>ROUND(N(data!BM93), 0)</f>
        <v>0</v>
      </c>
      <c r="AK64" s="314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152</v>
      </c>
      <c r="B65" s="209" t="str">
        <f>RIGHT(data!$C$96,4)</f>
        <v>2023</v>
      </c>
      <c r="C65" s="12" t="str">
        <f>data!BN$55</f>
        <v>8610</v>
      </c>
      <c r="D65" s="12" t="s">
        <v>1143</v>
      </c>
      <c r="E65" s="207">
        <f>ROUND(N(data!BN59), 0)</f>
        <v>0</v>
      </c>
      <c r="F65" s="314">
        <f>ROUND(N(data!BN60), 2)</f>
        <v>10.32</v>
      </c>
      <c r="G65" s="207">
        <f>ROUND(N(data!BN61), 0)</f>
        <v>2067702</v>
      </c>
      <c r="H65" s="207">
        <f>ROUND(N(data!BN62), 0)</f>
        <v>542378</v>
      </c>
      <c r="I65" s="207">
        <f>ROUND(N(data!BN63), 0)</f>
        <v>261418</v>
      </c>
      <c r="J65" s="207">
        <f>ROUND(N(data!BN64), 0)</f>
        <v>52023</v>
      </c>
      <c r="K65" s="207">
        <f>ROUND(N(data!BN65), 0)</f>
        <v>786</v>
      </c>
      <c r="L65" s="207">
        <f>ROUND(N(data!BN66), 0)</f>
        <v>437557</v>
      </c>
      <c r="M65" s="207">
        <f>ROUND(N(data!BN67), 0)</f>
        <v>168969</v>
      </c>
      <c r="N65" s="207">
        <f>ROUND(N(data!BN68), 0)</f>
        <v>0</v>
      </c>
      <c r="O65" s="207">
        <f>ROUND(N(data!BN69), 0)</f>
        <v>337541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0</v>
      </c>
      <c r="V65" s="207">
        <f>ROUND(N(data!BN76), 0)</f>
        <v>0</v>
      </c>
      <c r="W65" s="207">
        <f>ROUND(N(data!BN77), 0)</f>
        <v>0</v>
      </c>
      <c r="X65" s="207">
        <f>ROUND(N(data!BN78), 0)</f>
        <v>0</v>
      </c>
      <c r="Y65" s="207">
        <f>ROUND(N(data!BN79), 0)</f>
        <v>0</v>
      </c>
      <c r="Z65" s="207">
        <f>ROUND(N(data!BN80), 0)</f>
        <v>0</v>
      </c>
      <c r="AA65" s="207">
        <f>ROUND(N(data!BN81), 0)</f>
        <v>0</v>
      </c>
      <c r="AB65" s="207">
        <f>ROUND(N(data!BN82), 0)</f>
        <v>0</v>
      </c>
      <c r="AC65" s="207">
        <f>ROUND(N(data!BN83), 0)</f>
        <v>337541</v>
      </c>
      <c r="AD65" s="207">
        <f>ROUND(N(data!BN84), 0)</f>
        <v>41665</v>
      </c>
      <c r="AE65" s="207">
        <f>ROUND(N(data!BN89), 0)</f>
        <v>0</v>
      </c>
      <c r="AF65" s="207">
        <f>ROUND(N(data!BN87), 0)</f>
        <v>0</v>
      </c>
      <c r="AG65" s="207">
        <f>ROUND(N(data!BN90), 0)</f>
        <v>9757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4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152</v>
      </c>
      <c r="B66" s="209" t="str">
        <f>RIGHT(data!$C$96,4)</f>
        <v>2023</v>
      </c>
      <c r="C66" s="12" t="str">
        <f>data!BO$55</f>
        <v>8620</v>
      </c>
      <c r="D66" s="12" t="s">
        <v>1143</v>
      </c>
      <c r="E66" s="207">
        <f>ROUND(N(data!BO59), 0)</f>
        <v>0</v>
      </c>
      <c r="F66" s="314">
        <f>ROUND(N(data!BO60), 2)</f>
        <v>1.95</v>
      </c>
      <c r="G66" s="207">
        <f>ROUND(N(data!BO61), 0)</f>
        <v>199224</v>
      </c>
      <c r="H66" s="207">
        <f>ROUND(N(data!BO62), 0)</f>
        <v>52055</v>
      </c>
      <c r="I66" s="207">
        <f>ROUND(N(data!BO63), 0)</f>
        <v>0</v>
      </c>
      <c r="J66" s="207">
        <f>ROUND(N(data!BO64), 0)</f>
        <v>45535</v>
      </c>
      <c r="K66" s="207">
        <f>ROUND(N(data!BO65), 0)</f>
        <v>1051</v>
      </c>
      <c r="L66" s="207">
        <f>ROUND(N(data!BO66), 0)</f>
        <v>22390</v>
      </c>
      <c r="M66" s="207">
        <f>ROUND(N(data!BO67), 0)</f>
        <v>8767</v>
      </c>
      <c r="N66" s="207">
        <f>ROUND(N(data!BO68), 0)</f>
        <v>0</v>
      </c>
      <c r="O66" s="207">
        <f>ROUND(N(data!BO69), 0)</f>
        <v>914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914</v>
      </c>
      <c r="AD66" s="207">
        <f>ROUND(N(data!BO84), 0)</f>
        <v>2500</v>
      </c>
      <c r="AE66" s="207">
        <f>ROUND(N(data!BO89), 0)</f>
        <v>0</v>
      </c>
      <c r="AF66" s="207">
        <f>ROUND(N(data!BO87), 0)</f>
        <v>0</v>
      </c>
      <c r="AG66" s="207">
        <f>ROUND(N(data!BO90), 0)</f>
        <v>137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4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152</v>
      </c>
      <c r="B67" s="209" t="str">
        <f>RIGHT(data!$C$96,4)</f>
        <v>2023</v>
      </c>
      <c r="C67" s="12" t="str">
        <f>data!BP$55</f>
        <v>8630</v>
      </c>
      <c r="D67" s="12" t="s">
        <v>1143</v>
      </c>
      <c r="E67" s="207">
        <f>ROUND(N(data!BP59), 0)</f>
        <v>0</v>
      </c>
      <c r="F67" s="314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9027</v>
      </c>
      <c r="K67" s="207">
        <f>ROUND(N(data!BP65), 0)</f>
        <v>0</v>
      </c>
      <c r="L67" s="207">
        <f>ROUND(N(data!BP66), 0)</f>
        <v>278769</v>
      </c>
      <c r="M67" s="207">
        <f>ROUND(N(data!BP67), 0)</f>
        <v>89410</v>
      </c>
      <c r="N67" s="207">
        <f>ROUND(N(data!BP68), 0)</f>
        <v>0</v>
      </c>
      <c r="O67" s="207">
        <f>ROUND(N(data!BP69), 0)</f>
        <v>80352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80352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2848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4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152</v>
      </c>
      <c r="B68" s="209" t="str">
        <f>RIGHT(data!$C$96,4)</f>
        <v>2023</v>
      </c>
      <c r="C68" s="12" t="str">
        <f>data!BQ$55</f>
        <v>8640</v>
      </c>
      <c r="D68" s="12" t="s">
        <v>1143</v>
      </c>
      <c r="E68" s="207">
        <f>ROUND(N(data!BQ59), 0)</f>
        <v>0</v>
      </c>
      <c r="F68" s="314">
        <f>ROUND(N(data!BQ60), 2)</f>
        <v>0</v>
      </c>
      <c r="G68" s="207">
        <f>ROUND(N(data!BQ61), 0)</f>
        <v>0</v>
      </c>
      <c r="H68" s="207">
        <f>ROUND(N(data!BQ62), 0)</f>
        <v>0</v>
      </c>
      <c r="I68" s="207">
        <f>ROUND(N(data!BQ63), 0)</f>
        <v>0</v>
      </c>
      <c r="J68" s="207">
        <f>ROUND(N(data!BQ64), 0)</f>
        <v>0</v>
      </c>
      <c r="K68" s="207">
        <f>ROUND(N(data!BQ65), 0)</f>
        <v>0</v>
      </c>
      <c r="L68" s="207">
        <f>ROUND(N(data!BQ66), 0)</f>
        <v>0</v>
      </c>
      <c r="M68" s="207">
        <f>ROUND(N(data!BQ67), 0)</f>
        <v>0</v>
      </c>
      <c r="N68" s="207">
        <f>ROUND(N(data!BQ68), 0)</f>
        <v>0</v>
      </c>
      <c r="O68" s="207">
        <f>ROUND(N(data!BQ69), 0)</f>
        <v>0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0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0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4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152</v>
      </c>
      <c r="B69" s="209" t="str">
        <f>RIGHT(data!$C$96,4)</f>
        <v>2023</v>
      </c>
      <c r="C69" s="12" t="str">
        <f>data!BR$55</f>
        <v>8650</v>
      </c>
      <c r="D69" s="12" t="s">
        <v>1143</v>
      </c>
      <c r="E69" s="207">
        <f>ROUND(N(data!BR59), 0)</f>
        <v>0</v>
      </c>
      <c r="F69" s="314">
        <f>ROUND(N(data!BR60), 2)</f>
        <v>6.43</v>
      </c>
      <c r="G69" s="207">
        <f>ROUND(N(data!BR61), 0)</f>
        <v>710205</v>
      </c>
      <c r="H69" s="207">
        <f>ROUND(N(data!BR62), 0)</f>
        <v>198583</v>
      </c>
      <c r="I69" s="207">
        <f>ROUND(N(data!BR63), 0)</f>
        <v>0</v>
      </c>
      <c r="J69" s="207">
        <f>ROUND(N(data!BR64), 0)</f>
        <v>16681</v>
      </c>
      <c r="K69" s="207">
        <f>ROUND(N(data!BR65), 0)</f>
        <v>1215</v>
      </c>
      <c r="L69" s="207">
        <f>ROUND(N(data!BR66), 0)</f>
        <v>239165</v>
      </c>
      <c r="M69" s="207">
        <f>ROUND(N(data!BR67), 0)</f>
        <v>66837</v>
      </c>
      <c r="N69" s="207">
        <f>ROUND(N(data!BR68), 0)</f>
        <v>21305</v>
      </c>
      <c r="O69" s="207">
        <f>ROUND(N(data!BR69), 0)</f>
        <v>353571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0</v>
      </c>
      <c r="Z69" s="207">
        <f>ROUND(N(data!BR80), 0)</f>
        <v>0</v>
      </c>
      <c r="AA69" s="207">
        <f>ROUND(N(data!BR81), 0)</f>
        <v>0</v>
      </c>
      <c r="AB69" s="207">
        <f>ROUND(N(data!BR82), 0)</f>
        <v>0</v>
      </c>
      <c r="AC69" s="207">
        <f>ROUND(N(data!BR83), 0)</f>
        <v>353571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2129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4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152</v>
      </c>
      <c r="B70" s="209" t="str">
        <f>RIGHT(data!$C$96,4)</f>
        <v>2023</v>
      </c>
      <c r="C70" s="12" t="str">
        <f>data!BS$55</f>
        <v>8660</v>
      </c>
      <c r="D70" s="12" t="s">
        <v>1143</v>
      </c>
      <c r="E70" s="207">
        <f>ROUND(N(data!BS59), 0)</f>
        <v>0</v>
      </c>
      <c r="F70" s="314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4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152</v>
      </c>
      <c r="B71" s="209" t="str">
        <f>RIGHT(data!$C$96,4)</f>
        <v>2023</v>
      </c>
      <c r="C71" s="12" t="str">
        <f>data!BT$55</f>
        <v>8670</v>
      </c>
      <c r="D71" s="12" t="s">
        <v>1143</v>
      </c>
      <c r="E71" s="207">
        <f>ROUND(N(data!BT59), 0)</f>
        <v>0</v>
      </c>
      <c r="F71" s="314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4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152</v>
      </c>
      <c r="B72" s="209" t="str">
        <f>RIGHT(data!$C$96,4)</f>
        <v>2023</v>
      </c>
      <c r="C72" s="12" t="str">
        <f>data!BU$55</f>
        <v>8680</v>
      </c>
      <c r="D72" s="12" t="s">
        <v>1143</v>
      </c>
      <c r="E72" s="207">
        <f>ROUND(N(data!BU59), 0)</f>
        <v>0</v>
      </c>
      <c r="F72" s="314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4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152</v>
      </c>
      <c r="B73" s="209" t="str">
        <f>RIGHT(data!$C$96,4)</f>
        <v>2023</v>
      </c>
      <c r="C73" s="12" t="str">
        <f>data!BV$55</f>
        <v>8690</v>
      </c>
      <c r="D73" s="12" t="s">
        <v>1143</v>
      </c>
      <c r="E73" s="207">
        <f>ROUND(N(data!BV59), 0)</f>
        <v>0</v>
      </c>
      <c r="F73" s="314">
        <f>ROUND(N(data!BV60), 2)</f>
        <v>22.87</v>
      </c>
      <c r="G73" s="207">
        <f>ROUND(N(data!BV61), 0)</f>
        <v>1413227</v>
      </c>
      <c r="H73" s="207">
        <f>ROUND(N(data!BV62), 0)</f>
        <v>608167</v>
      </c>
      <c r="I73" s="207">
        <f>ROUND(N(data!BV63), 0)</f>
        <v>153458</v>
      </c>
      <c r="J73" s="207">
        <f>ROUND(N(data!BV64), 0)</f>
        <v>6055</v>
      </c>
      <c r="K73" s="207">
        <f>ROUND(N(data!BV65), 0)</f>
        <v>511</v>
      </c>
      <c r="L73" s="207">
        <f>ROUND(N(data!BV66), 0)</f>
        <v>8770</v>
      </c>
      <c r="M73" s="207">
        <f>ROUND(N(data!BV67), 0)</f>
        <v>172709</v>
      </c>
      <c r="N73" s="207">
        <f>ROUND(N(data!BV68), 0)</f>
        <v>81</v>
      </c>
      <c r="O73" s="207">
        <f>ROUND(N(data!BV69), 0)</f>
        <v>8500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0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8500</v>
      </c>
      <c r="AD73" s="207">
        <f>ROUND(N(data!BV84), 0)</f>
        <v>26289</v>
      </c>
      <c r="AE73" s="207">
        <f>ROUND(N(data!BV89), 0)</f>
        <v>0</v>
      </c>
      <c r="AF73" s="207">
        <f>ROUND(N(data!BV87), 0)</f>
        <v>0</v>
      </c>
      <c r="AG73" s="207">
        <f>ROUND(N(data!BV90), 0)</f>
        <v>4546</v>
      </c>
      <c r="AH73" s="207">
        <f>ROUND(N(data!BV91), 0)</f>
        <v>0</v>
      </c>
      <c r="AI73" s="207">
        <f>ROUND(N(data!BV92), 0)</f>
        <v>0</v>
      </c>
      <c r="AJ73" s="207">
        <f>ROUND(N(data!BV93), 0)</f>
        <v>0</v>
      </c>
      <c r="AK73" s="314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152</v>
      </c>
      <c r="B74" s="209" t="str">
        <f>RIGHT(data!$C$96,4)</f>
        <v>2023</v>
      </c>
      <c r="C74" s="12" t="str">
        <f>data!BW$55</f>
        <v>8700</v>
      </c>
      <c r="D74" s="12" t="s">
        <v>1143</v>
      </c>
      <c r="E74" s="207">
        <f>ROUND(N(data!BW59), 0)</f>
        <v>0</v>
      </c>
      <c r="F74" s="314">
        <f>ROUND(N(data!BW60), 2)</f>
        <v>2.0099999999999998</v>
      </c>
      <c r="G74" s="207">
        <f>ROUND(N(data!BW61), 0)</f>
        <v>167530</v>
      </c>
      <c r="H74" s="207">
        <f>ROUND(N(data!BW62), 0)</f>
        <v>58613</v>
      </c>
      <c r="I74" s="207">
        <f>ROUND(N(data!BW63), 0)</f>
        <v>8000</v>
      </c>
      <c r="J74" s="207">
        <f>ROUND(N(data!BW64), 0)</f>
        <v>2157</v>
      </c>
      <c r="K74" s="207">
        <f>ROUND(N(data!BW65), 0)</f>
        <v>0</v>
      </c>
      <c r="L74" s="207">
        <f>ROUND(N(data!BW66), 0)</f>
        <v>45601</v>
      </c>
      <c r="M74" s="207">
        <f>ROUND(N(data!BW67), 0)</f>
        <v>32078</v>
      </c>
      <c r="N74" s="207">
        <f>ROUND(N(data!BW68), 0)</f>
        <v>1265</v>
      </c>
      <c r="O74" s="207">
        <f>ROUND(N(data!BW69), 0)</f>
        <v>46977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46977</v>
      </c>
      <c r="AD74" s="207">
        <f>ROUND(N(data!BW84), 0)</f>
        <v>3700</v>
      </c>
      <c r="AE74" s="207">
        <f>ROUND(N(data!BW89), 0)</f>
        <v>0</v>
      </c>
      <c r="AF74" s="207">
        <f>ROUND(N(data!BW87), 0)</f>
        <v>0</v>
      </c>
      <c r="AG74" s="207">
        <f>ROUND(N(data!BW90), 0)</f>
        <v>1022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4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152</v>
      </c>
      <c r="B75" s="209" t="str">
        <f>RIGHT(data!$C$96,4)</f>
        <v>2023</v>
      </c>
      <c r="C75" s="12" t="str">
        <f>data!BX$55</f>
        <v>8710</v>
      </c>
      <c r="D75" s="12" t="s">
        <v>1143</v>
      </c>
      <c r="E75" s="207">
        <f>ROUND(N(data!BX59), 0)</f>
        <v>0</v>
      </c>
      <c r="F75" s="314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4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152</v>
      </c>
      <c r="B76" s="209" t="str">
        <f>RIGHT(data!$C$96,4)</f>
        <v>2023</v>
      </c>
      <c r="C76" s="12" t="str">
        <f>data!BY$55</f>
        <v>8720</v>
      </c>
      <c r="D76" s="12" t="s">
        <v>1143</v>
      </c>
      <c r="E76" s="207">
        <f>ROUND(N(data!BY59), 0)</f>
        <v>0</v>
      </c>
      <c r="F76" s="314">
        <f>ROUND(N(data!BY60), 2)</f>
        <v>13.23</v>
      </c>
      <c r="G76" s="207">
        <f>ROUND(N(data!BY61), 0)</f>
        <v>1810068</v>
      </c>
      <c r="H76" s="207">
        <f>ROUND(N(data!BY62), 0)</f>
        <v>465919</v>
      </c>
      <c r="I76" s="207">
        <f>ROUND(N(data!BY63), 0)</f>
        <v>0</v>
      </c>
      <c r="J76" s="207">
        <f>ROUND(N(data!BY64), 0)</f>
        <v>4527</v>
      </c>
      <c r="K76" s="207">
        <f>ROUND(N(data!BY65), 0)</f>
        <v>292</v>
      </c>
      <c r="L76" s="207">
        <f>ROUND(N(data!BY66), 0)</f>
        <v>286892</v>
      </c>
      <c r="M76" s="207">
        <f>ROUND(N(data!BY67), 0)</f>
        <v>54327</v>
      </c>
      <c r="N76" s="207">
        <f>ROUND(N(data!BY68), 0)</f>
        <v>0</v>
      </c>
      <c r="O76" s="207">
        <f>ROUND(N(data!BY69), 0)</f>
        <v>20255</v>
      </c>
      <c r="P76" s="207">
        <f>ROUND(N(data!BY70), 0)</f>
        <v>0</v>
      </c>
      <c r="Q76" s="207">
        <f>ROUND(N(data!BY71), 0)</f>
        <v>0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0</v>
      </c>
      <c r="AA76" s="207">
        <f>ROUND(N(data!BY81), 0)</f>
        <v>0</v>
      </c>
      <c r="AB76" s="207">
        <f>ROUND(N(data!BY82), 0)</f>
        <v>0</v>
      </c>
      <c r="AC76" s="207">
        <f>ROUND(N(data!BY83), 0)</f>
        <v>20255</v>
      </c>
      <c r="AD76" s="207">
        <f>ROUND(N(data!BY84), 0)</f>
        <v>90000</v>
      </c>
      <c r="AE76" s="207">
        <f>ROUND(N(data!BY89), 0)</f>
        <v>0</v>
      </c>
      <c r="AF76" s="207">
        <f>ROUND(N(data!BY87), 0)</f>
        <v>0</v>
      </c>
      <c r="AG76" s="207">
        <f>ROUND(N(data!BY90), 0)</f>
        <v>920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4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152</v>
      </c>
      <c r="B77" s="209" t="str">
        <f>RIGHT(data!$C$96,4)</f>
        <v>2023</v>
      </c>
      <c r="C77" s="12" t="str">
        <f>data!BZ$55</f>
        <v>8730</v>
      </c>
      <c r="D77" s="12" t="s">
        <v>1143</v>
      </c>
      <c r="E77" s="207">
        <f>ROUND(N(data!BZ59), 0)</f>
        <v>0</v>
      </c>
      <c r="F77" s="314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4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152</v>
      </c>
      <c r="B78" s="209" t="str">
        <f>RIGHT(data!$C$96,4)</f>
        <v>2023</v>
      </c>
      <c r="C78" s="12" t="str">
        <f>data!CA$55</f>
        <v>8740</v>
      </c>
      <c r="D78" s="12" t="s">
        <v>1143</v>
      </c>
      <c r="E78" s="207">
        <f>ROUND(N(data!CA59), 0)</f>
        <v>0</v>
      </c>
      <c r="F78" s="314">
        <f>ROUND(N(data!CA60), 2)</f>
        <v>1.05</v>
      </c>
      <c r="G78" s="207">
        <f>ROUND(N(data!CA61), 0)</f>
        <v>85098</v>
      </c>
      <c r="H78" s="207">
        <f>ROUND(N(data!CA62), 0)</f>
        <v>28028</v>
      </c>
      <c r="I78" s="207">
        <f>ROUND(N(data!CA63), 0)</f>
        <v>0</v>
      </c>
      <c r="J78" s="207">
        <f>ROUND(N(data!CA64), 0)</f>
        <v>4345</v>
      </c>
      <c r="K78" s="207">
        <f>ROUND(N(data!CA65), 0)</f>
        <v>0</v>
      </c>
      <c r="L78" s="207">
        <f>ROUND(N(data!CA66), 0)</f>
        <v>50925</v>
      </c>
      <c r="M78" s="207">
        <f>ROUND(N(data!CA67), 0)</f>
        <v>50164</v>
      </c>
      <c r="N78" s="207">
        <f>ROUND(N(data!CA68), 0)</f>
        <v>-4195</v>
      </c>
      <c r="O78" s="207">
        <f>ROUND(N(data!CA69), 0)</f>
        <v>25599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25599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1046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4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152</v>
      </c>
      <c r="B79" s="209" t="str">
        <f>RIGHT(data!$C$96,4)</f>
        <v>2023</v>
      </c>
      <c r="C79" s="12" t="str">
        <f>data!CB$55</f>
        <v>8770</v>
      </c>
      <c r="D79" s="12" t="s">
        <v>1143</v>
      </c>
      <c r="E79" s="207">
        <f>ROUND(N(data!CB59), 0)</f>
        <v>0</v>
      </c>
      <c r="F79" s="314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4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152</v>
      </c>
      <c r="B80" s="209" t="str">
        <f>RIGHT(data!$C$96,4)</f>
        <v>2023</v>
      </c>
      <c r="C80" s="12" t="str">
        <f>data!CC$55</f>
        <v>8790</v>
      </c>
      <c r="D80" s="12" t="s">
        <v>1143</v>
      </c>
      <c r="E80" s="207">
        <f>ROUND(N(data!CC59), 0)</f>
        <v>0</v>
      </c>
      <c r="F80" s="314">
        <f>ROUND(N(data!CC60), 2)</f>
        <v>16.850000000000001</v>
      </c>
      <c r="G80" s="207">
        <f>ROUND(N(data!CC61), 0)</f>
        <v>1796158</v>
      </c>
      <c r="H80" s="207">
        <f>ROUND(N(data!CC62), 0)</f>
        <v>574429</v>
      </c>
      <c r="I80" s="207">
        <f>ROUND(N(data!CC63), 0)</f>
        <v>313</v>
      </c>
      <c r="J80" s="207">
        <f>ROUND(N(data!CC64), 0)</f>
        <v>29036</v>
      </c>
      <c r="K80" s="207">
        <f>ROUND(N(data!CC65), 0)</f>
        <v>4429</v>
      </c>
      <c r="L80" s="207">
        <f>ROUND(N(data!CC66), 0)</f>
        <v>989444</v>
      </c>
      <c r="M80" s="207">
        <f>ROUND(N(data!CC67), 0)</f>
        <v>593966</v>
      </c>
      <c r="N80" s="207">
        <f>ROUND(N(data!CC68), 0)</f>
        <v>61</v>
      </c>
      <c r="O80" s="207">
        <f>ROUND(N(data!CC69), 0)</f>
        <v>41507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0</v>
      </c>
      <c r="V80" s="207">
        <f>ROUND(N(data!CC76), 0)</f>
        <v>0</v>
      </c>
      <c r="W80" s="207">
        <f>ROUND(N(data!CC77), 0)</f>
        <v>0</v>
      </c>
      <c r="X80" s="207">
        <f>ROUND(N(data!CC78), 0)</f>
        <v>0</v>
      </c>
      <c r="Y80" s="207">
        <f>ROUND(N(data!CC79), 0)</f>
        <v>0</v>
      </c>
      <c r="Z80" s="207">
        <f>ROUND(N(data!CC80), 0)</f>
        <v>0</v>
      </c>
      <c r="AA80" s="207">
        <f>ROUND(N(data!CC81), 0)</f>
        <v>0</v>
      </c>
      <c r="AB80" s="207">
        <f>ROUND(N(data!CC82), 0)</f>
        <v>0</v>
      </c>
      <c r="AC80" s="207">
        <f>ROUND(N(data!CC83), 0)</f>
        <v>41507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2881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4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2C46-EC91-4F66-A898-2BD28BCA39A2}">
  <sheetPr codeName="Sheet2">
    <tabColor rgb="FF92D050"/>
    <pageSetUpPr fitToPage="1"/>
  </sheetPr>
  <dimension ref="B1:J42"/>
  <sheetViews>
    <sheetView topLeftCell="A4" workbookViewId="0">
      <selection activeCell="M41" sqref="M41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697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698</v>
      </c>
      <c r="G3" s="10"/>
      <c r="J3" s="108"/>
    </row>
    <row r="4" spans="2:10" x14ac:dyDescent="0.35">
      <c r="B4" s="107"/>
      <c r="F4" s="10" t="s">
        <v>699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700</v>
      </c>
      <c r="G8" s="10"/>
      <c r="J8" s="108"/>
    </row>
    <row r="9" spans="2:10" x14ac:dyDescent="0.35">
      <c r="B9" s="104"/>
      <c r="C9" s="105"/>
      <c r="D9" s="105"/>
      <c r="E9" s="105"/>
      <c r="F9" s="112" t="s">
        <v>701</v>
      </c>
      <c r="G9" s="112"/>
      <c r="H9" s="105"/>
      <c r="I9" s="105"/>
      <c r="J9" s="106"/>
    </row>
    <row r="10" spans="2:10" x14ac:dyDescent="0.35">
      <c r="B10" s="107"/>
      <c r="F10" s="10" t="s">
        <v>702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703</v>
      </c>
      <c r="G12" s="10"/>
      <c r="J12" s="108"/>
    </row>
    <row r="13" spans="2:10" x14ac:dyDescent="0.35">
      <c r="B13" s="107"/>
      <c r="F13" s="10" t="s">
        <v>704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705</v>
      </c>
      <c r="J16" s="108"/>
    </row>
    <row r="17" spans="2:10" x14ac:dyDescent="0.35">
      <c r="B17" s="104"/>
      <c r="C17" s="113" t="s">
        <v>706</v>
      </c>
      <c r="D17" s="113"/>
      <c r="E17" s="105" t="str">
        <f>+data!C98</f>
        <v>Public Hospital District No 1 of Mason County, WA, DBA Mason Health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707</v>
      </c>
      <c r="D18" s="62"/>
      <c r="E18" s="11" t="str">
        <f>+"H-"&amp;data!C97</f>
        <v>H-152</v>
      </c>
      <c r="F18" s="10"/>
      <c r="G18" s="10"/>
      <c r="J18" s="108"/>
    </row>
    <row r="19" spans="2:10" x14ac:dyDescent="0.35">
      <c r="B19" s="107"/>
      <c r="C19" s="62" t="s">
        <v>708</v>
      </c>
      <c r="D19" s="62"/>
      <c r="E19" s="11" t="str">
        <f>+data!C99</f>
        <v>901 Mountain View Drive</v>
      </c>
      <c r="F19" s="10"/>
      <c r="G19" s="10"/>
      <c r="J19" s="108"/>
    </row>
    <row r="20" spans="2:10" x14ac:dyDescent="0.35">
      <c r="B20" s="107"/>
      <c r="C20" s="62" t="s">
        <v>709</v>
      </c>
      <c r="D20" s="62"/>
      <c r="E20" s="65" t="s">
        <v>710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">
        <v>712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713</v>
      </c>
      <c r="G26" s="115"/>
      <c r="H26" s="115"/>
      <c r="I26" s="115"/>
      <c r="J26" s="117"/>
    </row>
    <row r="27" spans="2:10" x14ac:dyDescent="0.35">
      <c r="B27" s="118" t="s">
        <v>714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715</v>
      </c>
      <c r="J29" s="108"/>
    </row>
    <row r="30" spans="2:10" x14ac:dyDescent="0.35">
      <c r="B30" s="121" t="s">
        <v>716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717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718</v>
      </c>
      <c r="C35" s="115" t="s">
        <v>719</v>
      </c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 t="s">
        <v>1396</v>
      </c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718</v>
      </c>
      <c r="C41" s="115" t="s">
        <v>1397</v>
      </c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 t="s">
        <v>1396</v>
      </c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63F6-D5DF-4A30-8AFF-EC363C023E1B}">
  <sheetPr codeName="Sheet9">
    <tabColor rgb="FF92D050"/>
  </sheetPr>
  <dimension ref="A2:M94"/>
  <sheetViews>
    <sheetView topLeftCell="A55" zoomScaleNormal="100" workbookViewId="0">
      <selection activeCell="G22" sqref="G2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152</v>
      </c>
      <c r="B12" s="238" t="str">
        <f>RIGHT('Prior Year'!C96,4)</f>
        <v>2022</v>
      </c>
      <c r="C12" s="238" t="str">
        <f>RIGHT(data!C96,4)</f>
        <v>2023</v>
      </c>
      <c r="D12" s="1" t="str">
        <f>RIGHT('Prior Year'!C96,4)</f>
        <v>2022</v>
      </c>
      <c r="E12" s="238" t="str">
        <f>RIGHT(data!C96,4)</f>
        <v>2023</v>
      </c>
      <c r="F12" s="1" t="str">
        <f>RIGHT('Prior Year'!C96,4)</f>
        <v>2022</v>
      </c>
      <c r="G12" s="238" t="str">
        <f>RIGHT(data!C96,4)</f>
        <v>2023</v>
      </c>
      <c r="H12" s="3"/>
    </row>
    <row r="13" spans="1:13" x14ac:dyDescent="0.35">
      <c r="A13" s="2"/>
      <c r="B13" s="238" t="s">
        <v>727</v>
      </c>
      <c r="C13" s="238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38" t="s">
        <v>363</v>
      </c>
      <c r="C14" s="238" t="s">
        <v>363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38">
        <f>ROUND(N('Prior Year'!C85), 0)</f>
        <v>4151042</v>
      </c>
      <c r="C15" s="238">
        <f>data!C85</f>
        <v>3829377.5799999996</v>
      </c>
      <c r="D15" s="238">
        <f>ROUND(N('Prior Year'!C59), 0)</f>
        <v>711</v>
      </c>
      <c r="E15" s="1">
        <f>data!C59</f>
        <v>711</v>
      </c>
      <c r="F15" s="215">
        <f t="shared" ref="F15:F59" si="0">IF(B15=0,"",IF(D15=0,"",B15/D15))</f>
        <v>5838.3150492264413</v>
      </c>
      <c r="G15" s="215">
        <f t="shared" ref="G15:G29" si="1">IF(C15=0,"",IF(E15=0,"",C15/E15))</f>
        <v>5385.9037693389582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738</v>
      </c>
      <c r="B16" s="238">
        <f>ROUND(N('Prior Year'!D85), 0)</f>
        <v>0</v>
      </c>
      <c r="C16" s="238">
        <f>data!D85</f>
        <v>0</v>
      </c>
      <c r="D16" s="238">
        <f>ROUND(N('Prior Year'!D59), 0)</f>
        <v>0</v>
      </c>
      <c r="E16" s="1">
        <f>data!D59</f>
        <v>0</v>
      </c>
      <c r="F16" s="215" t="str">
        <f t="shared" si="0"/>
        <v/>
      </c>
      <c r="G16" s="215" t="str">
        <f t="shared" si="1"/>
        <v/>
      </c>
      <c r="H16" s="6" t="str">
        <f t="shared" si="2"/>
        <v/>
      </c>
      <c r="I16" s="238" t="str">
        <f t="shared" si="3"/>
        <v/>
      </c>
      <c r="M16" s="7"/>
    </row>
    <row r="17" spans="1:13" x14ac:dyDescent="0.35">
      <c r="A17" s="1" t="s">
        <v>739</v>
      </c>
      <c r="B17" s="238">
        <f>ROUND(N('Prior Year'!E85), 0)</f>
        <v>9361399</v>
      </c>
      <c r="C17" s="238">
        <f>data!E85</f>
        <v>9126983.6300000008</v>
      </c>
      <c r="D17" s="238">
        <f>ROUND(N('Prior Year'!E59), 0)</f>
        <v>4340</v>
      </c>
      <c r="E17" s="1">
        <f>data!E59</f>
        <v>4445</v>
      </c>
      <c r="F17" s="215">
        <f t="shared" si="0"/>
        <v>2157.0043778801842</v>
      </c>
      <c r="G17" s="215">
        <f t="shared" si="1"/>
        <v>2053.3146524184481</v>
      </c>
      <c r="H17" s="6" t="str">
        <f t="shared" si="2"/>
        <v/>
      </c>
      <c r="I17" s="238" t="str">
        <f t="shared" si="3"/>
        <v/>
      </c>
      <c r="M17" s="7"/>
    </row>
    <row r="18" spans="1:13" x14ac:dyDescent="0.35">
      <c r="A18" s="1" t="s">
        <v>740</v>
      </c>
      <c r="B18" s="238">
        <f>ROUND(N('Prior Year'!F85), 0)</f>
        <v>0</v>
      </c>
      <c r="C18" s="238">
        <f>data!F85</f>
        <v>0</v>
      </c>
      <c r="D18" s="238">
        <f>ROUND(N('Prior Year'!F59), 0)</f>
        <v>0</v>
      </c>
      <c r="E18" s="1">
        <f>data!F59</f>
        <v>0</v>
      </c>
      <c r="F18" s="215" t="str">
        <f t="shared" si="0"/>
        <v/>
      </c>
      <c r="G18" s="215" t="str">
        <f t="shared" si="1"/>
        <v/>
      </c>
      <c r="H18" s="6" t="str">
        <f t="shared" si="2"/>
        <v/>
      </c>
      <c r="I18" s="238" t="str">
        <f t="shared" si="3"/>
        <v/>
      </c>
      <c r="M18" s="7"/>
    </row>
    <row r="19" spans="1:13" x14ac:dyDescent="0.35">
      <c r="A19" s="1" t="s">
        <v>741</v>
      </c>
      <c r="B19" s="238">
        <f>ROUND(N('Prior Year'!G85), 0)</f>
        <v>0</v>
      </c>
      <c r="C19" s="238">
        <f>data!G85</f>
        <v>0</v>
      </c>
      <c r="D19" s="238">
        <f>ROUND(N('Prior Year'!G59), 0)</f>
        <v>0</v>
      </c>
      <c r="E19" s="1">
        <f>data!G59</f>
        <v>0</v>
      </c>
      <c r="F19" s="215" t="str">
        <f t="shared" si="0"/>
        <v/>
      </c>
      <c r="G19" s="215" t="str">
        <f t="shared" si="1"/>
        <v/>
      </c>
      <c r="H19" s="6" t="str">
        <f t="shared" si="2"/>
        <v/>
      </c>
      <c r="I19" s="238" t="str">
        <f t="shared" si="3"/>
        <v/>
      </c>
      <c r="M19" s="7"/>
    </row>
    <row r="20" spans="1:13" x14ac:dyDescent="0.35">
      <c r="A20" s="1" t="s">
        <v>742</v>
      </c>
      <c r="B20" s="238">
        <f>ROUND(N('Prior Year'!H85), 0)</f>
        <v>0</v>
      </c>
      <c r="C20" s="238">
        <f>data!H85</f>
        <v>0</v>
      </c>
      <c r="D20" s="238">
        <f>ROUND(N('Prior Year'!H59), 0)</f>
        <v>0</v>
      </c>
      <c r="E20" s="1">
        <f>data!H59</f>
        <v>0</v>
      </c>
      <c r="F20" s="215" t="str">
        <f t="shared" si="0"/>
        <v/>
      </c>
      <c r="G20" s="215" t="str">
        <f t="shared" si="1"/>
        <v/>
      </c>
      <c r="H20" s="6" t="str">
        <f t="shared" si="2"/>
        <v/>
      </c>
      <c r="I20" s="238" t="str">
        <f t="shared" si="3"/>
        <v/>
      </c>
      <c r="M20" s="7"/>
    </row>
    <row r="21" spans="1:13" x14ac:dyDescent="0.35">
      <c r="A21" s="1" t="s">
        <v>743</v>
      </c>
      <c r="B21" s="238">
        <f>ROUND(N('Prior Year'!I85), 0)</f>
        <v>0</v>
      </c>
      <c r="C21" s="238">
        <f>data!I85</f>
        <v>0</v>
      </c>
      <c r="D21" s="238">
        <f>ROUND(N('Prior Year'!I59), 0)</f>
        <v>0</v>
      </c>
      <c r="E21" s="1">
        <f>data!I59</f>
        <v>0</v>
      </c>
      <c r="F21" s="215" t="str">
        <f t="shared" si="0"/>
        <v/>
      </c>
      <c r="G21" s="215" t="str">
        <f t="shared" si="1"/>
        <v/>
      </c>
      <c r="H21" s="6" t="str">
        <f t="shared" si="2"/>
        <v/>
      </c>
      <c r="I21" s="238" t="str">
        <f t="shared" si="3"/>
        <v/>
      </c>
      <c r="M21" s="7"/>
    </row>
    <row r="22" spans="1:13" x14ac:dyDescent="0.35">
      <c r="A22" s="1" t="s">
        <v>744</v>
      </c>
      <c r="B22" s="238">
        <f>ROUND(N('Prior Year'!J85), 0)</f>
        <v>76721</v>
      </c>
      <c r="C22" s="238">
        <f>data!J85</f>
        <v>46131.409999999996</v>
      </c>
      <c r="D22" s="238">
        <f>ROUND(N('Prior Year'!J59), 0)</f>
        <v>624</v>
      </c>
      <c r="E22" s="1">
        <f>data!J59</f>
        <v>672</v>
      </c>
      <c r="F22" s="215">
        <f t="shared" si="0"/>
        <v>122.95032051282051</v>
      </c>
      <c r="G22" s="215">
        <f t="shared" si="1"/>
        <v>68.647931547619038</v>
      </c>
      <c r="H22" s="6">
        <f t="shared" si="2"/>
        <v>-0.44166122331937441</v>
      </c>
      <c r="I22" s="238" t="s">
        <v>1394</v>
      </c>
      <c r="M22" s="7"/>
    </row>
    <row r="23" spans="1:13" x14ac:dyDescent="0.35">
      <c r="A23" s="1" t="s">
        <v>745</v>
      </c>
      <c r="B23" s="238">
        <f>ROUND(N('Prior Year'!K85), 0)</f>
        <v>0</v>
      </c>
      <c r="C23" s="238">
        <f>data!K85</f>
        <v>0</v>
      </c>
      <c r="D23" s="238">
        <f>ROUND(N('Prior Year'!K59), 0)</f>
        <v>0</v>
      </c>
      <c r="E23" s="1">
        <f>data!K59</f>
        <v>0</v>
      </c>
      <c r="F23" s="215" t="str">
        <f t="shared" si="0"/>
        <v/>
      </c>
      <c r="G23" s="215" t="str">
        <f t="shared" si="1"/>
        <v/>
      </c>
      <c r="H23" s="6" t="str">
        <f t="shared" si="2"/>
        <v/>
      </c>
      <c r="I23" s="238" t="str">
        <f t="shared" si="3"/>
        <v/>
      </c>
      <c r="M23" s="7"/>
    </row>
    <row r="24" spans="1:13" x14ac:dyDescent="0.35">
      <c r="A24" s="1" t="s">
        <v>746</v>
      </c>
      <c r="B24" s="238">
        <f>ROUND(N('Prior Year'!L85), 0)</f>
        <v>0</v>
      </c>
      <c r="C24" s="238">
        <f>data!L85</f>
        <v>0</v>
      </c>
      <c r="D24" s="238">
        <f>ROUND(N('Prior Year'!L59), 0)</f>
        <v>0</v>
      </c>
      <c r="E24" s="1">
        <f>data!L59</f>
        <v>0</v>
      </c>
      <c r="F24" s="215" t="str">
        <f t="shared" si="0"/>
        <v/>
      </c>
      <c r="G24" s="215" t="str">
        <f t="shared" si="1"/>
        <v/>
      </c>
      <c r="H24" s="6" t="str">
        <f t="shared" si="2"/>
        <v/>
      </c>
      <c r="I24" s="238" t="str">
        <f t="shared" si="3"/>
        <v/>
      </c>
      <c r="M24" s="7"/>
    </row>
    <row r="25" spans="1:13" x14ac:dyDescent="0.35">
      <c r="A25" s="1" t="s">
        <v>747</v>
      </c>
      <c r="B25" s="238">
        <f>ROUND(N('Prior Year'!M85), 0)</f>
        <v>0</v>
      </c>
      <c r="C25" s="238">
        <f>data!M85</f>
        <v>0</v>
      </c>
      <c r="D25" s="238">
        <f>ROUND(N('Prior Year'!M59), 0)</f>
        <v>0</v>
      </c>
      <c r="E25" s="1">
        <f>data!M59</f>
        <v>0</v>
      </c>
      <c r="F25" s="215" t="str">
        <f t="shared" si="0"/>
        <v/>
      </c>
      <c r="G25" s="215" t="str">
        <f t="shared" si="1"/>
        <v/>
      </c>
      <c r="H25" s="6" t="str">
        <f t="shared" si="2"/>
        <v/>
      </c>
      <c r="I25" s="238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38">
        <f>data!N85</f>
        <v>0</v>
      </c>
      <c r="D26" s="238">
        <f>ROUND(N('Prior Year'!N59), 0)</f>
        <v>0</v>
      </c>
      <c r="E26" s="1">
        <f>data!N59</f>
        <v>0</v>
      </c>
      <c r="F26" s="215" t="str">
        <f t="shared" si="0"/>
        <v/>
      </c>
      <c r="G26" s="215" t="str">
        <f t="shared" si="1"/>
        <v/>
      </c>
      <c r="H26" s="6" t="str">
        <f t="shared" si="2"/>
        <v/>
      </c>
      <c r="I26" s="238" t="str">
        <f t="shared" si="3"/>
        <v/>
      </c>
      <c r="M26" s="7"/>
    </row>
    <row r="27" spans="1:13" x14ac:dyDescent="0.35">
      <c r="A27" s="1" t="s">
        <v>749</v>
      </c>
      <c r="B27" s="238">
        <f>ROUND(N('Prior Year'!O85), 0)</f>
        <v>194841</v>
      </c>
      <c r="C27" s="238">
        <f>data!O85</f>
        <v>194635.97000000003</v>
      </c>
      <c r="D27" s="238">
        <f>ROUND(N('Prior Year'!O59), 0)</f>
        <v>1126</v>
      </c>
      <c r="E27" s="1">
        <f>data!O59</f>
        <v>1257</v>
      </c>
      <c r="F27" s="215">
        <f t="shared" si="0"/>
        <v>173.03818827708704</v>
      </c>
      <c r="G27" s="215">
        <f t="shared" si="1"/>
        <v>154.84166268894194</v>
      </c>
      <c r="H27" s="6" t="str">
        <f t="shared" si="2"/>
        <v/>
      </c>
      <c r="I27" s="238" t="str">
        <f t="shared" si="3"/>
        <v/>
      </c>
      <c r="M27" s="7"/>
    </row>
    <row r="28" spans="1:13" x14ac:dyDescent="0.35">
      <c r="A28" s="1" t="s">
        <v>750</v>
      </c>
      <c r="B28" s="238">
        <f>ROUND(N('Prior Year'!P85), 0)</f>
        <v>3970765</v>
      </c>
      <c r="C28" s="238">
        <f>data!P85</f>
        <v>4207952.3199999994</v>
      </c>
      <c r="D28" s="238">
        <f>ROUND(N('Prior Year'!P59), 0)</f>
        <v>143380</v>
      </c>
      <c r="E28" s="1">
        <f>data!P59</f>
        <v>0</v>
      </c>
      <c r="F28" s="215">
        <f t="shared" si="0"/>
        <v>27.693994978379131</v>
      </c>
      <c r="G28" s="215" t="str">
        <f t="shared" si="1"/>
        <v/>
      </c>
      <c r="H28" s="6" t="str">
        <f t="shared" si="2"/>
        <v/>
      </c>
      <c r="I28" s="238" t="str">
        <f t="shared" si="3"/>
        <v/>
      </c>
      <c r="M28" s="7"/>
    </row>
    <row r="29" spans="1:13" x14ac:dyDescent="0.35">
      <c r="A29" s="1" t="s">
        <v>751</v>
      </c>
      <c r="B29" s="238">
        <f>ROUND(N('Prior Year'!Q85), 0)</f>
        <v>2534887</v>
      </c>
      <c r="C29" s="238">
        <f>data!Q85</f>
        <v>2407877.38</v>
      </c>
      <c r="D29" s="238">
        <f>ROUND(N('Prior Year'!Q59), 0)</f>
        <v>111131</v>
      </c>
      <c r="E29" s="1">
        <f>data!Q59</f>
        <v>133943</v>
      </c>
      <c r="F29" s="215">
        <f t="shared" si="0"/>
        <v>22.809900027895008</v>
      </c>
      <c r="G29" s="215">
        <f t="shared" si="1"/>
        <v>17.97688106134699</v>
      </c>
      <c r="H29" s="6" t="str">
        <f t="shared" si="2"/>
        <v/>
      </c>
      <c r="I29" s="238" t="str">
        <f t="shared" si="3"/>
        <v/>
      </c>
      <c r="M29" s="7"/>
    </row>
    <row r="30" spans="1:13" x14ac:dyDescent="0.35">
      <c r="A30" s="1" t="s">
        <v>752</v>
      </c>
      <c r="B30" s="238">
        <f>ROUND(N('Prior Year'!R85), 0)</f>
        <v>-733701</v>
      </c>
      <c r="C30" s="238">
        <f>data!R85</f>
        <v>1472899.1500000001</v>
      </c>
      <c r="D30" s="238">
        <f>ROUND(N('Prior Year'!R59), 0)</f>
        <v>143380</v>
      </c>
      <c r="E30" s="1">
        <f>data!R59</f>
        <v>0</v>
      </c>
      <c r="F30" s="215">
        <f t="shared" si="0"/>
        <v>-5.1171781280513322</v>
      </c>
      <c r="G30" s="215" t="str">
        <f>IFERROR(IF(C30=0,"",IF(E30=0,"",C30/E30)),"")</f>
        <v/>
      </c>
      <c r="H30" s="6" t="str">
        <f t="shared" si="2"/>
        <v/>
      </c>
      <c r="I30" s="238" t="str">
        <f t="shared" si="3"/>
        <v/>
      </c>
      <c r="M30" s="7"/>
    </row>
    <row r="31" spans="1:13" x14ac:dyDescent="0.35">
      <c r="A31" s="1" t="s">
        <v>753</v>
      </c>
      <c r="B31" s="238">
        <f>ROUND(N('Prior Year'!S85), 0)</f>
        <v>188694</v>
      </c>
      <c r="C31" s="238">
        <f>data!S85</f>
        <v>4352740.25</v>
      </c>
      <c r="D31" s="238" t="s">
        <v>754</v>
      </c>
      <c r="E31" s="4" t="s">
        <v>754</v>
      </c>
      <c r="F31" s="215" t="s">
        <v>5</v>
      </c>
      <c r="G31" s="215" t="str">
        <f t="shared" ref="G31:G32" si="4">IFERROR(IF(C31=0,"",IF(E31=0,"",C31/E31)),"")</f>
        <v/>
      </c>
      <c r="H31" s="6" t="s">
        <v>5</v>
      </c>
      <c r="I31" s="238" t="str">
        <f t="shared" si="3"/>
        <v/>
      </c>
      <c r="M31" s="7"/>
    </row>
    <row r="32" spans="1:13" x14ac:dyDescent="0.35">
      <c r="A32" s="1" t="s">
        <v>755</v>
      </c>
      <c r="B32" s="238">
        <f>ROUND(N('Prior Year'!T85), 0)</f>
        <v>0</v>
      </c>
      <c r="C32" s="238">
        <f>data!T85</f>
        <v>0</v>
      </c>
      <c r="D32" s="238" t="s">
        <v>754</v>
      </c>
      <c r="E32" s="4" t="s">
        <v>754</v>
      </c>
      <c r="F32" s="215" t="s">
        <v>5</v>
      </c>
      <c r="G32" s="215" t="str">
        <f t="shared" si="4"/>
        <v/>
      </c>
      <c r="H32" s="6" t="s">
        <v>5</v>
      </c>
      <c r="I32" s="238" t="str">
        <f t="shared" si="3"/>
        <v/>
      </c>
      <c r="M32" s="7"/>
    </row>
    <row r="33" spans="1:13" x14ac:dyDescent="0.35">
      <c r="A33" s="1" t="s">
        <v>756</v>
      </c>
      <c r="B33" s="238">
        <f>ROUND(N('Prior Year'!U85), 0)</f>
        <v>6838372</v>
      </c>
      <c r="C33" s="238">
        <f>data!U85</f>
        <v>7437124.129999999</v>
      </c>
      <c r="D33" s="238">
        <f>ROUND(N('Prior Year'!U59), 0)</f>
        <v>306871</v>
      </c>
      <c r="E33" s="1">
        <f>data!U59</f>
        <v>326130</v>
      </c>
      <c r="F33" s="215">
        <f t="shared" si="0"/>
        <v>22.284191077032368</v>
      </c>
      <c r="G33" s="215">
        <f t="shared" ref="G33:G69" si="5">IF(C33=0,"",IF(E33=0,"",C33/E33))</f>
        <v>22.804170514825373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38" t="str">
        <f t="shared" si="3"/>
        <v/>
      </c>
      <c r="M33" s="7"/>
    </row>
    <row r="34" spans="1:13" x14ac:dyDescent="0.35">
      <c r="A34" s="1" t="s">
        <v>757</v>
      </c>
      <c r="B34" s="238">
        <f>ROUND(N('Prior Year'!V85), 0)</f>
        <v>0</v>
      </c>
      <c r="C34" s="238">
        <f>data!V85</f>
        <v>0</v>
      </c>
      <c r="D34" s="238">
        <f>ROUND(N('Prior Year'!V59), 0)</f>
        <v>0</v>
      </c>
      <c r="E34" s="1">
        <f>data!V59</f>
        <v>0</v>
      </c>
      <c r="F34" s="215" t="str">
        <f t="shared" si="0"/>
        <v/>
      </c>
      <c r="G34" s="215" t="str">
        <f t="shared" si="5"/>
        <v/>
      </c>
      <c r="H34" s="6" t="str">
        <f t="shared" si="6"/>
        <v/>
      </c>
      <c r="I34" s="238" t="str">
        <f t="shared" si="3"/>
        <v/>
      </c>
      <c r="M34" s="7"/>
    </row>
    <row r="35" spans="1:13" x14ac:dyDescent="0.35">
      <c r="A35" s="1" t="s">
        <v>758</v>
      </c>
      <c r="B35" s="238">
        <f>ROUND(N('Prior Year'!W85), 0)</f>
        <v>464427</v>
      </c>
      <c r="C35" s="238">
        <f>data!W85</f>
        <v>404984.59</v>
      </c>
      <c r="D35" s="238">
        <f>ROUND(N('Prior Year'!W59), 0)</f>
        <v>1945</v>
      </c>
      <c r="E35" s="1">
        <f>data!W59</f>
        <v>2058</v>
      </c>
      <c r="F35" s="215">
        <f t="shared" si="0"/>
        <v>238.77994858611825</v>
      </c>
      <c r="G35" s="215">
        <f t="shared" si="5"/>
        <v>196.78551506316813</v>
      </c>
      <c r="H35" s="6" t="str">
        <f t="shared" si="6"/>
        <v/>
      </c>
      <c r="I35" s="238" t="str">
        <f t="shared" si="3"/>
        <v/>
      </c>
      <c r="M35" s="7"/>
    </row>
    <row r="36" spans="1:13" x14ac:dyDescent="0.35">
      <c r="A36" s="1" t="s">
        <v>759</v>
      </c>
      <c r="B36" s="238">
        <f>ROUND(N('Prior Year'!X85), 0)</f>
        <v>943293</v>
      </c>
      <c r="C36" s="238">
        <f>data!X85</f>
        <v>952443.55</v>
      </c>
      <c r="D36" s="238">
        <f>ROUND(N('Prior Year'!X59), 0)</f>
        <v>36639</v>
      </c>
      <c r="E36" s="1">
        <f>data!X59</f>
        <v>38594</v>
      </c>
      <c r="F36" s="215">
        <f t="shared" si="0"/>
        <v>25.745598951936461</v>
      </c>
      <c r="G36" s="215">
        <f t="shared" si="5"/>
        <v>24.678539410271028</v>
      </c>
      <c r="H36" s="6" t="str">
        <f t="shared" si="6"/>
        <v/>
      </c>
      <c r="I36" s="238" t="str">
        <f t="shared" si="3"/>
        <v/>
      </c>
      <c r="M36" s="7"/>
    </row>
    <row r="37" spans="1:13" x14ac:dyDescent="0.35">
      <c r="A37" s="1" t="s">
        <v>760</v>
      </c>
      <c r="B37" s="238">
        <f>ROUND(N('Prior Year'!Y85), 0)</f>
        <v>4134573</v>
      </c>
      <c r="C37" s="238">
        <f>data!Y85</f>
        <v>4095479.32</v>
      </c>
      <c r="D37" s="238">
        <f>ROUND(N('Prior Year'!Y59), 0)</f>
        <v>26121</v>
      </c>
      <c r="E37" s="1">
        <f>data!Y59</f>
        <v>0</v>
      </c>
      <c r="F37" s="215">
        <f t="shared" si="0"/>
        <v>158.28540254967268</v>
      </c>
      <c r="G37" s="215" t="str">
        <f t="shared" si="5"/>
        <v/>
      </c>
      <c r="H37" s="6" t="str">
        <f t="shared" si="6"/>
        <v/>
      </c>
      <c r="I37" s="238" t="str">
        <f t="shared" si="3"/>
        <v/>
      </c>
      <c r="M37" s="7"/>
    </row>
    <row r="38" spans="1:13" x14ac:dyDescent="0.35">
      <c r="A38" s="1" t="s">
        <v>761</v>
      </c>
      <c r="B38" s="238">
        <f>ROUND(N('Prior Year'!Z85), 0)</f>
        <v>0</v>
      </c>
      <c r="C38" s="238">
        <f>data!Z85</f>
        <v>0</v>
      </c>
      <c r="D38" s="238">
        <f>ROUND(N('Prior Year'!Z59), 0)</f>
        <v>0</v>
      </c>
      <c r="E38" s="1">
        <f>data!Z59</f>
        <v>0</v>
      </c>
      <c r="F38" s="215" t="str">
        <f t="shared" si="0"/>
        <v/>
      </c>
      <c r="G38" s="215" t="str">
        <f t="shared" si="5"/>
        <v/>
      </c>
      <c r="H38" s="6" t="str">
        <f t="shared" si="6"/>
        <v/>
      </c>
      <c r="I38" s="238" t="str">
        <f t="shared" si="3"/>
        <v/>
      </c>
      <c r="M38" s="7"/>
    </row>
    <row r="39" spans="1:13" x14ac:dyDescent="0.35">
      <c r="A39" s="1" t="s">
        <v>762</v>
      </c>
      <c r="B39" s="238">
        <f>ROUND(N('Prior Year'!AA85), 0)</f>
        <v>173655</v>
      </c>
      <c r="C39" s="238">
        <f>data!AA85</f>
        <v>245463.35000000003</v>
      </c>
      <c r="D39" s="238">
        <f>ROUND(N('Prior Year'!AA59), 0)</f>
        <v>62</v>
      </c>
      <c r="E39" s="1">
        <f>data!AA59</f>
        <v>831</v>
      </c>
      <c r="F39" s="215">
        <f t="shared" si="0"/>
        <v>2800.8870967741937</v>
      </c>
      <c r="G39" s="215">
        <f t="shared" si="5"/>
        <v>295.3830926594465</v>
      </c>
      <c r="H39" s="6">
        <f t="shared" si="6"/>
        <v>-0.89453945037640326</v>
      </c>
      <c r="I39" s="238" t="s">
        <v>1395</v>
      </c>
      <c r="M39" s="7"/>
    </row>
    <row r="40" spans="1:13" x14ac:dyDescent="0.35">
      <c r="A40" s="1" t="s">
        <v>763</v>
      </c>
      <c r="B40" s="238">
        <f>ROUND(N('Prior Year'!AB85), 0)</f>
        <v>2796559</v>
      </c>
      <c r="C40" s="238">
        <f>data!AB85</f>
        <v>2099588.2600000007</v>
      </c>
      <c r="D40" s="238" t="s">
        <v>754</v>
      </c>
      <c r="E40" s="4" t="s">
        <v>754</v>
      </c>
      <c r="F40" s="215" t="s">
        <v>5</v>
      </c>
      <c r="G40" s="215" t="str">
        <f>IFERROR(IF(C40=0,"",IF(E40=0,"",C40/E40)),"")</f>
        <v/>
      </c>
      <c r="H40" s="6" t="s">
        <v>5</v>
      </c>
      <c r="I40" s="238" t="str">
        <f t="shared" si="3"/>
        <v/>
      </c>
      <c r="M40" s="7"/>
    </row>
    <row r="41" spans="1:13" x14ac:dyDescent="0.35">
      <c r="A41" s="1" t="s">
        <v>764</v>
      </c>
      <c r="B41" s="238">
        <f>ROUND(N('Prior Year'!AC85), 0)</f>
        <v>1517813</v>
      </c>
      <c r="C41" s="238">
        <f>data!AC85</f>
        <v>1568008.4999999998</v>
      </c>
      <c r="D41" s="238">
        <f>ROUND(N('Prior Year'!AC59), 0)</f>
        <v>4269</v>
      </c>
      <c r="E41" s="1">
        <f>data!AC59</f>
        <v>4167</v>
      </c>
      <c r="F41" s="215">
        <f t="shared" si="0"/>
        <v>355.54298430545794</v>
      </c>
      <c r="G41" s="215">
        <f t="shared" si="5"/>
        <v>376.29193664506835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38" t="str">
        <f t="shared" si="3"/>
        <v/>
      </c>
      <c r="M41" s="7"/>
    </row>
    <row r="42" spans="1:13" x14ac:dyDescent="0.35">
      <c r="A42" s="1" t="s">
        <v>765</v>
      </c>
      <c r="B42" s="238">
        <f>ROUND(N('Prior Year'!AD85), 0)</f>
        <v>0</v>
      </c>
      <c r="C42" s="238">
        <f>data!AD85</f>
        <v>0</v>
      </c>
      <c r="D42" s="238">
        <f>ROUND(N('Prior Year'!AD59), 0)</f>
        <v>0</v>
      </c>
      <c r="E42" s="1">
        <f>data!AD59</f>
        <v>0</v>
      </c>
      <c r="F42" s="215" t="str">
        <f t="shared" si="0"/>
        <v/>
      </c>
      <c r="G42" s="215" t="str">
        <f t="shared" si="5"/>
        <v/>
      </c>
      <c r="H42" s="6" t="str">
        <f t="shared" si="7"/>
        <v/>
      </c>
      <c r="I42" s="238" t="str">
        <f t="shared" si="3"/>
        <v/>
      </c>
      <c r="M42" s="7"/>
    </row>
    <row r="43" spans="1:13" x14ac:dyDescent="0.35">
      <c r="A43" s="1" t="s">
        <v>766</v>
      </c>
      <c r="B43" s="238">
        <f>ROUND(N('Prior Year'!AE85), 0)</f>
        <v>3103397</v>
      </c>
      <c r="C43" s="238">
        <f>data!AE85</f>
        <v>3188611.8999999994</v>
      </c>
      <c r="D43" s="238">
        <f>ROUND(N('Prior Year'!AE59), 0)</f>
        <v>19464</v>
      </c>
      <c r="E43" s="1">
        <f>data!AE59</f>
        <v>20823</v>
      </c>
      <c r="F43" s="215">
        <f t="shared" si="0"/>
        <v>159.44292026304973</v>
      </c>
      <c r="G43" s="215">
        <f t="shared" si="5"/>
        <v>153.12932334437878</v>
      </c>
      <c r="H43" s="6" t="str">
        <f t="shared" si="7"/>
        <v/>
      </c>
      <c r="I43" s="238" t="str">
        <f t="shared" si="3"/>
        <v/>
      </c>
      <c r="M43" s="7"/>
    </row>
    <row r="44" spans="1:13" x14ac:dyDescent="0.35">
      <c r="A44" s="1" t="s">
        <v>767</v>
      </c>
      <c r="B44" s="238">
        <f>ROUND(N('Prior Year'!AF85), 0)</f>
        <v>0</v>
      </c>
      <c r="C44" s="238">
        <f>data!AF85</f>
        <v>0</v>
      </c>
      <c r="D44" s="238">
        <f>ROUND(N('Prior Year'!AF59), 0)</f>
        <v>0</v>
      </c>
      <c r="E44" s="1">
        <f>data!AF59</f>
        <v>0</v>
      </c>
      <c r="F44" s="215" t="str">
        <f t="shared" si="0"/>
        <v/>
      </c>
      <c r="G44" s="215" t="str">
        <f t="shared" si="5"/>
        <v/>
      </c>
      <c r="H44" s="6" t="str">
        <f t="shared" si="7"/>
        <v/>
      </c>
      <c r="I44" s="238" t="str">
        <f t="shared" si="3"/>
        <v/>
      </c>
      <c r="M44" s="7"/>
    </row>
    <row r="45" spans="1:13" x14ac:dyDescent="0.35">
      <c r="A45" s="1" t="s">
        <v>768</v>
      </c>
      <c r="B45" s="238">
        <f>ROUND(N('Prior Year'!AG85), 0)</f>
        <v>9577091</v>
      </c>
      <c r="C45" s="238">
        <f>data!AG85</f>
        <v>10298935.840000004</v>
      </c>
      <c r="D45" s="238">
        <f>ROUND(N('Prior Year'!AG59), 0)</f>
        <v>17670</v>
      </c>
      <c r="E45" s="1">
        <f>data!AG59</f>
        <v>17566</v>
      </c>
      <c r="F45" s="215">
        <f t="shared" si="0"/>
        <v>541.99722693831347</v>
      </c>
      <c r="G45" s="215">
        <f t="shared" si="5"/>
        <v>586.29943299555975</v>
      </c>
      <c r="H45" s="6" t="str">
        <f t="shared" si="7"/>
        <v/>
      </c>
      <c r="I45" s="238" t="str">
        <f t="shared" si="3"/>
        <v/>
      </c>
      <c r="M45" s="7"/>
    </row>
    <row r="46" spans="1:13" x14ac:dyDescent="0.35">
      <c r="A46" s="1" t="s">
        <v>769</v>
      </c>
      <c r="B46" s="238">
        <f>ROUND(N('Prior Year'!AH85), 0)</f>
        <v>0</v>
      </c>
      <c r="C46" s="238">
        <f>data!AH85</f>
        <v>0</v>
      </c>
      <c r="D46" s="238">
        <f>ROUND(N('Prior Year'!AH59), 0)</f>
        <v>0</v>
      </c>
      <c r="E46" s="1">
        <f>data!AH59</f>
        <v>0</v>
      </c>
      <c r="F46" s="215" t="str">
        <f t="shared" si="0"/>
        <v/>
      </c>
      <c r="G46" s="215" t="str">
        <f t="shared" si="5"/>
        <v/>
      </c>
      <c r="H46" s="6" t="str">
        <f t="shared" si="7"/>
        <v/>
      </c>
      <c r="I46" s="238" t="str">
        <f t="shared" si="3"/>
        <v/>
      </c>
      <c r="M46" s="7"/>
    </row>
    <row r="47" spans="1:13" x14ac:dyDescent="0.35">
      <c r="A47" s="1" t="s">
        <v>770</v>
      </c>
      <c r="B47" s="238">
        <f>ROUND(N('Prior Year'!AI85), 0)</f>
        <v>0</v>
      </c>
      <c r="C47" s="238">
        <f>data!AI85</f>
        <v>0</v>
      </c>
      <c r="D47" s="238">
        <f>ROUND(N('Prior Year'!AI59), 0)</f>
        <v>0</v>
      </c>
      <c r="E47" s="1">
        <f>data!AI59</f>
        <v>0</v>
      </c>
      <c r="F47" s="215" t="str">
        <f t="shared" si="0"/>
        <v/>
      </c>
      <c r="G47" s="215" t="str">
        <f t="shared" si="5"/>
        <v/>
      </c>
      <c r="H47" s="6" t="str">
        <f t="shared" si="7"/>
        <v/>
      </c>
      <c r="I47" s="238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38">
        <f>ROUND(N('Prior Year'!AJ85), 0)</f>
        <v>0</v>
      </c>
      <c r="C48" s="238">
        <f>data!AJ85</f>
        <v>0</v>
      </c>
      <c r="D48" s="238">
        <f>ROUND(N('Prior Year'!AJ59), 0)</f>
        <v>0</v>
      </c>
      <c r="E48" s="1">
        <f>data!AJ59</f>
        <v>0</v>
      </c>
      <c r="F48" s="215" t="str">
        <f t="shared" si="0"/>
        <v/>
      </c>
      <c r="G48" s="215" t="str">
        <f t="shared" si="5"/>
        <v/>
      </c>
      <c r="H48" s="6" t="str">
        <f t="shared" si="7"/>
        <v/>
      </c>
      <c r="I48" s="238" t="str">
        <f t="shared" si="8"/>
        <v/>
      </c>
      <c r="M48" s="7"/>
    </row>
    <row r="49" spans="1:13" x14ac:dyDescent="0.35">
      <c r="A49" s="1" t="s">
        <v>772</v>
      </c>
      <c r="B49" s="238">
        <f>ROUND(N('Prior Year'!AK85), 0)</f>
        <v>0</v>
      </c>
      <c r="C49" s="238">
        <f>data!AK85</f>
        <v>0</v>
      </c>
      <c r="D49" s="238">
        <f>ROUND(N('Prior Year'!AK59), 0)</f>
        <v>0</v>
      </c>
      <c r="E49" s="1">
        <f>data!AK59</f>
        <v>0</v>
      </c>
      <c r="F49" s="215" t="str">
        <f t="shared" si="0"/>
        <v/>
      </c>
      <c r="G49" s="215" t="str">
        <f t="shared" si="5"/>
        <v/>
      </c>
      <c r="H49" s="6" t="str">
        <f t="shared" si="7"/>
        <v/>
      </c>
      <c r="I49" s="238" t="str">
        <f t="shared" si="8"/>
        <v/>
      </c>
      <c r="M49" s="7"/>
    </row>
    <row r="50" spans="1:13" x14ac:dyDescent="0.35">
      <c r="A50" s="1" t="s">
        <v>773</v>
      </c>
      <c r="B50" s="238">
        <f>ROUND(N('Prior Year'!AL85), 0)</f>
        <v>0</v>
      </c>
      <c r="C50" s="238">
        <f>data!AL85</f>
        <v>0</v>
      </c>
      <c r="D50" s="238">
        <f>ROUND(N('Prior Year'!AL59), 0)</f>
        <v>0</v>
      </c>
      <c r="E50" s="1">
        <f>data!AL59</f>
        <v>0</v>
      </c>
      <c r="F50" s="215" t="str">
        <f t="shared" si="0"/>
        <v/>
      </c>
      <c r="G50" s="215" t="str">
        <f t="shared" si="5"/>
        <v/>
      </c>
      <c r="H50" s="6" t="str">
        <f t="shared" si="7"/>
        <v/>
      </c>
      <c r="I50" s="238" t="str">
        <f t="shared" si="8"/>
        <v/>
      </c>
      <c r="M50" s="7"/>
    </row>
    <row r="51" spans="1:13" x14ac:dyDescent="0.35">
      <c r="A51" s="1" t="s">
        <v>774</v>
      </c>
      <c r="B51" s="238">
        <f>ROUND(N('Prior Year'!AM85), 0)</f>
        <v>0</v>
      </c>
      <c r="C51" s="238">
        <f>data!AM85</f>
        <v>0</v>
      </c>
      <c r="D51" s="238">
        <f>ROUND(N('Prior Year'!AM59), 0)</f>
        <v>0</v>
      </c>
      <c r="E51" s="1">
        <f>data!AM59</f>
        <v>0</v>
      </c>
      <c r="F51" s="215" t="str">
        <f t="shared" si="0"/>
        <v/>
      </c>
      <c r="G51" s="215" t="str">
        <f t="shared" si="5"/>
        <v/>
      </c>
      <c r="H51" s="6" t="str">
        <f t="shared" si="7"/>
        <v/>
      </c>
      <c r="I51" s="238" t="str">
        <f t="shared" si="8"/>
        <v/>
      </c>
      <c r="M51" s="7"/>
    </row>
    <row r="52" spans="1:13" x14ac:dyDescent="0.35">
      <c r="A52" s="1" t="s">
        <v>775</v>
      </c>
      <c r="B52" s="238">
        <f>ROUND(N('Prior Year'!AN85), 0)</f>
        <v>0</v>
      </c>
      <c r="C52" s="238">
        <f>data!AN85</f>
        <v>0</v>
      </c>
      <c r="D52" s="238">
        <f>ROUND(N('Prior Year'!AN59), 0)</f>
        <v>0</v>
      </c>
      <c r="E52" s="1">
        <f>data!AN59</f>
        <v>0</v>
      </c>
      <c r="F52" s="215" t="str">
        <f t="shared" si="0"/>
        <v/>
      </c>
      <c r="G52" s="215" t="str">
        <f t="shared" si="5"/>
        <v/>
      </c>
      <c r="H52" s="6" t="str">
        <f t="shared" si="7"/>
        <v/>
      </c>
      <c r="I52" s="238" t="str">
        <f t="shared" si="8"/>
        <v/>
      </c>
      <c r="M52" s="7"/>
    </row>
    <row r="53" spans="1:13" x14ac:dyDescent="0.35">
      <c r="A53" s="1" t="s">
        <v>776</v>
      </c>
      <c r="B53" s="238">
        <f>ROUND(N('Prior Year'!AO85), 0)</f>
        <v>0</v>
      </c>
      <c r="C53" s="238">
        <f>data!AO85</f>
        <v>0</v>
      </c>
      <c r="D53" s="238">
        <f>ROUND(N('Prior Year'!AO59), 0)</f>
        <v>0</v>
      </c>
      <c r="E53" s="1">
        <f>data!AO59</f>
        <v>0</v>
      </c>
      <c r="F53" s="215" t="str">
        <f t="shared" si="0"/>
        <v/>
      </c>
      <c r="G53" s="215" t="str">
        <f t="shared" si="5"/>
        <v/>
      </c>
      <c r="H53" s="6" t="str">
        <f t="shared" si="7"/>
        <v/>
      </c>
      <c r="I53" s="238" t="str">
        <f t="shared" si="8"/>
        <v/>
      </c>
      <c r="M53" s="7"/>
    </row>
    <row r="54" spans="1:13" x14ac:dyDescent="0.35">
      <c r="A54" s="1" t="s">
        <v>777</v>
      </c>
      <c r="B54" s="238">
        <f>ROUND(N('Prior Year'!AP85), 0)</f>
        <v>29580001</v>
      </c>
      <c r="C54" s="238">
        <f>data!AP85</f>
        <v>32355482.57</v>
      </c>
      <c r="D54" s="238">
        <f>ROUND(N('Prior Year'!AP59), 0)</f>
        <v>90556</v>
      </c>
      <c r="E54" s="1">
        <f>data!AP59</f>
        <v>90971</v>
      </c>
      <c r="F54" s="215">
        <f t="shared" si="0"/>
        <v>326.64871460753568</v>
      </c>
      <c r="G54" s="215">
        <f t="shared" si="5"/>
        <v>355.66809829506104</v>
      </c>
      <c r="H54" s="6" t="str">
        <f t="shared" si="7"/>
        <v/>
      </c>
      <c r="I54" s="238" t="str">
        <f t="shared" si="8"/>
        <v/>
      </c>
      <c r="M54" s="7"/>
    </row>
    <row r="55" spans="1:13" x14ac:dyDescent="0.35">
      <c r="A55" s="1" t="s">
        <v>778</v>
      </c>
      <c r="B55" s="238">
        <f>ROUND(N('Prior Year'!AQ85), 0)</f>
        <v>0</v>
      </c>
      <c r="C55" s="238">
        <f>data!AQ85</f>
        <v>0</v>
      </c>
      <c r="D55" s="238">
        <f>ROUND(N('Prior Year'!AQ59), 0)</f>
        <v>0</v>
      </c>
      <c r="E55" s="1">
        <f>data!AQ59</f>
        <v>0</v>
      </c>
      <c r="F55" s="215" t="str">
        <f t="shared" si="0"/>
        <v/>
      </c>
      <c r="G55" s="215" t="str">
        <f t="shared" si="5"/>
        <v/>
      </c>
      <c r="H55" s="6" t="str">
        <f t="shared" si="7"/>
        <v/>
      </c>
      <c r="I55" s="238" t="str">
        <f t="shared" si="8"/>
        <v/>
      </c>
      <c r="M55" s="7"/>
    </row>
    <row r="56" spans="1:13" x14ac:dyDescent="0.35">
      <c r="A56" s="1" t="s">
        <v>779</v>
      </c>
      <c r="B56" s="238">
        <f>ROUND(N('Prior Year'!AR85), 0)</f>
        <v>0</v>
      </c>
      <c r="C56" s="238">
        <f>data!AR85</f>
        <v>0</v>
      </c>
      <c r="D56" s="238">
        <f>ROUND(N('Prior Year'!AR59), 0)</f>
        <v>0</v>
      </c>
      <c r="E56" s="1">
        <f>data!AR59</f>
        <v>0</v>
      </c>
      <c r="F56" s="215" t="str">
        <f t="shared" si="0"/>
        <v/>
      </c>
      <c r="G56" s="215" t="str">
        <f t="shared" si="5"/>
        <v/>
      </c>
      <c r="H56" s="6" t="str">
        <f t="shared" si="7"/>
        <v/>
      </c>
      <c r="I56" s="238" t="str">
        <f t="shared" si="8"/>
        <v/>
      </c>
      <c r="M56" s="7"/>
    </row>
    <row r="57" spans="1:13" x14ac:dyDescent="0.35">
      <c r="A57" s="1" t="s">
        <v>780</v>
      </c>
      <c r="B57" s="238">
        <f>ROUND(N('Prior Year'!AS85), 0)</f>
        <v>0</v>
      </c>
      <c r="C57" s="238">
        <f>data!AS85</f>
        <v>0</v>
      </c>
      <c r="D57" s="238">
        <f>ROUND(N('Prior Year'!AS59), 0)</f>
        <v>0</v>
      </c>
      <c r="E57" s="1">
        <f>data!AS59</f>
        <v>0</v>
      </c>
      <c r="F57" s="215" t="str">
        <f t="shared" si="0"/>
        <v/>
      </c>
      <c r="G57" s="215" t="str">
        <f t="shared" si="5"/>
        <v/>
      </c>
      <c r="H57" s="6" t="str">
        <f t="shared" si="7"/>
        <v/>
      </c>
      <c r="I57" s="238" t="str">
        <f t="shared" si="8"/>
        <v/>
      </c>
      <c r="M57" s="7"/>
    </row>
    <row r="58" spans="1:13" x14ac:dyDescent="0.35">
      <c r="A58" s="1" t="s">
        <v>781</v>
      </c>
      <c r="B58" s="238">
        <f>ROUND(N('Prior Year'!AT85), 0)</f>
        <v>0</v>
      </c>
      <c r="C58" s="238">
        <f>data!AT85</f>
        <v>0</v>
      </c>
      <c r="D58" s="238">
        <f>ROUND(N('Prior Year'!AT59), 0)</f>
        <v>0</v>
      </c>
      <c r="E58" s="1">
        <f>data!AT59</f>
        <v>0</v>
      </c>
      <c r="F58" s="215" t="str">
        <f t="shared" si="0"/>
        <v/>
      </c>
      <c r="G58" s="215" t="str">
        <f t="shared" si="5"/>
        <v/>
      </c>
      <c r="H58" s="6" t="str">
        <f t="shared" si="7"/>
        <v/>
      </c>
      <c r="I58" s="238" t="str">
        <f t="shared" si="8"/>
        <v/>
      </c>
      <c r="M58" s="7"/>
    </row>
    <row r="59" spans="1:13" x14ac:dyDescent="0.35">
      <c r="A59" s="1" t="s">
        <v>782</v>
      </c>
      <c r="B59" s="238">
        <f>ROUND(N('Prior Year'!AU85), 0)</f>
        <v>0</v>
      </c>
      <c r="C59" s="238">
        <f>data!AU85</f>
        <v>0</v>
      </c>
      <c r="D59" s="238">
        <f>ROUND(N('Prior Year'!AU59), 0)</f>
        <v>0</v>
      </c>
      <c r="E59" s="1">
        <f>data!AU59</f>
        <v>0</v>
      </c>
      <c r="F59" s="215" t="str">
        <f t="shared" si="0"/>
        <v/>
      </c>
      <c r="G59" s="215" t="str">
        <f t="shared" si="5"/>
        <v/>
      </c>
      <c r="H59" s="6" t="str">
        <f t="shared" si="7"/>
        <v/>
      </c>
      <c r="I59" s="238" t="str">
        <f t="shared" si="8"/>
        <v/>
      </c>
      <c r="M59" s="7"/>
    </row>
    <row r="60" spans="1:13" x14ac:dyDescent="0.35">
      <c r="A60" s="1" t="s">
        <v>783</v>
      </c>
      <c r="B60" s="238">
        <f>ROUND(N('Prior Year'!AV85), 0)</f>
        <v>550166</v>
      </c>
      <c r="C60" s="238">
        <f>data!AV85</f>
        <v>582896.54000000015</v>
      </c>
      <c r="D60" s="238" t="s">
        <v>754</v>
      </c>
      <c r="E60" s="4" t="s">
        <v>754</v>
      </c>
      <c r="F60" s="215" t="s">
        <v>5</v>
      </c>
      <c r="G60" s="215"/>
      <c r="H60" s="6" t="s">
        <v>5</v>
      </c>
      <c r="I60" s="238" t="str">
        <f t="shared" si="8"/>
        <v/>
      </c>
      <c r="M60" s="7"/>
    </row>
    <row r="61" spans="1:13" x14ac:dyDescent="0.35">
      <c r="A61" s="1" t="s">
        <v>784</v>
      </c>
      <c r="B61" s="238">
        <f>ROUND(N('Prior Year'!AW85), 0)</f>
        <v>0</v>
      </c>
      <c r="C61" s="238">
        <f>data!AW85</f>
        <v>0</v>
      </c>
      <c r="D61" s="238" t="s">
        <v>754</v>
      </c>
      <c r="E61" s="4" t="s">
        <v>754</v>
      </c>
      <c r="F61" s="215" t="s">
        <v>5</v>
      </c>
      <c r="G61" s="215"/>
      <c r="H61" s="6" t="s">
        <v>5</v>
      </c>
      <c r="I61" s="238" t="str">
        <f t="shared" si="8"/>
        <v/>
      </c>
      <c r="M61" s="7"/>
    </row>
    <row r="62" spans="1:13" x14ac:dyDescent="0.35">
      <c r="A62" s="1" t="s">
        <v>785</v>
      </c>
      <c r="B62" s="238">
        <f>ROUND(N('Prior Year'!AX85), 0)</f>
        <v>0</v>
      </c>
      <c r="C62" s="238">
        <f>data!AX85</f>
        <v>0</v>
      </c>
      <c r="D62" s="238" t="s">
        <v>754</v>
      </c>
      <c r="E62" s="4" t="s">
        <v>754</v>
      </c>
      <c r="F62" s="215" t="s">
        <v>5</v>
      </c>
      <c r="G62" s="215"/>
      <c r="H62" s="6" t="s">
        <v>5</v>
      </c>
      <c r="I62" s="238" t="str">
        <f t="shared" si="8"/>
        <v/>
      </c>
      <c r="M62" s="7"/>
    </row>
    <row r="63" spans="1:13" x14ac:dyDescent="0.35">
      <c r="A63" s="1" t="s">
        <v>786</v>
      </c>
      <c r="B63" s="238">
        <f>ROUND(N('Prior Year'!AY85), 0)</f>
        <v>2019259</v>
      </c>
      <c r="C63" s="238">
        <f>data!AY85</f>
        <v>1873620.7600000005</v>
      </c>
      <c r="D63" s="238">
        <f>ROUND(N('Prior Year'!AY59), 0)</f>
        <v>33431</v>
      </c>
      <c r="E63" s="1">
        <f>data!AY59</f>
        <v>33431.114391143914</v>
      </c>
      <c r="F63" s="215">
        <f>IF(B63=0,"",IF(D63=0,"",B63/D63))</f>
        <v>60.400795668690733</v>
      </c>
      <c r="G63" s="215">
        <f t="shared" si="5"/>
        <v>56.044220903875491</v>
      </c>
      <c r="H63" s="6" t="str">
        <f>IF(B63 = 0, "", IF(C63 = 0, "", IF(D63 = 0, "", IF(E63 = 0, "", IF(G63 / F63 - 1 &lt; -0.25, G63 / F63 - 1, IF(G63 / F63 - 1 &gt; 0.25, G63 / F63 - 1, ""))))))</f>
        <v/>
      </c>
      <c r="I63" s="238" t="str">
        <f t="shared" si="8"/>
        <v/>
      </c>
      <c r="M63" s="7"/>
    </row>
    <row r="64" spans="1:13" x14ac:dyDescent="0.35">
      <c r="A64" s="1" t="s">
        <v>787</v>
      </c>
      <c r="B64" s="238">
        <f>ROUND(N('Prior Year'!AZ85), 0)</f>
        <v>0</v>
      </c>
      <c r="C64" s="238">
        <f>data!AZ85</f>
        <v>0</v>
      </c>
      <c r="D64" s="238">
        <f>ROUND(N('Prior Year'!AZ59), 0)</f>
        <v>0</v>
      </c>
      <c r="E64" s="1">
        <f>data!AZ59</f>
        <v>0</v>
      </c>
      <c r="F64" s="215" t="str">
        <f>IF(B64=0,"",IF(D64=0,"",B64/D64))</f>
        <v/>
      </c>
      <c r="G64" s="21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38" t="str">
        <f t="shared" si="8"/>
        <v/>
      </c>
      <c r="M64" s="7"/>
    </row>
    <row r="65" spans="1:13" x14ac:dyDescent="0.35">
      <c r="A65" s="1" t="s">
        <v>788</v>
      </c>
      <c r="B65" s="238">
        <f>ROUND(N('Prior Year'!BA85), 0)</f>
        <v>376286</v>
      </c>
      <c r="C65" s="238">
        <f>data!BA85</f>
        <v>402799.11</v>
      </c>
      <c r="D65" s="238">
        <f>ROUND(N('Prior Year'!BA59), 0)</f>
        <v>0</v>
      </c>
      <c r="E65" s="1">
        <f>data!BA59</f>
        <v>0</v>
      </c>
      <c r="F65" s="215" t="str">
        <f>IF(B65=0,"",IF(D65=0,"",B65/D65))</f>
        <v/>
      </c>
      <c r="G65" s="21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8" t="str">
        <f t="shared" si="8"/>
        <v/>
      </c>
      <c r="M65" s="7"/>
    </row>
    <row r="66" spans="1:13" x14ac:dyDescent="0.35">
      <c r="A66" s="1" t="s">
        <v>789</v>
      </c>
      <c r="B66" s="238">
        <f>ROUND(N('Prior Year'!BB85), 0)</f>
        <v>0</v>
      </c>
      <c r="C66" s="238">
        <f>data!BB85</f>
        <v>0</v>
      </c>
      <c r="D66" s="238" t="s">
        <v>754</v>
      </c>
      <c r="E66" s="4" t="s">
        <v>754</v>
      </c>
      <c r="F66" s="215" t="s">
        <v>5</v>
      </c>
      <c r="G66" s="215" t="str">
        <f t="shared" ref="G66:G68" si="9">IFERROR(IF(C66=0,"",IF(E66=0,"",C66/E66)),"")</f>
        <v/>
      </c>
      <c r="H66" s="6" t="s">
        <v>5</v>
      </c>
      <c r="I66" s="238" t="str">
        <f t="shared" si="8"/>
        <v/>
      </c>
      <c r="M66" s="7"/>
    </row>
    <row r="67" spans="1:13" x14ac:dyDescent="0.35">
      <c r="A67" s="1" t="s">
        <v>790</v>
      </c>
      <c r="B67" s="238">
        <f>ROUND(N('Prior Year'!BC85), 0)</f>
        <v>0</v>
      </c>
      <c r="C67" s="238">
        <f>data!BC85</f>
        <v>0</v>
      </c>
      <c r="D67" s="238" t="s">
        <v>754</v>
      </c>
      <c r="E67" s="4" t="s">
        <v>754</v>
      </c>
      <c r="F67" s="215" t="s">
        <v>5</v>
      </c>
      <c r="G67" s="215" t="str">
        <f t="shared" si="9"/>
        <v/>
      </c>
      <c r="H67" s="6" t="s">
        <v>5</v>
      </c>
      <c r="I67" s="238" t="str">
        <f t="shared" si="8"/>
        <v/>
      </c>
      <c r="M67" s="7"/>
    </row>
    <row r="68" spans="1:13" x14ac:dyDescent="0.35">
      <c r="A68" s="1" t="s">
        <v>791</v>
      </c>
      <c r="B68" s="238">
        <f>ROUND(N('Prior Year'!BD85), 0)</f>
        <v>1020005</v>
      </c>
      <c r="C68" s="238">
        <f>data!BD85</f>
        <v>971067.47</v>
      </c>
      <c r="D68" s="238" t="s">
        <v>754</v>
      </c>
      <c r="E68" s="4" t="s">
        <v>754</v>
      </c>
      <c r="F68" s="215" t="s">
        <v>5</v>
      </c>
      <c r="G68" s="215" t="str">
        <f t="shared" si="9"/>
        <v/>
      </c>
      <c r="H68" s="6" t="s">
        <v>5</v>
      </c>
      <c r="I68" s="238" t="str">
        <f t="shared" si="8"/>
        <v/>
      </c>
      <c r="M68" s="7"/>
    </row>
    <row r="69" spans="1:13" x14ac:dyDescent="0.35">
      <c r="A69" s="1" t="s">
        <v>792</v>
      </c>
      <c r="B69" s="238">
        <f>ROUND(N('Prior Year'!BE85), 0)</f>
        <v>3908020</v>
      </c>
      <c r="C69" s="238">
        <f>data!BE85</f>
        <v>3340048.48</v>
      </c>
      <c r="D69" s="238">
        <f>ROUND(N('Prior Year'!BE59), 0)</f>
        <v>241487</v>
      </c>
      <c r="E69" s="1">
        <f>data!BE59</f>
        <v>227969</v>
      </c>
      <c r="F69" s="215">
        <f>IF(B69=0,"",IF(D69=0,"",B69/D69))</f>
        <v>16.183148575285625</v>
      </c>
      <c r="G69" s="215">
        <f t="shared" si="5"/>
        <v>14.651327505055512</v>
      </c>
      <c r="H69" s="6" t="str">
        <f>IF(B69 = 0, "", IF(C69 = 0, "", IF(D69 = 0, "", IF(E69 = 0, "", IF(G69 / F69 - 1 &lt; -0.25, G69 / F69 - 1, IF(G69 / F69 - 1 &gt; 0.25, G69 / F69 - 1, ""))))))</f>
        <v/>
      </c>
      <c r="I69" s="238" t="str">
        <f t="shared" si="8"/>
        <v/>
      </c>
      <c r="M69" s="7"/>
    </row>
    <row r="70" spans="1:13" x14ac:dyDescent="0.35">
      <c r="A70" s="1" t="s">
        <v>793</v>
      </c>
      <c r="B70" s="238">
        <f>ROUND(N('Prior Year'!BF85), 0)</f>
        <v>2805177</v>
      </c>
      <c r="C70" s="238">
        <f>data!BF85</f>
        <v>2905389.3100000005</v>
      </c>
      <c r="D70" s="238" t="s">
        <v>754</v>
      </c>
      <c r="E70" s="4" t="s">
        <v>754</v>
      </c>
      <c r="F70" s="215" t="s">
        <v>5</v>
      </c>
      <c r="G70" s="215" t="str">
        <f t="shared" ref="G70:G94" si="10">IFERROR(IF(C70=0,"",IF(E70=0,"",C70/E70)),"")</f>
        <v/>
      </c>
      <c r="H70" s="6" t="s">
        <v>5</v>
      </c>
      <c r="I70" s="238" t="str">
        <f t="shared" si="8"/>
        <v/>
      </c>
      <c r="M70" s="7"/>
    </row>
    <row r="71" spans="1:13" x14ac:dyDescent="0.35">
      <c r="A71" s="1" t="s">
        <v>794</v>
      </c>
      <c r="B71" s="238">
        <f>ROUND(N('Prior Year'!BG85), 0)</f>
        <v>0</v>
      </c>
      <c r="C71" s="238">
        <f>data!BG85</f>
        <v>0</v>
      </c>
      <c r="D71" s="238" t="s">
        <v>754</v>
      </c>
      <c r="E71" s="4" t="s">
        <v>754</v>
      </c>
      <c r="F71" s="215" t="s">
        <v>5</v>
      </c>
      <c r="G71" s="215" t="str">
        <f t="shared" si="10"/>
        <v/>
      </c>
      <c r="H71" s="6" t="s">
        <v>5</v>
      </c>
      <c r="I71" s="238" t="str">
        <f t="shared" si="8"/>
        <v/>
      </c>
      <c r="M71" s="7"/>
    </row>
    <row r="72" spans="1:13" x14ac:dyDescent="0.35">
      <c r="A72" s="1" t="s">
        <v>795</v>
      </c>
      <c r="B72" s="238">
        <f>ROUND(N('Prior Year'!BH85), 0)</f>
        <v>0</v>
      </c>
      <c r="C72" s="238">
        <f>data!BH85</f>
        <v>12106910.67</v>
      </c>
      <c r="D72" s="238" t="s">
        <v>754</v>
      </c>
      <c r="E72" s="4" t="s">
        <v>754</v>
      </c>
      <c r="F72" s="215" t="s">
        <v>5</v>
      </c>
      <c r="G72" s="215" t="str">
        <f t="shared" si="10"/>
        <v/>
      </c>
      <c r="H72" s="6" t="s">
        <v>5</v>
      </c>
      <c r="I72" s="238" t="str">
        <f t="shared" si="8"/>
        <v/>
      </c>
      <c r="M72" s="7"/>
    </row>
    <row r="73" spans="1:13" x14ac:dyDescent="0.35">
      <c r="A73" s="1" t="s">
        <v>796</v>
      </c>
      <c r="B73" s="238">
        <f>ROUND(N('Prior Year'!BI85), 0)</f>
        <v>0</v>
      </c>
      <c r="C73" s="238">
        <f>data!BI85</f>
        <v>0</v>
      </c>
      <c r="D73" s="238" t="s">
        <v>754</v>
      </c>
      <c r="E73" s="4" t="s">
        <v>754</v>
      </c>
      <c r="F73" s="215" t="s">
        <v>5</v>
      </c>
      <c r="G73" s="215" t="str">
        <f t="shared" si="10"/>
        <v/>
      </c>
      <c r="H73" s="6" t="s">
        <v>5</v>
      </c>
      <c r="I73" s="238" t="str">
        <f t="shared" si="8"/>
        <v/>
      </c>
      <c r="M73" s="7"/>
    </row>
    <row r="74" spans="1:13" x14ac:dyDescent="0.35">
      <c r="A74" s="1" t="s">
        <v>797</v>
      </c>
      <c r="B74" s="238">
        <f>ROUND(N('Prior Year'!BJ85), 0)</f>
        <v>1058743</v>
      </c>
      <c r="C74" s="238">
        <f>data!BJ85</f>
        <v>1106043.21</v>
      </c>
      <c r="D74" s="238" t="s">
        <v>754</v>
      </c>
      <c r="E74" s="4" t="s">
        <v>754</v>
      </c>
      <c r="F74" s="215" t="s">
        <v>5</v>
      </c>
      <c r="G74" s="215" t="str">
        <f t="shared" si="10"/>
        <v/>
      </c>
      <c r="H74" s="6" t="s">
        <v>5</v>
      </c>
      <c r="I74" s="238" t="str">
        <f t="shared" si="8"/>
        <v/>
      </c>
      <c r="M74" s="7"/>
    </row>
    <row r="75" spans="1:13" x14ac:dyDescent="0.35">
      <c r="A75" s="1" t="s">
        <v>798</v>
      </c>
      <c r="B75" s="238">
        <f>ROUND(N('Prior Year'!BK85), 0)</f>
        <v>2651660</v>
      </c>
      <c r="C75" s="238">
        <f>data!BK85</f>
        <v>2622068.1100000003</v>
      </c>
      <c r="D75" s="238" t="s">
        <v>754</v>
      </c>
      <c r="E75" s="4" t="s">
        <v>754</v>
      </c>
      <c r="F75" s="215" t="s">
        <v>5</v>
      </c>
      <c r="G75" s="215" t="str">
        <f t="shared" si="10"/>
        <v/>
      </c>
      <c r="H75" s="6" t="s">
        <v>5</v>
      </c>
      <c r="I75" s="238" t="str">
        <f t="shared" si="8"/>
        <v/>
      </c>
      <c r="M75" s="7"/>
    </row>
    <row r="76" spans="1:13" x14ac:dyDescent="0.35">
      <c r="A76" s="1" t="s">
        <v>799</v>
      </c>
      <c r="B76" s="238">
        <f>ROUND(N('Prior Year'!BL85), 0)</f>
        <v>1887062</v>
      </c>
      <c r="C76" s="238">
        <f>data!BL85</f>
        <v>1966038.59</v>
      </c>
      <c r="D76" s="238" t="s">
        <v>754</v>
      </c>
      <c r="E76" s="4" t="s">
        <v>754</v>
      </c>
      <c r="F76" s="215" t="s">
        <v>5</v>
      </c>
      <c r="G76" s="215" t="str">
        <f t="shared" si="10"/>
        <v/>
      </c>
      <c r="H76" s="6" t="s">
        <v>5</v>
      </c>
      <c r="I76" s="238" t="str">
        <f t="shared" si="8"/>
        <v/>
      </c>
      <c r="M76" s="7"/>
    </row>
    <row r="77" spans="1:13" x14ac:dyDescent="0.35">
      <c r="A77" s="1" t="s">
        <v>800</v>
      </c>
      <c r="B77" s="238">
        <f>ROUND(N('Prior Year'!BM85), 0)</f>
        <v>0</v>
      </c>
      <c r="C77" s="238">
        <f>data!BM85</f>
        <v>0</v>
      </c>
      <c r="D77" s="238" t="s">
        <v>754</v>
      </c>
      <c r="E77" s="4" t="s">
        <v>754</v>
      </c>
      <c r="F77" s="215" t="s">
        <v>5</v>
      </c>
      <c r="G77" s="215" t="str">
        <f t="shared" si="10"/>
        <v/>
      </c>
      <c r="H77" s="6" t="s">
        <v>5</v>
      </c>
      <c r="I77" s="238" t="str">
        <f t="shared" si="8"/>
        <v/>
      </c>
      <c r="M77" s="7"/>
    </row>
    <row r="78" spans="1:13" x14ac:dyDescent="0.35">
      <c r="A78" s="1" t="s">
        <v>801</v>
      </c>
      <c r="B78" s="238">
        <f>ROUND(N('Prior Year'!BN85), 0)</f>
        <v>4574849</v>
      </c>
      <c r="C78" s="238">
        <f>data!BN85</f>
        <v>3826708.41</v>
      </c>
      <c r="D78" s="238" t="s">
        <v>754</v>
      </c>
      <c r="E78" s="4" t="s">
        <v>754</v>
      </c>
      <c r="F78" s="215" t="s">
        <v>5</v>
      </c>
      <c r="G78" s="215" t="str">
        <f t="shared" si="10"/>
        <v/>
      </c>
      <c r="H78" s="6" t="s">
        <v>5</v>
      </c>
      <c r="I78" s="238" t="str">
        <f t="shared" si="8"/>
        <v/>
      </c>
      <c r="M78" s="7"/>
    </row>
    <row r="79" spans="1:13" x14ac:dyDescent="0.35">
      <c r="A79" s="1" t="s">
        <v>802</v>
      </c>
      <c r="B79" s="238">
        <f>ROUND(N('Prior Year'!BO85), 0)</f>
        <v>281543</v>
      </c>
      <c r="C79" s="238">
        <f>data!BO85</f>
        <v>327435.5</v>
      </c>
      <c r="D79" s="238" t="s">
        <v>754</v>
      </c>
      <c r="E79" s="4" t="s">
        <v>754</v>
      </c>
      <c r="F79" s="215" t="s">
        <v>5</v>
      </c>
      <c r="G79" s="215" t="str">
        <f t="shared" si="10"/>
        <v/>
      </c>
      <c r="H79" s="6" t="s">
        <v>5</v>
      </c>
      <c r="I79" s="238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38">
        <f>ROUND(N('Prior Year'!BP85), 0)</f>
        <v>180928</v>
      </c>
      <c r="C80" s="238">
        <f>data!BP85</f>
        <v>457557.25</v>
      </c>
      <c r="D80" s="238" t="s">
        <v>754</v>
      </c>
      <c r="E80" s="4" t="s">
        <v>754</v>
      </c>
      <c r="F80" s="215" t="s">
        <v>5</v>
      </c>
      <c r="G80" s="215" t="str">
        <f t="shared" si="10"/>
        <v/>
      </c>
      <c r="H80" s="6" t="s">
        <v>5</v>
      </c>
      <c r="I80" s="238" t="str">
        <f t="shared" si="11"/>
        <v/>
      </c>
      <c r="M80" s="7"/>
    </row>
    <row r="81" spans="1:13" x14ac:dyDescent="0.35">
      <c r="A81" s="1" t="s">
        <v>804</v>
      </c>
      <c r="B81" s="238">
        <f>ROUND(N('Prior Year'!BQ85), 0)</f>
        <v>0</v>
      </c>
      <c r="C81" s="238">
        <f>data!BQ85</f>
        <v>0</v>
      </c>
      <c r="D81" s="238" t="s">
        <v>754</v>
      </c>
      <c r="E81" s="4" t="s">
        <v>754</v>
      </c>
      <c r="F81" s="215" t="s">
        <v>5</v>
      </c>
      <c r="G81" s="215" t="str">
        <f t="shared" si="10"/>
        <v/>
      </c>
      <c r="H81" s="6" t="s">
        <v>5</v>
      </c>
      <c r="I81" s="238" t="str">
        <f t="shared" si="11"/>
        <v/>
      </c>
      <c r="M81" s="7"/>
    </row>
    <row r="82" spans="1:13" x14ac:dyDescent="0.35">
      <c r="A82" s="1" t="s">
        <v>805</v>
      </c>
      <c r="B82" s="238">
        <f>ROUND(N('Prior Year'!BR85), 0)</f>
        <v>1463404</v>
      </c>
      <c r="C82" s="238">
        <f>data!BR85</f>
        <v>1607561.71</v>
      </c>
      <c r="D82" s="238" t="s">
        <v>754</v>
      </c>
      <c r="E82" s="4" t="s">
        <v>754</v>
      </c>
      <c r="F82" s="215" t="s">
        <v>5</v>
      </c>
      <c r="G82" s="215" t="str">
        <f t="shared" si="10"/>
        <v/>
      </c>
      <c r="H82" s="6" t="s">
        <v>5</v>
      </c>
      <c r="I82" s="238" t="str">
        <f t="shared" si="11"/>
        <v/>
      </c>
      <c r="M82" s="7"/>
    </row>
    <row r="83" spans="1:13" x14ac:dyDescent="0.35">
      <c r="A83" s="1" t="s">
        <v>806</v>
      </c>
      <c r="B83" s="238">
        <f>ROUND(N('Prior Year'!BS85), 0)</f>
        <v>0</v>
      </c>
      <c r="C83" s="238">
        <f>data!BS85</f>
        <v>0</v>
      </c>
      <c r="D83" s="238" t="s">
        <v>754</v>
      </c>
      <c r="E83" s="4" t="s">
        <v>754</v>
      </c>
      <c r="F83" s="215" t="s">
        <v>5</v>
      </c>
      <c r="G83" s="215" t="str">
        <f t="shared" si="10"/>
        <v/>
      </c>
      <c r="H83" s="6" t="s">
        <v>5</v>
      </c>
      <c r="I83" s="238" t="str">
        <f t="shared" si="11"/>
        <v/>
      </c>
      <c r="M83" s="7"/>
    </row>
    <row r="84" spans="1:13" x14ac:dyDescent="0.35">
      <c r="A84" s="1" t="s">
        <v>807</v>
      </c>
      <c r="B84" s="238">
        <f>ROUND(N('Prior Year'!BT85), 0)</f>
        <v>0</v>
      </c>
      <c r="C84" s="238">
        <f>data!BT85</f>
        <v>0</v>
      </c>
      <c r="D84" s="238" t="s">
        <v>754</v>
      </c>
      <c r="E84" s="4" t="s">
        <v>754</v>
      </c>
      <c r="F84" s="215" t="s">
        <v>5</v>
      </c>
      <c r="G84" s="215" t="str">
        <f t="shared" si="10"/>
        <v/>
      </c>
      <c r="H84" s="6" t="s">
        <v>5</v>
      </c>
      <c r="I84" s="238" t="str">
        <f t="shared" si="11"/>
        <v/>
      </c>
      <c r="M84" s="7"/>
    </row>
    <row r="85" spans="1:13" x14ac:dyDescent="0.35">
      <c r="A85" s="1" t="s">
        <v>808</v>
      </c>
      <c r="B85" s="238">
        <f>ROUND(N('Prior Year'!BU85), 0)</f>
        <v>0</v>
      </c>
      <c r="C85" s="238">
        <f>data!BU85</f>
        <v>0</v>
      </c>
      <c r="D85" s="238" t="s">
        <v>754</v>
      </c>
      <c r="E85" s="4" t="s">
        <v>754</v>
      </c>
      <c r="F85" s="215" t="s">
        <v>5</v>
      </c>
      <c r="G85" s="215" t="str">
        <f t="shared" si="10"/>
        <v/>
      </c>
      <c r="H85" s="6" t="s">
        <v>5</v>
      </c>
      <c r="I85" s="238" t="str">
        <f t="shared" si="11"/>
        <v/>
      </c>
      <c r="M85" s="7"/>
    </row>
    <row r="86" spans="1:13" x14ac:dyDescent="0.35">
      <c r="A86" s="1" t="s">
        <v>809</v>
      </c>
      <c r="B86" s="238">
        <f>ROUND(N('Prior Year'!BV85), 0)</f>
        <v>2528941</v>
      </c>
      <c r="C86" s="238">
        <f>data!BV85</f>
        <v>2345189.02</v>
      </c>
      <c r="D86" s="238" t="s">
        <v>754</v>
      </c>
      <c r="E86" s="4" t="s">
        <v>754</v>
      </c>
      <c r="F86" s="215" t="s">
        <v>5</v>
      </c>
      <c r="G86" s="215" t="str">
        <f t="shared" si="10"/>
        <v/>
      </c>
      <c r="H86" s="6" t="s">
        <v>5</v>
      </c>
      <c r="I86" s="238" t="str">
        <f t="shared" si="11"/>
        <v/>
      </c>
      <c r="M86" s="7"/>
    </row>
    <row r="87" spans="1:13" x14ac:dyDescent="0.35">
      <c r="A87" s="1" t="s">
        <v>810</v>
      </c>
      <c r="B87" s="238">
        <f>ROUND(N('Prior Year'!BW85), 0)</f>
        <v>408084</v>
      </c>
      <c r="C87" s="238">
        <f>data!BW85</f>
        <v>358521.39</v>
      </c>
      <c r="D87" s="238" t="s">
        <v>754</v>
      </c>
      <c r="E87" s="4" t="s">
        <v>754</v>
      </c>
      <c r="F87" s="215" t="s">
        <v>5</v>
      </c>
      <c r="G87" s="215" t="str">
        <f t="shared" si="10"/>
        <v/>
      </c>
      <c r="H87" s="6" t="s">
        <v>5</v>
      </c>
      <c r="I87" s="238" t="str">
        <f t="shared" si="11"/>
        <v/>
      </c>
      <c r="M87" s="7"/>
    </row>
    <row r="88" spans="1:13" x14ac:dyDescent="0.35">
      <c r="A88" s="1" t="s">
        <v>811</v>
      </c>
      <c r="B88" s="238">
        <f>ROUND(N('Prior Year'!BX85), 0)</f>
        <v>0</v>
      </c>
      <c r="C88" s="238">
        <f>data!BX85</f>
        <v>0</v>
      </c>
      <c r="D88" s="238" t="s">
        <v>754</v>
      </c>
      <c r="E88" s="4" t="s">
        <v>754</v>
      </c>
      <c r="F88" s="215" t="s">
        <v>5</v>
      </c>
      <c r="G88" s="215" t="str">
        <f t="shared" si="10"/>
        <v/>
      </c>
      <c r="H88" s="6" t="s">
        <v>5</v>
      </c>
      <c r="I88" s="238" t="str">
        <f t="shared" si="11"/>
        <v/>
      </c>
      <c r="M88" s="7"/>
    </row>
    <row r="89" spans="1:13" x14ac:dyDescent="0.35">
      <c r="A89" s="1" t="s">
        <v>812</v>
      </c>
      <c r="B89" s="238">
        <f>ROUND(N('Prior Year'!BY85), 0)</f>
        <v>3345853</v>
      </c>
      <c r="C89" s="238">
        <f>data!BY85</f>
        <v>2552279.1599999997</v>
      </c>
      <c r="D89" s="238" t="s">
        <v>754</v>
      </c>
      <c r="E89" s="4" t="s">
        <v>754</v>
      </c>
      <c r="F89" s="215" t="s">
        <v>5</v>
      </c>
      <c r="G89" s="215" t="str">
        <f t="shared" si="10"/>
        <v/>
      </c>
      <c r="H89" s="6" t="s">
        <v>5</v>
      </c>
      <c r="I89" s="238" t="str">
        <f t="shared" si="11"/>
        <v/>
      </c>
      <c r="M89" s="7"/>
    </row>
    <row r="90" spans="1:13" x14ac:dyDescent="0.35">
      <c r="A90" s="1" t="s">
        <v>813</v>
      </c>
      <c r="B90" s="238">
        <f>ROUND(N('Prior Year'!BZ85), 0)</f>
        <v>0</v>
      </c>
      <c r="C90" s="238">
        <f>data!BZ85</f>
        <v>0</v>
      </c>
      <c r="D90" s="238" t="s">
        <v>754</v>
      </c>
      <c r="E90" s="4" t="s">
        <v>754</v>
      </c>
      <c r="F90" s="215" t="s">
        <v>5</v>
      </c>
      <c r="G90" s="215" t="str">
        <f t="shared" si="10"/>
        <v/>
      </c>
      <c r="H90" s="6" t="s">
        <v>5</v>
      </c>
      <c r="I90" s="238" t="str">
        <f t="shared" si="11"/>
        <v/>
      </c>
      <c r="M90" s="7"/>
    </row>
    <row r="91" spans="1:13" x14ac:dyDescent="0.35">
      <c r="A91" s="1" t="s">
        <v>814</v>
      </c>
      <c r="B91" s="238">
        <f>ROUND(N('Prior Year'!CA85), 0)</f>
        <v>263015</v>
      </c>
      <c r="C91" s="238">
        <f>data!CA85</f>
        <v>239963.35</v>
      </c>
      <c r="D91" s="238" t="s">
        <v>754</v>
      </c>
      <c r="E91" s="4" t="s">
        <v>754</v>
      </c>
      <c r="F91" s="215" t="s">
        <v>5</v>
      </c>
      <c r="G91" s="215" t="str">
        <f t="shared" si="10"/>
        <v/>
      </c>
      <c r="H91" s="6" t="s">
        <v>5</v>
      </c>
      <c r="I91" s="238" t="str">
        <f t="shared" si="11"/>
        <v/>
      </c>
      <c r="M91" s="7"/>
    </row>
    <row r="92" spans="1:13" x14ac:dyDescent="0.35">
      <c r="A92" s="1" t="s">
        <v>815</v>
      </c>
      <c r="B92" s="238">
        <f>ROUND(N('Prior Year'!CB85), 0)</f>
        <v>0</v>
      </c>
      <c r="C92" s="238">
        <f>data!CB85</f>
        <v>0</v>
      </c>
      <c r="D92" s="238" t="s">
        <v>754</v>
      </c>
      <c r="E92" s="4" t="s">
        <v>754</v>
      </c>
      <c r="F92" s="215" t="s">
        <v>5</v>
      </c>
      <c r="G92" s="215" t="str">
        <f t="shared" si="10"/>
        <v/>
      </c>
      <c r="H92" s="6" t="s">
        <v>5</v>
      </c>
      <c r="I92" s="238" t="str">
        <f t="shared" si="11"/>
        <v/>
      </c>
      <c r="M92" s="7"/>
    </row>
    <row r="93" spans="1:13" x14ac:dyDescent="0.35">
      <c r="A93" s="1" t="s">
        <v>816</v>
      </c>
      <c r="B93" s="238">
        <f>ROUND(N('Prior Year'!CC85), 0)</f>
        <v>5767945</v>
      </c>
      <c r="C93" s="238">
        <f>data!CC85</f>
        <v>4029342.73</v>
      </c>
      <c r="D93" s="238" t="s">
        <v>754</v>
      </c>
      <c r="E93" s="4" t="s">
        <v>754</v>
      </c>
      <c r="F93" s="215" t="s">
        <v>5</v>
      </c>
      <c r="G93" s="215" t="str">
        <f t="shared" si="10"/>
        <v/>
      </c>
      <c r="H93" s="6" t="s">
        <v>5</v>
      </c>
      <c r="I93" s="238" t="str">
        <f t="shared" si="11"/>
        <v/>
      </c>
      <c r="M93" s="7"/>
    </row>
    <row r="94" spans="1:13" x14ac:dyDescent="0.35">
      <c r="A94" s="1" t="s">
        <v>817</v>
      </c>
      <c r="B94" s="238">
        <f>ROUND(N('Prior Year'!CD85), 0)</f>
        <v>-2573795</v>
      </c>
      <c r="C94" s="238">
        <f>data!CD85</f>
        <v>-3651760.9499999997</v>
      </c>
      <c r="D94" s="238" t="s">
        <v>754</v>
      </c>
      <c r="E94" s="4" t="s">
        <v>754</v>
      </c>
      <c r="F94" s="215" t="s">
        <v>5</v>
      </c>
      <c r="G94" s="215" t="str">
        <f t="shared" si="10"/>
        <v/>
      </c>
      <c r="H94" s="6" t="s">
        <v>5</v>
      </c>
      <c r="I94" s="238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83FC4-DF86-4F65-98E7-A88C6AFD60C8}">
  <sheetPr>
    <tabColor rgb="FF92D050"/>
  </sheetPr>
  <dimension ref="A1:D54"/>
  <sheetViews>
    <sheetView workbookViewId="0">
      <selection activeCell="E15" sqref="E15"/>
    </sheetView>
  </sheetViews>
  <sheetFormatPr defaultRowHeight="12.5" x14ac:dyDescent="0.25"/>
  <cols>
    <col min="4" max="4" width="10" bestFit="1" customWidth="1"/>
  </cols>
  <sheetData>
    <row r="1" spans="1:4" ht="14.5" x14ac:dyDescent="0.35">
      <c r="A1" s="295" t="s">
        <v>818</v>
      </c>
      <c r="B1" s="294"/>
      <c r="C1" s="294"/>
      <c r="D1" s="294"/>
    </row>
    <row r="2" spans="1:4" ht="14.5" x14ac:dyDescent="0.35">
      <c r="A2" s="294"/>
      <c r="B2" s="294"/>
      <c r="C2" s="294"/>
      <c r="D2" s="294"/>
    </row>
    <row r="3" spans="1:4" ht="14.5" x14ac:dyDescent="0.35">
      <c r="A3" s="297" t="s">
        <v>819</v>
      </c>
      <c r="B3" s="294"/>
      <c r="C3" s="294"/>
      <c r="D3" s="294"/>
    </row>
    <row r="4" spans="1:4" ht="14.5" x14ac:dyDescent="0.35">
      <c r="A4" s="294" t="s">
        <v>820</v>
      </c>
      <c r="B4" s="294"/>
      <c r="C4" s="294"/>
      <c r="D4" s="294"/>
    </row>
    <row r="5" spans="1:4" ht="14.5" x14ac:dyDescent="0.35">
      <c r="A5" s="294" t="s">
        <v>821</v>
      </c>
      <c r="B5" s="294"/>
      <c r="C5" s="294"/>
      <c r="D5" s="294"/>
    </row>
    <row r="6" spans="1:4" ht="14.5" x14ac:dyDescent="0.35">
      <c r="A6" s="294"/>
      <c r="B6" s="294"/>
      <c r="C6" s="294"/>
      <c r="D6" s="294"/>
    </row>
    <row r="7" spans="1:4" ht="14.5" x14ac:dyDescent="0.35">
      <c r="A7" s="294" t="s">
        <v>822</v>
      </c>
      <c r="B7" s="294"/>
      <c r="C7" s="294"/>
      <c r="D7" s="294"/>
    </row>
    <row r="8" spans="1:4" ht="14.5" x14ac:dyDescent="0.35">
      <c r="A8" s="294" t="s">
        <v>823</v>
      </c>
      <c r="B8" s="294"/>
      <c r="C8" s="294"/>
      <c r="D8" s="294"/>
    </row>
    <row r="9" spans="1:4" ht="14.5" x14ac:dyDescent="0.35">
      <c r="A9" s="294"/>
      <c r="B9" s="294"/>
      <c r="C9" s="294"/>
      <c r="D9" s="294"/>
    </row>
    <row r="10" spans="1:4" ht="15" thickBot="1" x14ac:dyDescent="0.4">
      <c r="A10" s="294"/>
      <c r="B10" s="294"/>
      <c r="C10" s="294"/>
      <c r="D10" s="345"/>
    </row>
    <row r="11" spans="1:4" ht="15" thickBot="1" x14ac:dyDescent="0.4">
      <c r="A11" s="296" t="s">
        <v>824</v>
      </c>
      <c r="B11" s="294"/>
      <c r="C11" s="294"/>
      <c r="D11" s="346">
        <f>N(data!C380)</f>
        <v>4690606.6399999997</v>
      </c>
    </row>
    <row r="12" spans="1:4" ht="14.5" x14ac:dyDescent="0.35">
      <c r="A12" s="296" t="s">
        <v>825</v>
      </c>
      <c r="B12" s="294"/>
      <c r="C12" s="294"/>
      <c r="D12" s="345" t="str">
        <f>IF(OR(N(data!C380) &gt; 1000000, N(data!C380) / (N(data!D360) + N(data!D383)) &gt; 0.01), "Yes", "No")</f>
        <v>Yes</v>
      </c>
    </row>
    <row r="13" spans="1:4" ht="14.5" x14ac:dyDescent="0.35">
      <c r="A13" s="294"/>
      <c r="B13" s="294"/>
      <c r="C13" s="294"/>
      <c r="D13" s="345"/>
    </row>
    <row r="14" spans="1:4" ht="14.5" x14ac:dyDescent="0.35">
      <c r="A14" s="296" t="s">
        <v>826</v>
      </c>
      <c r="B14" s="294"/>
      <c r="C14" s="294"/>
      <c r="D14" s="345" t="s">
        <v>827</v>
      </c>
    </row>
    <row r="15" spans="1:4" ht="16" x14ac:dyDescent="0.45">
      <c r="A15" s="344" t="s">
        <v>1376</v>
      </c>
      <c r="B15" s="294"/>
      <c r="C15" s="294"/>
      <c r="D15" s="345">
        <v>0</v>
      </c>
    </row>
    <row r="16" spans="1:4" ht="16" x14ac:dyDescent="0.45">
      <c r="A16" s="344" t="s">
        <v>1377</v>
      </c>
      <c r="B16" s="294"/>
      <c r="C16" s="294"/>
      <c r="D16" s="345">
        <f>-66845.2+586717.25+9803</f>
        <v>529675.05000000005</v>
      </c>
    </row>
    <row r="17" spans="1:4" ht="16" x14ac:dyDescent="0.45">
      <c r="A17" s="344" t="s">
        <v>1378</v>
      </c>
      <c r="B17" s="294"/>
      <c r="C17" s="294"/>
      <c r="D17" s="345">
        <v>0</v>
      </c>
    </row>
    <row r="18" spans="1:4" ht="16" x14ac:dyDescent="0.45">
      <c r="A18" s="344" t="s">
        <v>1379</v>
      </c>
      <c r="B18" s="294"/>
      <c r="C18" s="294"/>
      <c r="D18" s="345">
        <v>0</v>
      </c>
    </row>
    <row r="19" spans="1:4" ht="16" x14ac:dyDescent="0.45">
      <c r="A19" s="344" t="s">
        <v>1380</v>
      </c>
      <c r="B19" s="294"/>
      <c r="C19" s="294"/>
      <c r="D19" s="345">
        <v>0</v>
      </c>
    </row>
    <row r="20" spans="1:4" ht="16" x14ac:dyDescent="0.45">
      <c r="A20" s="344" t="s">
        <v>1381</v>
      </c>
      <c r="B20" s="294"/>
      <c r="C20" s="294"/>
      <c r="D20" s="345">
        <v>0</v>
      </c>
    </row>
    <row r="21" spans="1:4" ht="16" x14ac:dyDescent="0.45">
      <c r="A21" s="344" t="s">
        <v>1393</v>
      </c>
      <c r="B21" s="294"/>
      <c r="C21" s="294"/>
      <c r="D21" s="345">
        <f>45323+1366637.88</f>
        <v>1411960.88</v>
      </c>
    </row>
    <row r="22" spans="1:4" ht="16" x14ac:dyDescent="0.45">
      <c r="A22" s="344" t="s">
        <v>1382</v>
      </c>
      <c r="B22" s="294"/>
      <c r="C22" s="294"/>
      <c r="D22" s="345">
        <v>2364908</v>
      </c>
    </row>
    <row r="23" spans="1:4" ht="16" x14ac:dyDescent="0.45">
      <c r="A23" s="344" t="s">
        <v>1383</v>
      </c>
      <c r="B23" s="294"/>
      <c r="C23" s="294"/>
      <c r="D23" s="345">
        <v>47494.470000000008</v>
      </c>
    </row>
    <row r="24" spans="1:4" ht="16" x14ac:dyDescent="0.45">
      <c r="A24" s="344" t="s">
        <v>1384</v>
      </c>
      <c r="B24" s="294"/>
      <c r="C24" s="294"/>
      <c r="D24" s="345">
        <v>0</v>
      </c>
    </row>
    <row r="25" spans="1:4" ht="16" x14ac:dyDescent="0.45">
      <c r="A25" s="344" t="s">
        <v>1385</v>
      </c>
      <c r="B25" s="294"/>
      <c r="C25" s="294"/>
      <c r="D25" s="345">
        <v>5915</v>
      </c>
    </row>
    <row r="26" spans="1:4" ht="16" x14ac:dyDescent="0.45">
      <c r="A26" s="344" t="s">
        <v>1386</v>
      </c>
      <c r="B26" s="294"/>
      <c r="C26" s="294"/>
      <c r="D26" s="345">
        <v>5289.3599999999988</v>
      </c>
    </row>
    <row r="27" spans="1:4" ht="16" x14ac:dyDescent="0.45">
      <c r="A27" s="344" t="s">
        <v>1387</v>
      </c>
      <c r="B27" s="294"/>
      <c r="C27" s="294"/>
      <c r="D27" s="345">
        <v>0</v>
      </c>
    </row>
    <row r="28" spans="1:4" ht="16" x14ac:dyDescent="0.45">
      <c r="A28" s="344" t="s">
        <v>1388</v>
      </c>
      <c r="B28" s="294"/>
      <c r="C28" s="294"/>
      <c r="D28" s="345">
        <v>70220</v>
      </c>
    </row>
    <row r="29" spans="1:4" ht="16" x14ac:dyDescent="0.45">
      <c r="A29" s="344" t="s">
        <v>1389</v>
      </c>
      <c r="B29" s="294"/>
      <c r="C29" s="294"/>
      <c r="D29" s="345">
        <f>1486660.02-1366637.88</f>
        <v>120022.14000000013</v>
      </c>
    </row>
    <row r="30" spans="1:4" ht="16" x14ac:dyDescent="0.45">
      <c r="A30" s="344" t="s">
        <v>1390</v>
      </c>
      <c r="B30" s="294"/>
      <c r="C30" s="294"/>
      <c r="D30" s="345">
        <v>20374.530000000002</v>
      </c>
    </row>
    <row r="31" spans="1:4" ht="16" x14ac:dyDescent="0.45">
      <c r="A31" s="344" t="s">
        <v>1391</v>
      </c>
      <c r="B31" s="294"/>
      <c r="C31" s="294"/>
      <c r="D31" s="345">
        <v>0</v>
      </c>
    </row>
    <row r="32" spans="1:4" ht="16" x14ac:dyDescent="0.45">
      <c r="A32" s="344" t="s">
        <v>1392</v>
      </c>
      <c r="B32" s="294"/>
      <c r="C32" s="294"/>
      <c r="D32" s="345">
        <v>1313</v>
      </c>
    </row>
    <row r="33" spans="1:4" ht="16" x14ac:dyDescent="0.45">
      <c r="A33" s="344" t="s">
        <v>511</v>
      </c>
      <c r="B33" s="294"/>
      <c r="C33" s="294"/>
      <c r="D33" s="345">
        <v>113435</v>
      </c>
    </row>
    <row r="34" spans="1:4" ht="16" x14ac:dyDescent="0.45">
      <c r="A34" s="344"/>
      <c r="B34" s="294"/>
      <c r="C34" s="294"/>
      <c r="D34" s="345"/>
    </row>
    <row r="35" spans="1:4" ht="16.5" thickBot="1" x14ac:dyDescent="0.5">
      <c r="A35" s="344"/>
      <c r="B35" s="294"/>
      <c r="C35" s="294"/>
      <c r="D35" s="345"/>
    </row>
    <row r="36" spans="1:4" ht="15" thickBot="1" x14ac:dyDescent="0.4">
      <c r="A36" s="296" t="s">
        <v>828</v>
      </c>
      <c r="B36" s="294"/>
      <c r="C36" s="294"/>
      <c r="D36" s="346">
        <f>N(data!C414)</f>
        <v>1625825.3</v>
      </c>
    </row>
    <row r="37" spans="1:4" ht="14.5" x14ac:dyDescent="0.35">
      <c r="A37" s="296" t="s">
        <v>825</v>
      </c>
      <c r="B37" s="294"/>
      <c r="C37" s="294"/>
      <c r="D37" s="345" t="str">
        <f>IF(OR(N(data!C414)&gt;1000000,N(data!C414)/(N(data!D416))&gt;0.01),"Yes","No")</f>
        <v>Yes</v>
      </c>
    </row>
    <row r="38" spans="1:4" ht="14.5" x14ac:dyDescent="0.35">
      <c r="A38" s="294"/>
      <c r="B38" s="294"/>
      <c r="C38" s="294"/>
      <c r="D38" s="345"/>
    </row>
    <row r="39" spans="1:4" ht="14.5" x14ac:dyDescent="0.35">
      <c r="A39" s="296" t="s">
        <v>826</v>
      </c>
      <c r="B39" s="294"/>
      <c r="C39" s="294"/>
      <c r="D39" s="345" t="s">
        <v>827</v>
      </c>
    </row>
    <row r="40" spans="1:4" ht="16" x14ac:dyDescent="0.45">
      <c r="A40" s="344" t="s">
        <v>1364</v>
      </c>
      <c r="B40" s="294"/>
      <c r="C40" s="294"/>
      <c r="D40" s="345">
        <v>24945.890000000003</v>
      </c>
    </row>
    <row r="41" spans="1:4" ht="16" x14ac:dyDescent="0.45">
      <c r="A41" s="344" t="s">
        <v>1365</v>
      </c>
      <c r="B41" s="294"/>
      <c r="C41" s="294"/>
      <c r="D41" s="345">
        <v>-72652.47</v>
      </c>
    </row>
    <row r="42" spans="1:4" ht="16" x14ac:dyDescent="0.45">
      <c r="A42" s="344" t="s">
        <v>1366</v>
      </c>
      <c r="B42" s="294"/>
      <c r="C42" s="294"/>
      <c r="D42" s="345">
        <v>16400.91</v>
      </c>
    </row>
    <row r="43" spans="1:4" ht="16" x14ac:dyDescent="0.45">
      <c r="A43" s="344" t="s">
        <v>1367</v>
      </c>
      <c r="B43" s="294"/>
      <c r="C43" s="294"/>
      <c r="D43" s="345">
        <v>0</v>
      </c>
    </row>
    <row r="44" spans="1:4" ht="16" x14ac:dyDescent="0.45">
      <c r="A44" s="344" t="s">
        <v>1368</v>
      </c>
      <c r="B44" s="294"/>
      <c r="C44" s="294"/>
      <c r="D44" s="345">
        <v>70163.759999999995</v>
      </c>
    </row>
    <row r="45" spans="1:4" ht="16" x14ac:dyDescent="0.45">
      <c r="A45" s="344" t="s">
        <v>1364</v>
      </c>
      <c r="B45" s="294"/>
      <c r="C45" s="294"/>
      <c r="D45" s="345">
        <f>28644.78+3208</f>
        <v>31852.78</v>
      </c>
    </row>
    <row r="46" spans="1:4" ht="16" x14ac:dyDescent="0.45">
      <c r="A46" s="344" t="s">
        <v>1369</v>
      </c>
      <c r="B46" s="294"/>
      <c r="C46" s="294"/>
      <c r="D46" s="345">
        <v>873955.22000000009</v>
      </c>
    </row>
    <row r="47" spans="1:4" ht="16" x14ac:dyDescent="0.45">
      <c r="A47" s="344" t="s">
        <v>1370</v>
      </c>
      <c r="B47" s="294"/>
      <c r="C47" s="294"/>
      <c r="D47" s="345">
        <v>80176.52</v>
      </c>
    </row>
    <row r="48" spans="1:4" ht="16" x14ac:dyDescent="0.45">
      <c r="A48" s="344" t="s">
        <v>1371</v>
      </c>
      <c r="B48" s="294"/>
      <c r="C48" s="294"/>
      <c r="D48" s="345">
        <v>263291.25</v>
      </c>
    </row>
    <row r="49" spans="1:4" ht="16" x14ac:dyDescent="0.45">
      <c r="A49" s="344" t="s">
        <v>1372</v>
      </c>
      <c r="B49" s="294"/>
      <c r="C49" s="294"/>
      <c r="D49" s="345">
        <v>45431.02</v>
      </c>
    </row>
    <row r="50" spans="1:4" ht="16" x14ac:dyDescent="0.45">
      <c r="A50" s="344" t="s">
        <v>1373</v>
      </c>
      <c r="B50" s="294"/>
      <c r="C50" s="294"/>
      <c r="D50" s="345">
        <v>81011.070000000007</v>
      </c>
    </row>
    <row r="51" spans="1:4" ht="16" x14ac:dyDescent="0.45">
      <c r="A51" s="344" t="s">
        <v>1374</v>
      </c>
      <c r="B51" s="294"/>
      <c r="C51" s="294"/>
      <c r="D51" s="345">
        <v>210808.52000000002</v>
      </c>
    </row>
    <row r="52" spans="1:4" ht="16" x14ac:dyDescent="0.45">
      <c r="A52" s="344" t="s">
        <v>1375</v>
      </c>
      <c r="B52" s="294"/>
      <c r="C52" s="294"/>
      <c r="D52" s="345">
        <v>439.34</v>
      </c>
    </row>
    <row r="53" spans="1:4" x14ac:dyDescent="0.25">
      <c r="D53" s="345"/>
    </row>
    <row r="54" spans="1:4" x14ac:dyDescent="0.25">
      <c r="D54" s="34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63C14-117A-40B6-81AB-D0B6396C44EB}">
  <sheetPr codeName="Sheet3">
    <pageSetUpPr fitToPage="1"/>
  </sheetPr>
  <dimension ref="A1:G40"/>
  <sheetViews>
    <sheetView topLeftCell="A14" workbookViewId="0">
      <selection activeCell="J46" sqref="J46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829</v>
      </c>
    </row>
    <row r="2" spans="1:7" ht="20.149999999999999" customHeight="1" x14ac:dyDescent="0.35">
      <c r="A2" s="71" t="s">
        <v>830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H-152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Public Hospital District No 1 of Mason County, WA, DBA Mason Health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">
        <v>311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831</v>
      </c>
      <c r="C7" s="76"/>
      <c r="D7" s="73" t="s">
        <v>313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832</v>
      </c>
      <c r="C8" s="76"/>
      <c r="D8" s="73" t="s">
        <v>315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833</v>
      </c>
      <c r="C9" s="76"/>
      <c r="D9" s="73" t="s">
        <v>834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835</v>
      </c>
      <c r="C10" s="76"/>
      <c r="D10" s="73" t="str">
        <f>"  "&amp;data!C107</f>
        <v xml:space="preserve">  3604327721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836</v>
      </c>
      <c r="C11" s="76"/>
      <c r="D11" s="73" t="str">
        <f>"  "&amp;data!C108</f>
        <v xml:space="preserve">  3604271921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837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325</v>
      </c>
      <c r="B15" s="83"/>
      <c r="C15" s="84" t="s">
        <v>327</v>
      </c>
      <c r="D15" s="83"/>
      <c r="E15" s="84" t="s">
        <v>329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838</v>
      </c>
      <c r="E16" s="239" t="str">
        <f>IF(data!C120&gt;0," X","")</f>
        <v/>
      </c>
      <c r="F16" s="90" t="s">
        <v>330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/>
      </c>
      <c r="D17" s="89" t="s">
        <v>410</v>
      </c>
      <c r="E17" s="239" t="str">
        <f>IF(data!C121&gt;0," X","")</f>
        <v/>
      </c>
      <c r="F17" s="90" t="s">
        <v>331</v>
      </c>
      <c r="G17" s="76"/>
    </row>
    <row r="18" spans="1:7" ht="20.149999999999999" customHeight="1" x14ac:dyDescent="0.35">
      <c r="A18" s="72"/>
      <c r="B18" s="76" t="s">
        <v>839</v>
      </c>
      <c r="C18" s="76"/>
      <c r="D18" s="76"/>
      <c r="E18" s="239" t="str">
        <f>IF(data!C122&gt;0," X","")</f>
        <v/>
      </c>
      <c r="F18" s="90" t="s">
        <v>332</v>
      </c>
      <c r="G18" s="76"/>
    </row>
    <row r="19" spans="1:7" ht="20.149999999999999" customHeight="1" x14ac:dyDescent="0.35">
      <c r="A19" s="87" t="str">
        <f>IF(data!C115&gt;0," X","")</f>
        <v xml:space="preserve"> X</v>
      </c>
      <c r="B19" s="89" t="s">
        <v>840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841</v>
      </c>
      <c r="C22" s="73"/>
      <c r="D22" s="73"/>
      <c r="E22" s="73"/>
      <c r="F22" s="87" t="s">
        <v>335</v>
      </c>
      <c r="G22" s="88" t="s">
        <v>242</v>
      </c>
    </row>
    <row r="23" spans="1:7" ht="20.149999999999999" customHeight="1" x14ac:dyDescent="0.35">
      <c r="A23" s="72"/>
      <c r="B23" s="73" t="s">
        <v>842</v>
      </c>
      <c r="C23" s="73"/>
      <c r="D23" s="73"/>
      <c r="E23" s="73"/>
      <c r="F23" s="72">
        <f>data!C127</f>
        <v>1504</v>
      </c>
      <c r="G23" s="76">
        <f>data!D127</f>
        <v>5156</v>
      </c>
    </row>
    <row r="24" spans="1:7" ht="20.149999999999999" customHeight="1" x14ac:dyDescent="0.35">
      <c r="A24" s="72"/>
      <c r="B24" s="73" t="s">
        <v>843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339</v>
      </c>
      <c r="C26" s="73"/>
      <c r="D26" s="73"/>
      <c r="E26" s="73"/>
      <c r="F26" s="72">
        <f>data!C130</f>
        <v>374</v>
      </c>
      <c r="G26" s="76">
        <f>data!D130</f>
        <v>672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845</v>
      </c>
      <c r="C29" s="76"/>
      <c r="D29" s="88" t="s">
        <v>194</v>
      </c>
      <c r="E29" s="92" t="s">
        <v>845</v>
      </c>
      <c r="F29" s="76"/>
      <c r="G29" s="88" t="s">
        <v>194</v>
      </c>
    </row>
    <row r="30" spans="1:7" ht="20.149999999999999" customHeight="1" x14ac:dyDescent="0.35">
      <c r="A30" s="72"/>
      <c r="B30" s="73" t="s">
        <v>341</v>
      </c>
      <c r="C30" s="76"/>
      <c r="D30" s="76">
        <f>data!C132</f>
        <v>7</v>
      </c>
      <c r="E30" s="73" t="s">
        <v>347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846</v>
      </c>
      <c r="C31" s="76"/>
      <c r="D31" s="76">
        <f>data!C133</f>
        <v>0</v>
      </c>
      <c r="E31" s="73" t="s">
        <v>348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847</v>
      </c>
      <c r="C32" s="76"/>
      <c r="D32" s="76">
        <f>data!C134</f>
        <v>16</v>
      </c>
      <c r="E32" s="73" t="s">
        <v>848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849</v>
      </c>
      <c r="C33" s="76"/>
      <c r="D33" s="76">
        <f>data!C135</f>
        <v>0</v>
      </c>
      <c r="E33" s="73" t="s">
        <v>850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851</v>
      </c>
      <c r="C34" s="76"/>
      <c r="D34" s="76">
        <f>data!C136</f>
        <v>2</v>
      </c>
      <c r="E34" s="73" t="s">
        <v>350</v>
      </c>
      <c r="F34" s="76"/>
      <c r="G34" s="76">
        <f>data!E143</f>
        <v>25</v>
      </c>
    </row>
    <row r="35" spans="1:7" ht="20.149999999999999" customHeight="1" x14ac:dyDescent="0.35">
      <c r="A35" s="72"/>
      <c r="B35" s="92" t="s">
        <v>852</v>
      </c>
      <c r="C35" s="76"/>
      <c r="D35" s="76">
        <f>data!C137</f>
        <v>0</v>
      </c>
      <c r="E35" s="73" t="s">
        <v>853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351</v>
      </c>
      <c r="F36" s="76"/>
      <c r="G36" s="76">
        <f>data!C144</f>
        <v>68</v>
      </c>
    </row>
    <row r="37" spans="1:7" ht="20.149999999999999" customHeight="1" x14ac:dyDescent="0.35">
      <c r="A37" s="72"/>
      <c r="E37" s="73" t="s">
        <v>352</v>
      </c>
      <c r="F37" s="76"/>
      <c r="G37" s="76">
        <f>data!C145</f>
        <v>6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347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854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4387-0091-4698-A5BC-D6180E59C911}">
  <sheetPr codeName="Sheet4">
    <pageSetUpPr fitToPage="1"/>
  </sheetPr>
  <dimension ref="A1:G33"/>
  <sheetViews>
    <sheetView zoomScaleNormal="100" workbookViewId="0">
      <selection activeCell="N5" sqref="N5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1350</v>
      </c>
      <c r="G1" s="70" t="s">
        <v>1351</v>
      </c>
    </row>
    <row r="2" spans="1:7" ht="20.149999999999999" customHeight="1" x14ac:dyDescent="0.35">
      <c r="A2" s="1" t="str">
        <f>"Hospital: "&amp;data!C98</f>
        <v>Hospital: Public Hospital District No 1 of Mason County, WA, DBA Mason Health</v>
      </c>
      <c r="G2" s="4" t="s">
        <v>1352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1353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1354</v>
      </c>
      <c r="C5" s="83"/>
      <c r="D5" s="83"/>
      <c r="E5" s="134" t="s">
        <v>362</v>
      </c>
      <c r="F5" s="83"/>
      <c r="G5" s="83"/>
    </row>
    <row r="6" spans="1:7" ht="20.149999999999999" customHeight="1" x14ac:dyDescent="0.35">
      <c r="A6" s="135" t="s">
        <v>1355</v>
      </c>
      <c r="B6" s="88" t="s">
        <v>335</v>
      </c>
      <c r="C6" s="88" t="s">
        <v>1356</v>
      </c>
      <c r="D6" s="88" t="s">
        <v>358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356</v>
      </c>
      <c r="B7" s="136">
        <f>data!B154</f>
        <v>800</v>
      </c>
      <c r="C7" s="136">
        <f>data!B155</f>
        <v>3232</v>
      </c>
      <c r="D7" s="136">
        <f>data!B156</f>
        <v>66646</v>
      </c>
      <c r="E7" s="136">
        <f>data!B157</f>
        <v>36037320</v>
      </c>
      <c r="F7" s="136">
        <f>data!B158</f>
        <v>115582716</v>
      </c>
      <c r="G7" s="136">
        <f>data!B157+data!B158</f>
        <v>151620036</v>
      </c>
    </row>
    <row r="8" spans="1:7" ht="20.149999999999999" customHeight="1" x14ac:dyDescent="0.35">
      <c r="A8" s="72" t="s">
        <v>357</v>
      </c>
      <c r="B8" s="136">
        <f>data!C154</f>
        <v>439</v>
      </c>
      <c r="C8" s="136">
        <f>data!C155</f>
        <v>1136</v>
      </c>
      <c r="D8" s="136">
        <f>data!C156</f>
        <v>62866</v>
      </c>
      <c r="E8" s="136">
        <f>data!C157</f>
        <v>20781370</v>
      </c>
      <c r="F8" s="136">
        <f>data!C158</f>
        <v>75838575</v>
      </c>
      <c r="G8" s="136">
        <f>data!C157+data!C158</f>
        <v>96619945</v>
      </c>
    </row>
    <row r="9" spans="1:7" ht="20.149999999999999" customHeight="1" x14ac:dyDescent="0.35">
      <c r="A9" s="72" t="s">
        <v>1357</v>
      </c>
      <c r="B9" s="136">
        <f>data!D154</f>
        <v>265</v>
      </c>
      <c r="C9" s="136">
        <f>data!D155</f>
        <v>788</v>
      </c>
      <c r="D9" s="136">
        <f>data!D156</f>
        <v>66120</v>
      </c>
      <c r="E9" s="136">
        <f>data!D157</f>
        <v>12267962</v>
      </c>
      <c r="F9" s="136">
        <f>data!D158</f>
        <v>75311946</v>
      </c>
      <c r="G9" s="136">
        <f>data!D157+data!D158</f>
        <v>87579908</v>
      </c>
    </row>
    <row r="10" spans="1:7" ht="20.149999999999999" customHeight="1" x14ac:dyDescent="0.35">
      <c r="A10" s="87" t="s">
        <v>230</v>
      </c>
      <c r="B10" s="136">
        <f>data!E154</f>
        <v>1504</v>
      </c>
      <c r="C10" s="136">
        <f>data!E155</f>
        <v>5156</v>
      </c>
      <c r="D10" s="136">
        <f>data!E156</f>
        <v>195632</v>
      </c>
      <c r="E10" s="136">
        <f>data!E157</f>
        <v>69086652</v>
      </c>
      <c r="F10" s="136">
        <f>data!E158</f>
        <v>266733237</v>
      </c>
      <c r="G10" s="136">
        <f>E10+F10</f>
        <v>335819889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1358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1354</v>
      </c>
      <c r="C14" s="142"/>
      <c r="D14" s="142"/>
      <c r="E14" s="142" t="s">
        <v>362</v>
      </c>
      <c r="F14" s="142"/>
      <c r="G14" s="142"/>
    </row>
    <row r="15" spans="1:7" ht="20.149999999999999" customHeight="1" x14ac:dyDescent="0.35">
      <c r="A15" s="135" t="s">
        <v>1355</v>
      </c>
      <c r="B15" s="88" t="s">
        <v>335</v>
      </c>
      <c r="C15" s="88" t="s">
        <v>1356</v>
      </c>
      <c r="D15" s="88" t="s">
        <v>358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356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357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1357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1359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1354</v>
      </c>
      <c r="C23" s="83"/>
      <c r="D23" s="83"/>
      <c r="E23" s="83" t="s">
        <v>362</v>
      </c>
      <c r="F23" s="83"/>
      <c r="G23" s="83"/>
    </row>
    <row r="24" spans="1:7" ht="20.149999999999999" customHeight="1" x14ac:dyDescent="0.35">
      <c r="A24" s="135" t="s">
        <v>1355</v>
      </c>
      <c r="B24" s="88" t="s">
        <v>335</v>
      </c>
      <c r="C24" s="88" t="s">
        <v>1356</v>
      </c>
      <c r="D24" s="88" t="s">
        <v>358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356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357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1357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1360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1361</v>
      </c>
      <c r="C32" s="148">
        <f>data!B173</f>
        <v>2711139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1362</v>
      </c>
      <c r="C33" s="144">
        <f>data!C173</f>
        <v>1725622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6FFA-8103-4CE6-A424-0D60FB88EC04}">
  <sheetPr codeName="Sheet5">
    <pageSetUpPr fitToPage="1"/>
  </sheetPr>
  <dimension ref="A1:C41"/>
  <sheetViews>
    <sheetView workbookViewId="0">
      <selection activeCell="E12" sqref="E12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365</v>
      </c>
      <c r="B1" s="71"/>
      <c r="C1" s="70" t="s">
        <v>855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Public Hospital District No 1 of Mason County, WA, DBA Mason Health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366</v>
      </c>
      <c r="C5" s="132"/>
    </row>
    <row r="6" spans="1:3" ht="20.149999999999999" customHeight="1" x14ac:dyDescent="0.35">
      <c r="A6" s="152">
        <v>2</v>
      </c>
      <c r="B6" s="73" t="s">
        <v>856</v>
      </c>
      <c r="C6" s="72">
        <f>data!C181</f>
        <v>4212095.1500000004</v>
      </c>
    </row>
    <row r="7" spans="1:3" ht="20.149999999999999" customHeight="1" x14ac:dyDescent="0.35">
      <c r="A7" s="153">
        <v>3</v>
      </c>
      <c r="B7" s="92" t="s">
        <v>368</v>
      </c>
      <c r="C7" s="72">
        <f>data!C182</f>
        <v>65223.21</v>
      </c>
    </row>
    <row r="8" spans="1:3" ht="20.149999999999999" customHeight="1" x14ac:dyDescent="0.35">
      <c r="A8" s="153">
        <v>4</v>
      </c>
      <c r="B8" s="73" t="s">
        <v>369</v>
      </c>
      <c r="C8" s="72">
        <f>data!C183</f>
        <v>524066.14</v>
      </c>
    </row>
    <row r="9" spans="1:3" ht="20.149999999999999" customHeight="1" x14ac:dyDescent="0.35">
      <c r="A9" s="153">
        <v>5</v>
      </c>
      <c r="B9" s="73" t="s">
        <v>370</v>
      </c>
      <c r="C9" s="72">
        <f>data!C184</f>
        <v>10507233.75</v>
      </c>
    </row>
    <row r="10" spans="1:3" ht="20.149999999999999" customHeight="1" x14ac:dyDescent="0.35">
      <c r="A10" s="153">
        <v>6</v>
      </c>
      <c r="B10" s="73" t="s">
        <v>371</v>
      </c>
      <c r="C10" s="72">
        <f>data!C185</f>
        <v>31996.98</v>
      </c>
    </row>
    <row r="11" spans="1:3" ht="20.149999999999999" customHeight="1" x14ac:dyDescent="0.35">
      <c r="A11" s="153">
        <v>7</v>
      </c>
      <c r="B11" s="73" t="s">
        <v>372</v>
      </c>
      <c r="C11" s="72">
        <f>data!C186</f>
        <v>3223736.83</v>
      </c>
    </row>
    <row r="12" spans="1:3" ht="20.149999999999999" customHeight="1" x14ac:dyDescent="0.35">
      <c r="A12" s="153">
        <v>8</v>
      </c>
      <c r="B12" s="73" t="s">
        <v>373</v>
      </c>
      <c r="C12" s="72">
        <f>data!C187</f>
        <v>252234.09000000003</v>
      </c>
    </row>
    <row r="13" spans="1:3" ht="20.149999999999999" customHeight="1" x14ac:dyDescent="0.35">
      <c r="A13" s="153">
        <v>9</v>
      </c>
      <c r="B13" s="73" t="s">
        <v>373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857</v>
      </c>
      <c r="C14" s="72">
        <f>data!D189</f>
        <v>18816586.150000002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374</v>
      </c>
      <c r="C17" s="86"/>
    </row>
    <row r="18" spans="1:3" ht="20.149999999999999" customHeight="1" x14ac:dyDescent="0.35">
      <c r="A18" s="72">
        <v>12</v>
      </c>
      <c r="B18" s="73" t="s">
        <v>858</v>
      </c>
      <c r="C18" s="72">
        <f>data!C191</f>
        <v>22336.51</v>
      </c>
    </row>
    <row r="19" spans="1:3" ht="20.149999999999999" customHeight="1" x14ac:dyDescent="0.35">
      <c r="A19" s="72">
        <v>13</v>
      </c>
      <c r="B19" s="73" t="s">
        <v>859</v>
      </c>
      <c r="C19" s="72">
        <f>data!C192</f>
        <v>302032.92000000004</v>
      </c>
    </row>
    <row r="20" spans="1:3" ht="20.149999999999999" customHeight="1" x14ac:dyDescent="0.35">
      <c r="A20" s="72">
        <v>14</v>
      </c>
      <c r="B20" s="73" t="s">
        <v>860</v>
      </c>
      <c r="C20" s="72">
        <f>data!D193</f>
        <v>324369.43000000005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377</v>
      </c>
      <c r="C23" s="132"/>
    </row>
    <row r="24" spans="1:3" ht="20.149999999999999" customHeight="1" x14ac:dyDescent="0.35">
      <c r="A24" s="72">
        <v>16</v>
      </c>
      <c r="B24" s="84" t="s">
        <v>861</v>
      </c>
      <c r="C24" s="157"/>
    </row>
    <row r="25" spans="1:3" ht="20.149999999999999" customHeight="1" x14ac:dyDescent="0.35">
      <c r="A25" s="72">
        <v>17</v>
      </c>
      <c r="B25" s="73" t="s">
        <v>862</v>
      </c>
      <c r="C25" s="72">
        <f>data!C195</f>
        <v>583227.43999999994</v>
      </c>
    </row>
    <row r="26" spans="1:3" ht="20.149999999999999" customHeight="1" x14ac:dyDescent="0.35">
      <c r="A26" s="72">
        <v>18</v>
      </c>
      <c r="B26" s="73" t="s">
        <v>379</v>
      </c>
      <c r="C26" s="72">
        <f>data!C196</f>
        <v>679535.24</v>
      </c>
    </row>
    <row r="27" spans="1:3" ht="20.149999999999999" customHeight="1" x14ac:dyDescent="0.35">
      <c r="A27" s="72">
        <v>19</v>
      </c>
      <c r="B27" s="73" t="s">
        <v>863</v>
      </c>
      <c r="C27" s="72">
        <f>data!D197</f>
        <v>1262762.68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864</v>
      </c>
      <c r="C30" s="142"/>
    </row>
    <row r="31" spans="1:3" ht="20.149999999999999" customHeight="1" x14ac:dyDescent="0.35">
      <c r="A31" s="72">
        <v>21</v>
      </c>
      <c r="B31" s="73" t="s">
        <v>381</v>
      </c>
      <c r="C31" s="72">
        <f>data!C199</f>
        <v>0</v>
      </c>
    </row>
    <row r="32" spans="1:3" ht="20.149999999999999" customHeight="1" x14ac:dyDescent="0.35">
      <c r="A32" s="72">
        <v>22</v>
      </c>
      <c r="B32" s="73" t="s">
        <v>865</v>
      </c>
      <c r="C32" s="72">
        <f>data!C200</f>
        <v>683332.67999999993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866</v>
      </c>
      <c r="C34" s="72">
        <f>data!D202</f>
        <v>683332.67999999993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383</v>
      </c>
      <c r="C37" s="132"/>
    </row>
    <row r="38" spans="1:3" ht="20.149999999999999" customHeight="1" x14ac:dyDescent="0.35">
      <c r="A38" s="72">
        <v>26</v>
      </c>
      <c r="B38" s="73" t="s">
        <v>867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385</v>
      </c>
      <c r="C39" s="72">
        <f>data!C205</f>
        <v>3187322.1199999996</v>
      </c>
    </row>
    <row r="40" spans="1:3" ht="20.149999999999999" customHeight="1" x14ac:dyDescent="0.35">
      <c r="A40" s="72">
        <v>28</v>
      </c>
      <c r="B40" s="73" t="s">
        <v>868</v>
      </c>
      <c r="C40" s="72">
        <f>data!D206</f>
        <v>3187322.1199999996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C686-C455-457F-845A-ADCF65A1D7E8}">
  <sheetPr codeName="Sheet6">
    <pageSetUpPr fitToPage="1"/>
  </sheetPr>
  <dimension ref="A1:F32"/>
  <sheetViews>
    <sheetView workbookViewId="0">
      <selection activeCell="I27" sqref="I27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386</v>
      </c>
      <c r="B1" s="71"/>
      <c r="C1" s="71"/>
      <c r="D1" s="71"/>
      <c r="E1" s="71"/>
      <c r="F1" s="70" t="s">
        <v>869</v>
      </c>
    </row>
    <row r="3" spans="1:6" ht="20.149999999999999" customHeight="1" x14ac:dyDescent="0.35">
      <c r="A3" s="129" t="str">
        <f>"Hospital: "&amp;data!C98</f>
        <v>Hospital: Public Hospital District No 1 of Mason County, WA, DBA Mason Health</v>
      </c>
      <c r="F3" s="151" t="str">
        <f>"FYE: "&amp;data!C96</f>
        <v>FYE: 12/31/2023</v>
      </c>
    </row>
    <row r="4" spans="1:6" ht="20.149999999999999" customHeight="1" x14ac:dyDescent="0.35">
      <c r="A4" s="157" t="s">
        <v>387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870</v>
      </c>
      <c r="D5" s="160"/>
      <c r="E5" s="160"/>
      <c r="F5" s="160" t="s">
        <v>871</v>
      </c>
    </row>
    <row r="6" spans="1:6" ht="20.149999999999999" customHeight="1" x14ac:dyDescent="0.35">
      <c r="A6" s="161"/>
      <c r="B6" s="79"/>
      <c r="C6" s="162" t="s">
        <v>872</v>
      </c>
      <c r="D6" s="162" t="s">
        <v>389</v>
      </c>
      <c r="E6" s="162" t="s">
        <v>873</v>
      </c>
      <c r="F6" s="162" t="s">
        <v>872</v>
      </c>
    </row>
    <row r="7" spans="1:6" ht="20.149999999999999" customHeight="1" x14ac:dyDescent="0.35">
      <c r="A7" s="72">
        <v>1</v>
      </c>
      <c r="B7" s="76" t="s">
        <v>392</v>
      </c>
      <c r="C7" s="76">
        <f>data!B211</f>
        <v>2015497.22</v>
      </c>
      <c r="D7" s="76">
        <f>data!C211</f>
        <v>802054.85</v>
      </c>
      <c r="E7" s="76">
        <f>data!D211</f>
        <v>0</v>
      </c>
      <c r="F7" s="76">
        <f>+C7+D7-E7</f>
        <v>2817552.07</v>
      </c>
    </row>
    <row r="8" spans="1:6" ht="20.149999999999999" customHeight="1" x14ac:dyDescent="0.35">
      <c r="A8" s="72">
        <v>2</v>
      </c>
      <c r="B8" s="76" t="s">
        <v>393</v>
      </c>
      <c r="C8" s="76">
        <f>data!B212</f>
        <v>11111246.290000001</v>
      </c>
      <c r="D8" s="76">
        <f>data!C212</f>
        <v>0</v>
      </c>
      <c r="E8" s="76">
        <f>data!D212</f>
        <v>0</v>
      </c>
      <c r="F8" s="76">
        <f t="shared" ref="F8:F15" si="0">+C8+D8-E8</f>
        <v>11111246.290000001</v>
      </c>
    </row>
    <row r="9" spans="1:6" ht="20.149999999999999" customHeight="1" x14ac:dyDescent="0.35">
      <c r="A9" s="72">
        <v>3</v>
      </c>
      <c r="B9" s="76" t="s">
        <v>394</v>
      </c>
      <c r="C9" s="76">
        <f>data!B213</f>
        <v>59943438.190000005</v>
      </c>
      <c r="D9" s="76">
        <f>data!C213</f>
        <v>252857</v>
      </c>
      <c r="E9" s="76">
        <f>data!D213</f>
        <v>0</v>
      </c>
      <c r="F9" s="76">
        <f t="shared" si="0"/>
        <v>60196295.190000005</v>
      </c>
    </row>
    <row r="10" spans="1:6" ht="20.149999999999999" customHeight="1" x14ac:dyDescent="0.35">
      <c r="A10" s="72">
        <v>4</v>
      </c>
      <c r="B10" s="76" t="s">
        <v>874</v>
      </c>
      <c r="C10" s="76">
        <f>data!B214</f>
        <v>33411007.440000001</v>
      </c>
      <c r="D10" s="76">
        <f>data!C214</f>
        <v>1079577</v>
      </c>
      <c r="E10" s="76">
        <f>data!D214</f>
        <v>0</v>
      </c>
      <c r="F10" s="76">
        <f t="shared" si="0"/>
        <v>34490584.439999998</v>
      </c>
    </row>
    <row r="11" spans="1:6" ht="20.149999999999999" customHeight="1" x14ac:dyDescent="0.35">
      <c r="A11" s="72">
        <v>5</v>
      </c>
      <c r="B11" s="76" t="s">
        <v>875</v>
      </c>
      <c r="C11" s="76">
        <f>data!B215</f>
        <v>0</v>
      </c>
      <c r="D11" s="76">
        <f>data!C215</f>
        <v>55441125.560000002</v>
      </c>
      <c r="E11" s="76">
        <f>data!D215</f>
        <v>0</v>
      </c>
      <c r="F11" s="76">
        <f t="shared" si="0"/>
        <v>55441125.560000002</v>
      </c>
    </row>
    <row r="12" spans="1:6" ht="20.149999999999999" customHeight="1" x14ac:dyDescent="0.35">
      <c r="A12" s="72">
        <v>6</v>
      </c>
      <c r="B12" s="76" t="s">
        <v>876</v>
      </c>
      <c r="C12" s="76">
        <f>data!B216</f>
        <v>43227995.780000001</v>
      </c>
      <c r="D12" s="76">
        <f>data!C216</f>
        <v>3751628</v>
      </c>
      <c r="E12" s="76">
        <f>data!D216</f>
        <v>494490</v>
      </c>
      <c r="F12" s="76">
        <f t="shared" si="0"/>
        <v>46485133.780000001</v>
      </c>
    </row>
    <row r="13" spans="1:6" ht="20.149999999999999" customHeight="1" x14ac:dyDescent="0.35">
      <c r="A13" s="72">
        <v>7</v>
      </c>
      <c r="B13" s="76" t="s">
        <v>877</v>
      </c>
      <c r="C13" s="76">
        <f>data!B217</f>
        <v>640218</v>
      </c>
      <c r="D13" s="76">
        <f>data!C217</f>
        <v>1730358</v>
      </c>
      <c r="E13" s="76">
        <f>data!D217</f>
        <v>0</v>
      </c>
      <c r="F13" s="76">
        <f t="shared" si="0"/>
        <v>2370576</v>
      </c>
    </row>
    <row r="14" spans="1:6" ht="20.149999999999999" customHeight="1" x14ac:dyDescent="0.35">
      <c r="A14" s="72">
        <v>8</v>
      </c>
      <c r="B14" s="76" t="s">
        <v>399</v>
      </c>
      <c r="C14" s="76">
        <f>data!B218</f>
        <v>1174052.3700000001</v>
      </c>
      <c r="D14" s="76">
        <f>data!C218</f>
        <v>0</v>
      </c>
      <c r="E14" s="76">
        <f>data!D218</f>
        <v>0</v>
      </c>
      <c r="F14" s="76">
        <f t="shared" si="0"/>
        <v>1174052.3700000001</v>
      </c>
    </row>
    <row r="15" spans="1:6" ht="20.149999999999999" customHeight="1" x14ac:dyDescent="0.35">
      <c r="A15" s="72">
        <v>9</v>
      </c>
      <c r="B15" s="76" t="s">
        <v>878</v>
      </c>
      <c r="C15" s="76">
        <f>data!B219</f>
        <v>2874056.01</v>
      </c>
      <c r="D15" s="76">
        <f>data!C219</f>
        <v>475909</v>
      </c>
      <c r="E15" s="76">
        <f>data!D219</f>
        <v>0</v>
      </c>
      <c r="F15" s="76">
        <f t="shared" si="0"/>
        <v>3349965.01</v>
      </c>
    </row>
    <row r="16" spans="1:6" ht="20.149999999999999" customHeight="1" x14ac:dyDescent="0.35">
      <c r="A16" s="72">
        <v>10</v>
      </c>
      <c r="B16" s="76" t="s">
        <v>613</v>
      </c>
      <c r="C16" s="76">
        <f>SUM(C7:C15)</f>
        <v>154397511.30000001</v>
      </c>
      <c r="D16" s="76">
        <f>data!C220</f>
        <v>63533509.410000004</v>
      </c>
      <c r="E16" s="76">
        <f>data!D220</f>
        <v>494490</v>
      </c>
      <c r="F16" s="76">
        <f>SUM(F7:F15)</f>
        <v>217436530.71000001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401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870</v>
      </c>
      <c r="D21" s="4" t="s">
        <v>230</v>
      </c>
      <c r="E21" s="162"/>
      <c r="F21" s="162" t="s">
        <v>871</v>
      </c>
    </row>
    <row r="22" spans="1:6" ht="20.149999999999999" customHeight="1" x14ac:dyDescent="0.35">
      <c r="A22" s="163"/>
      <c r="B22" s="155"/>
      <c r="C22" s="162" t="s">
        <v>872</v>
      </c>
      <c r="D22" s="162" t="s">
        <v>879</v>
      </c>
      <c r="E22" s="162" t="s">
        <v>873</v>
      </c>
      <c r="F22" s="162" t="s">
        <v>872</v>
      </c>
    </row>
    <row r="23" spans="1:6" ht="20.149999999999999" customHeight="1" x14ac:dyDescent="0.35">
      <c r="A23" s="72">
        <v>11</v>
      </c>
      <c r="B23" s="164" t="s">
        <v>392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393</v>
      </c>
      <c r="C24" s="76">
        <f>data!B225</f>
        <v>4231007.92</v>
      </c>
      <c r="D24" s="76">
        <f>+data!C225</f>
        <v>718556.88</v>
      </c>
      <c r="E24" s="76">
        <f>+data!D225</f>
        <v>0</v>
      </c>
      <c r="F24" s="76">
        <f>+C24+D24-E24</f>
        <v>4949564.8</v>
      </c>
    </row>
    <row r="25" spans="1:6" ht="20.149999999999999" customHeight="1" x14ac:dyDescent="0.35">
      <c r="A25" s="72">
        <v>13</v>
      </c>
      <c r="B25" s="76" t="s">
        <v>394</v>
      </c>
      <c r="C25" s="76">
        <f>data!B226</f>
        <v>26993366.239999998</v>
      </c>
      <c r="D25" s="76">
        <f>+data!C226</f>
        <v>1807451.2800000012</v>
      </c>
      <c r="E25" s="76">
        <f>+data!D226</f>
        <v>0</v>
      </c>
      <c r="F25" s="76">
        <f t="shared" ref="F25:F31" si="1">+C25+D25-E25</f>
        <v>28800817.52</v>
      </c>
    </row>
    <row r="26" spans="1:6" ht="20.149999999999999" customHeight="1" x14ac:dyDescent="0.35">
      <c r="A26" s="72">
        <v>14</v>
      </c>
      <c r="B26" s="76" t="s">
        <v>874</v>
      </c>
      <c r="C26" s="76">
        <f>data!B227</f>
        <v>15895318.149999999</v>
      </c>
      <c r="D26" s="76">
        <f>+data!C227</f>
        <v>1680374.98</v>
      </c>
      <c r="E26" s="76">
        <f>+data!D227</f>
        <v>0</v>
      </c>
      <c r="F26" s="76">
        <f t="shared" si="1"/>
        <v>17575693.129999999</v>
      </c>
    </row>
    <row r="27" spans="1:6" ht="20.149999999999999" customHeight="1" x14ac:dyDescent="0.35">
      <c r="A27" s="72">
        <v>15</v>
      </c>
      <c r="B27" s="76" t="s">
        <v>875</v>
      </c>
      <c r="C27" s="76">
        <f>data!B228</f>
        <v>0</v>
      </c>
      <c r="D27" s="76">
        <f>+data!C228</f>
        <v>17777374</v>
      </c>
      <c r="E27" s="76">
        <f>+data!D228</f>
        <v>0</v>
      </c>
      <c r="F27" s="76">
        <f t="shared" si="1"/>
        <v>17777374</v>
      </c>
    </row>
    <row r="28" spans="1:6" ht="20.149999999999999" customHeight="1" x14ac:dyDescent="0.35">
      <c r="A28" s="72">
        <v>16</v>
      </c>
      <c r="B28" s="76" t="s">
        <v>876</v>
      </c>
      <c r="C28" s="76">
        <f>data!B229</f>
        <v>34189298.379999995</v>
      </c>
      <c r="D28" s="76">
        <f>+data!C229</f>
        <v>2641685.2100000009</v>
      </c>
      <c r="E28" s="76">
        <f>+data!D229</f>
        <v>480821</v>
      </c>
      <c r="F28" s="76">
        <f t="shared" si="1"/>
        <v>36350162.589999996</v>
      </c>
    </row>
    <row r="29" spans="1:6" ht="20.149999999999999" customHeight="1" x14ac:dyDescent="0.35">
      <c r="A29" s="72">
        <v>17</v>
      </c>
      <c r="B29" s="76" t="s">
        <v>877</v>
      </c>
      <c r="C29" s="76">
        <f>data!B230</f>
        <v>213406</v>
      </c>
      <c r="D29" s="76">
        <f>+data!C230</f>
        <v>1073020.33</v>
      </c>
      <c r="E29" s="76">
        <f>+data!D230</f>
        <v>0</v>
      </c>
      <c r="F29" s="76">
        <f t="shared" si="1"/>
        <v>1286426.33</v>
      </c>
    </row>
    <row r="30" spans="1:6" ht="20.149999999999999" customHeight="1" x14ac:dyDescent="0.35">
      <c r="A30" s="72">
        <v>18</v>
      </c>
      <c r="B30" s="76" t="s">
        <v>399</v>
      </c>
      <c r="C30" s="76">
        <f>data!B231</f>
        <v>820288.89</v>
      </c>
      <c r="D30" s="76">
        <f>+data!C231</f>
        <v>113959.56000000006</v>
      </c>
      <c r="E30" s="76">
        <f>+data!D231</f>
        <v>0</v>
      </c>
      <c r="F30" s="76">
        <f t="shared" si="1"/>
        <v>934248.45000000007</v>
      </c>
    </row>
    <row r="31" spans="1:6" ht="20.149999999999999" customHeight="1" x14ac:dyDescent="0.35">
      <c r="A31" s="72">
        <v>19</v>
      </c>
      <c r="B31" s="76" t="s">
        <v>878</v>
      </c>
      <c r="C31" s="76">
        <f>data!B232</f>
        <v>0</v>
      </c>
      <c r="D31" s="76">
        <f>+data!C232</f>
        <v>0</v>
      </c>
      <c r="E31" s="76">
        <f>+data!D232</f>
        <v>0</v>
      </c>
      <c r="F31" s="76">
        <f t="shared" si="1"/>
        <v>0</v>
      </c>
    </row>
    <row r="32" spans="1:6" ht="20.149999999999999" customHeight="1" x14ac:dyDescent="0.35">
      <c r="A32" s="72">
        <v>20</v>
      </c>
      <c r="B32" s="76" t="s">
        <v>613</v>
      </c>
      <c r="C32" s="76">
        <f>SUM(C24:C31)</f>
        <v>82342685.579999998</v>
      </c>
      <c r="D32" s="76">
        <f t="shared" ref="D32:F32" si="2">SUM(D24:D31)</f>
        <v>25812422.239999998</v>
      </c>
      <c r="E32" s="76">
        <f t="shared" si="2"/>
        <v>480821</v>
      </c>
      <c r="F32" s="76">
        <f t="shared" si="2"/>
        <v>107674286.81999999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C4370-233F-45B7-921C-C3DBF9D14D01}">
  <sheetPr codeName="Sheet7">
    <pageSetUpPr fitToPage="1"/>
  </sheetPr>
  <dimension ref="A1:D34"/>
  <sheetViews>
    <sheetView zoomScaleNormal="100" workbookViewId="0">
      <selection activeCell="D27" sqref="D27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880</v>
      </c>
      <c r="B1" s="71"/>
      <c r="C1" s="71"/>
      <c r="D1" s="70" t="s">
        <v>881</v>
      </c>
    </row>
    <row r="2" spans="1:4" ht="20.149999999999999" customHeight="1" x14ac:dyDescent="0.35">
      <c r="A2" s="129" t="str">
        <f>"Hospital: "&amp;data!C98</f>
        <v>Hospital: Public Hospital District No 1 of Mason County, WA, DBA Mason Health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882</v>
      </c>
      <c r="C4" s="165" t="s">
        <v>883</v>
      </c>
      <c r="D4" s="166"/>
    </row>
    <row r="5" spans="1:4" ht="20.149999999999999" customHeight="1" x14ac:dyDescent="0.35">
      <c r="A5" s="133">
        <v>1</v>
      </c>
      <c r="B5" s="167"/>
      <c r="C5" s="89" t="s">
        <v>403</v>
      </c>
      <c r="D5" s="76">
        <f>data!D237</f>
        <v>2040032.9900000002</v>
      </c>
    </row>
    <row r="6" spans="1:4" ht="20.149999999999999" customHeight="1" x14ac:dyDescent="0.35">
      <c r="A6" s="72">
        <v>2</v>
      </c>
      <c r="B6" s="78"/>
      <c r="C6" s="151" t="s">
        <v>499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356</v>
      </c>
      <c r="D7" s="76">
        <f>data!C239</f>
        <v>90565597.150000006</v>
      </c>
    </row>
    <row r="8" spans="1:4" ht="20.149999999999999" customHeight="1" x14ac:dyDescent="0.35">
      <c r="A8" s="72">
        <v>4</v>
      </c>
      <c r="B8" s="167">
        <v>5820</v>
      </c>
      <c r="C8" s="76" t="s">
        <v>357</v>
      </c>
      <c r="D8" s="76">
        <f>data!C240</f>
        <v>58642866.079999998</v>
      </c>
    </row>
    <row r="9" spans="1:4" ht="20.149999999999999" customHeight="1" x14ac:dyDescent="0.35">
      <c r="A9" s="72">
        <v>5</v>
      </c>
      <c r="B9" s="167">
        <v>5830</v>
      </c>
      <c r="C9" s="76" t="s">
        <v>369</v>
      </c>
      <c r="D9" s="76">
        <f>data!C241</f>
        <v>9223881.7999999989</v>
      </c>
    </row>
    <row r="10" spans="1:4" ht="20.149999999999999" customHeight="1" x14ac:dyDescent="0.35">
      <c r="A10" s="72">
        <v>6</v>
      </c>
      <c r="B10" s="167">
        <v>5840</v>
      </c>
      <c r="C10" s="76" t="s">
        <v>408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884</v>
      </c>
      <c r="D11" s="76">
        <f>data!C243</f>
        <v>27488734.609999999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49999999999999" customHeight="1" x14ac:dyDescent="0.35">
      <c r="A13" s="72">
        <v>9</v>
      </c>
      <c r="B13" s="76"/>
      <c r="C13" s="76" t="s">
        <v>885</v>
      </c>
      <c r="D13" s="76">
        <f>data!D245</f>
        <v>185921079.64000005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412</v>
      </c>
      <c r="D15" s="162"/>
    </row>
    <row r="16" spans="1:4" ht="20.149999999999999" customHeight="1" x14ac:dyDescent="0.35">
      <c r="A16" s="161">
        <v>12</v>
      </c>
      <c r="B16" s="88"/>
      <c r="C16" s="73" t="s">
        <v>886</v>
      </c>
      <c r="D16" s="72">
        <f>data!C247</f>
        <v>1727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414</v>
      </c>
      <c r="D18" s="76">
        <f>data!C249</f>
        <v>467361</v>
      </c>
    </row>
    <row r="19" spans="1:4" ht="20.149999999999999" customHeight="1" x14ac:dyDescent="0.35">
      <c r="A19" s="170">
        <v>15</v>
      </c>
      <c r="B19" s="167">
        <v>5910</v>
      </c>
      <c r="C19" s="89" t="s">
        <v>887</v>
      </c>
      <c r="D19" s="76">
        <f>data!C250</f>
        <v>4430472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888</v>
      </c>
      <c r="D22" s="76">
        <f>data!D252</f>
        <v>4897833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418</v>
      </c>
      <c r="D24" s="76">
        <f>data!C254</f>
        <v>5769987.7800000003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889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890</v>
      </c>
      <c r="C27" s="88"/>
      <c r="D27" s="76">
        <f>+D24+D22+D13+D5</f>
        <v>198628933.41000006</v>
      </c>
    </row>
    <row r="28" spans="1:4" ht="20.149999999999999" customHeight="1" x14ac:dyDescent="0.35">
      <c r="A28" s="81">
        <v>24</v>
      </c>
      <c r="B28" s="147" t="s">
        <v>891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2024-06-26T16:17:33Z</cp:lastPrinted>
  <dcterms:created xsi:type="dcterms:W3CDTF">1999-06-02T22:01:56Z</dcterms:created>
  <dcterms:modified xsi:type="dcterms:W3CDTF">2024-06-27T17:43:03Z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