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BEEB96C2-4E0A-4D1E-9105-89A860BF629F}" xr6:coauthVersionLast="47" xr6:coauthVersionMax="47" xr10:uidLastSave="{00000000-0000-0000-0000-000000000000}"/>
  <workbookProtection workbookAlgorithmName="SHA-512" workbookHashValue="2h3l43Wb/KeejTKokhzsd5WSzLSLBn/4S3moRgmXVTJKgMSbAm8w0fZm2C78j9jIE6UdP0I1Wxmc4IyZHyBQhg==" workbookSaltValue="xMBS7qLmgvKTnQ7fA8GJwQ==" workbookSpinCount="100000" lockStructure="1"/>
  <bookViews>
    <workbookView xWindow="-110" yWindow="-110" windowWidth="19420" windowHeight="10420" tabRatio="764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83" i="24" l="1"/>
  <c r="BN83" i="24"/>
  <c r="BJ83" i="24"/>
  <c r="BH83" i="24"/>
  <c r="AY83" i="24"/>
  <c r="C83" i="24"/>
  <c r="E83" i="24"/>
  <c r="U83" i="24"/>
  <c r="V83" i="24"/>
  <c r="W83" i="24"/>
  <c r="Y83" i="24"/>
  <c r="AB83" i="24"/>
  <c r="AG83" i="24"/>
  <c r="AJ83" i="24"/>
  <c r="AV83" i="24"/>
  <c r="BY83" i="24"/>
  <c r="Y80" i="24" l="1"/>
  <c r="E80" i="24"/>
  <c r="C271" i="24" l="1"/>
  <c r="AV87" i="24" l="1"/>
  <c r="AV88" i="24"/>
  <c r="CC66" i="24" l="1"/>
  <c r="B47" i="24"/>
  <c r="CC64" i="24"/>
  <c r="CC63" i="24"/>
  <c r="CC47" i="24" l="1"/>
  <c r="CC61" i="24"/>
  <c r="C205" i="24"/>
  <c r="C187" i="24"/>
  <c r="AB88" i="24" l="1"/>
  <c r="Y88" i="24"/>
  <c r="V88" i="24"/>
  <c r="U88" i="24"/>
  <c r="S88" i="24"/>
  <c r="E88" i="24"/>
  <c r="AE87" i="24"/>
  <c r="AD87" i="24"/>
  <c r="AB87" i="24"/>
  <c r="Y87" i="24"/>
  <c r="U87" i="24"/>
  <c r="S87" i="24"/>
  <c r="E87" i="24"/>
  <c r="BY90" i="24" l="1"/>
  <c r="BE90" i="24"/>
  <c r="AV90" i="24"/>
  <c r="AJ90" i="24"/>
  <c r="Y90" i="24"/>
  <c r="E90" i="24"/>
  <c r="C184" i="24" l="1"/>
  <c r="AV93" i="24" l="1"/>
  <c r="Y93" i="24"/>
  <c r="E93" i="24"/>
  <c r="E91" i="24" l="1"/>
  <c r="CC81" i="24" l="1"/>
  <c r="Y81" i="24"/>
  <c r="CC75" i="24"/>
  <c r="CC77" i="24"/>
  <c r="AY77" i="24"/>
  <c r="Y77" i="24"/>
  <c r="S77" i="24"/>
  <c r="E77" i="24"/>
  <c r="E71" i="24"/>
  <c r="CC68" i="24"/>
  <c r="E68" i="24"/>
  <c r="BY66" i="24"/>
  <c r="BL66" i="24"/>
  <c r="BH66" i="24"/>
  <c r="BE66" i="24"/>
  <c r="AB66" i="24"/>
  <c r="Y66" i="24"/>
  <c r="S66" i="24"/>
  <c r="E66" i="24"/>
  <c r="Y65" i="24"/>
  <c r="BY64" i="24"/>
  <c r="S64" i="24"/>
  <c r="BN64" i="24"/>
  <c r="BL64" i="24"/>
  <c r="BH64" i="24"/>
  <c r="Y64" i="24"/>
  <c r="U64" i="24"/>
  <c r="E64" i="24"/>
  <c r="BY61" i="24"/>
  <c r="BL61" i="24"/>
  <c r="AY61" i="24"/>
  <c r="AL61" i="24"/>
  <c r="Y61" i="24"/>
  <c r="E61" i="24"/>
  <c r="CC60" i="24"/>
  <c r="BL60" i="24"/>
  <c r="AY60" i="24"/>
  <c r="AL60" i="24"/>
  <c r="Y60" i="24"/>
  <c r="E60" i="24"/>
  <c r="BY47" i="24" l="1"/>
  <c r="E47" i="24"/>
  <c r="BL47" i="24"/>
  <c r="Y47" i="24"/>
  <c r="AY47" i="24" l="1"/>
  <c r="AV47" i="24"/>
  <c r="AL47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F58" i="15"/>
  <c r="E58" i="15"/>
  <c r="D58" i="15"/>
  <c r="B58" i="15"/>
  <c r="H58" i="15" s="1"/>
  <c r="I58" i="15" s="1"/>
  <c r="E57" i="15"/>
  <c r="D57" i="15"/>
  <c r="B57" i="15"/>
  <c r="E56" i="15"/>
  <c r="D56" i="15"/>
  <c r="B56" i="15"/>
  <c r="H56" i="15" s="1"/>
  <c r="I56" i="15" s="1"/>
  <c r="F55" i="15"/>
  <c r="E55" i="15"/>
  <c r="D55" i="15"/>
  <c r="B55" i="15"/>
  <c r="H55" i="15" s="1"/>
  <c r="I55" i="15" s="1"/>
  <c r="E54" i="15"/>
  <c r="D54" i="15"/>
  <c r="B54" i="15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E50" i="15"/>
  <c r="D50" i="15"/>
  <c r="B50" i="15"/>
  <c r="E49" i="15"/>
  <c r="D49" i="15"/>
  <c r="B49" i="15"/>
  <c r="H49" i="15" s="1"/>
  <c r="I49" i="15" s="1"/>
  <c r="E48" i="15"/>
  <c r="D48" i="15"/>
  <c r="B48" i="15"/>
  <c r="E47" i="15"/>
  <c r="D47" i="15"/>
  <c r="B47" i="15"/>
  <c r="F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F28" i="15" s="1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F23" i="15" s="1"/>
  <c r="E22" i="15"/>
  <c r="D22" i="15"/>
  <c r="B22" i="15"/>
  <c r="E21" i="15"/>
  <c r="D21" i="15"/>
  <c r="B21" i="15"/>
  <c r="E20" i="15"/>
  <c r="D20" i="15"/>
  <c r="B20" i="15"/>
  <c r="F20" i="15" s="1"/>
  <c r="E19" i="15"/>
  <c r="D19" i="15"/>
  <c r="B19" i="15"/>
  <c r="F19" i="15" s="1"/>
  <c r="E18" i="15"/>
  <c r="D18" i="15"/>
  <c r="B18" i="15"/>
  <c r="E17" i="15"/>
  <c r="D17" i="15"/>
  <c r="B17" i="15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I382" i="34" s="1"/>
  <c r="CE91" i="24"/>
  <c r="G612" i="24" s="1"/>
  <c r="CE90" i="24"/>
  <c r="I380" i="34" s="1"/>
  <c r="AV89" i="24"/>
  <c r="AU89" i="24"/>
  <c r="AT89" i="24"/>
  <c r="AE45" i="31" s="1"/>
  <c r="AS89" i="24"/>
  <c r="AR89" i="24"/>
  <c r="AQ89" i="24"/>
  <c r="AP89" i="24"/>
  <c r="AO89" i="24"/>
  <c r="AE40" i="31" s="1"/>
  <c r="AN89" i="24"/>
  <c r="AM89" i="24"/>
  <c r="AL89" i="24"/>
  <c r="AK89" i="24"/>
  <c r="AJ89" i="24"/>
  <c r="AI89" i="24"/>
  <c r="AE34" i="31" s="1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AE16" i="31" s="1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615" i="24" s="1"/>
  <c r="CC69" i="24"/>
  <c r="CB69" i="24"/>
  <c r="CA69" i="24"/>
  <c r="BZ69" i="24"/>
  <c r="BY69" i="24"/>
  <c r="BX69" i="24"/>
  <c r="BW69" i="24"/>
  <c r="BV69" i="24"/>
  <c r="BU69" i="24"/>
  <c r="O72" i="31" s="1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O28" i="31" s="1"/>
  <c r="AB69" i="24"/>
  <c r="AA69" i="24"/>
  <c r="Z69" i="24"/>
  <c r="Y69" i="24"/>
  <c r="X69" i="24"/>
  <c r="W69" i="24"/>
  <c r="V69" i="24"/>
  <c r="O21" i="31" s="1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O5" i="31" s="1"/>
  <c r="E69" i="24"/>
  <c r="D69" i="24"/>
  <c r="O3" i="31" s="1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H612" i="24" s="1"/>
  <c r="B53" i="24"/>
  <c r="CE51" i="24"/>
  <c r="B49" i="24"/>
  <c r="CE47" i="24"/>
  <c r="F69" i="15" l="1"/>
  <c r="H16" i="15"/>
  <c r="I16" i="15" s="1"/>
  <c r="H19" i="15"/>
  <c r="I19" i="15" s="1"/>
  <c r="F43" i="15"/>
  <c r="F17" i="15"/>
  <c r="F29" i="15"/>
  <c r="F36" i="15"/>
  <c r="F39" i="15"/>
  <c r="H20" i="15"/>
  <c r="I20" i="15" s="1"/>
  <c r="F25" i="15"/>
  <c r="F49" i="15"/>
  <c r="H115" i="34"/>
  <c r="F50" i="15"/>
  <c r="F52" i="15"/>
  <c r="F33" i="15"/>
  <c r="F41" i="15"/>
  <c r="D308" i="24"/>
  <c r="C50" i="8" s="1"/>
  <c r="E48" i="24"/>
  <c r="E62" i="24" s="1"/>
  <c r="M48" i="24"/>
  <c r="M62" i="24" s="1"/>
  <c r="U48" i="24"/>
  <c r="U62" i="24" s="1"/>
  <c r="AM48" i="24"/>
  <c r="AM62" i="24" s="1"/>
  <c r="AC48" i="24"/>
  <c r="AC62" i="24" s="1"/>
  <c r="O48" i="24"/>
  <c r="O62" i="24" s="1"/>
  <c r="D367" i="24"/>
  <c r="C121" i="8" s="1"/>
  <c r="AF48" i="24"/>
  <c r="AF62" i="24" s="1"/>
  <c r="D140" i="34" s="1"/>
  <c r="Q48" i="24"/>
  <c r="Q62" i="24" s="1"/>
  <c r="C48" i="24"/>
  <c r="C62" i="24" s="1"/>
  <c r="S48" i="24"/>
  <c r="S62" i="24" s="1"/>
  <c r="H18" i="31" s="1"/>
  <c r="D48" i="24"/>
  <c r="D62" i="24" s="1"/>
  <c r="T48" i="24"/>
  <c r="T62" i="24" s="1"/>
  <c r="AJ48" i="24"/>
  <c r="AJ62" i="24" s="1"/>
  <c r="H23" i="15"/>
  <c r="I23" i="15" s="1"/>
  <c r="F26" i="15"/>
  <c r="H64" i="15"/>
  <c r="I64" i="15" s="1"/>
  <c r="W48" i="24"/>
  <c r="W62" i="24" s="1"/>
  <c r="AN48" i="24"/>
  <c r="AN62" i="24" s="1"/>
  <c r="F35" i="15"/>
  <c r="H48" i="24"/>
  <c r="H62" i="24" s="1"/>
  <c r="E233" i="24"/>
  <c r="F32" i="6" s="1"/>
  <c r="G48" i="24"/>
  <c r="G62" i="24" s="1"/>
  <c r="H6" i="31" s="1"/>
  <c r="X48" i="24"/>
  <c r="X62" i="24" s="1"/>
  <c r="H23" i="31" s="1"/>
  <c r="AO48" i="24"/>
  <c r="AO62" i="24" s="1"/>
  <c r="H40" i="31" s="1"/>
  <c r="I48" i="24"/>
  <c r="I62" i="24" s="1"/>
  <c r="Y48" i="24"/>
  <c r="Y62" i="24" s="1"/>
  <c r="H24" i="31" s="1"/>
  <c r="AA48" i="24"/>
  <c r="AA62" i="24" s="1"/>
  <c r="K48" i="24"/>
  <c r="K62" i="24" s="1"/>
  <c r="H10" i="31" s="1"/>
  <c r="L48" i="24"/>
  <c r="L62" i="24" s="1"/>
  <c r="AB48" i="24"/>
  <c r="AB62" i="24" s="1"/>
  <c r="F46" i="15"/>
  <c r="AE48" i="24"/>
  <c r="AE62" i="24" s="1"/>
  <c r="C140" i="34" s="1"/>
  <c r="P48" i="24"/>
  <c r="P62" i="24" s="1"/>
  <c r="F19" i="34"/>
  <c r="AG48" i="24"/>
  <c r="AG62" i="24" s="1"/>
  <c r="H32" i="31" s="1"/>
  <c r="F53" i="15"/>
  <c r="F56" i="15"/>
  <c r="F59" i="15"/>
  <c r="AI48" i="24"/>
  <c r="AI62" i="24" s="1"/>
  <c r="G140" i="34" s="1"/>
  <c r="F44" i="15"/>
  <c r="F186" i="34"/>
  <c r="C90" i="34"/>
  <c r="AK48" i="24"/>
  <c r="AK62" i="24" s="1"/>
  <c r="AQ48" i="24"/>
  <c r="AQ62" i="24" s="1"/>
  <c r="AR48" i="24"/>
  <c r="AR62" i="24" s="1"/>
  <c r="AS48" i="24"/>
  <c r="AS62" i="24" s="1"/>
  <c r="AU48" i="24"/>
  <c r="AU62" i="24" s="1"/>
  <c r="E204" i="34" s="1"/>
  <c r="AV48" i="24"/>
  <c r="AV62" i="24" s="1"/>
  <c r="F204" i="34" s="1"/>
  <c r="AW48" i="24"/>
  <c r="AW62" i="24" s="1"/>
  <c r="H48" i="31" s="1"/>
  <c r="AY48" i="24"/>
  <c r="AY62" i="24" s="1"/>
  <c r="I204" i="34" s="1"/>
  <c r="AZ48" i="24"/>
  <c r="AZ62" i="24" s="1"/>
  <c r="H51" i="31" s="1"/>
  <c r="BA48" i="24"/>
  <c r="BA62" i="24" s="1"/>
  <c r="D236" i="34" s="1"/>
  <c r="BC48" i="24"/>
  <c r="BC62" i="24" s="1"/>
  <c r="H54" i="31" s="1"/>
  <c r="BD48" i="24"/>
  <c r="BD62" i="24" s="1"/>
  <c r="H55" i="31" s="1"/>
  <c r="BE48" i="24"/>
  <c r="BE62" i="24" s="1"/>
  <c r="H236" i="34" s="1"/>
  <c r="BG48" i="24"/>
  <c r="BG62" i="24" s="1"/>
  <c r="C268" i="34" s="1"/>
  <c r="F48" i="24"/>
  <c r="F62" i="24" s="1"/>
  <c r="J48" i="24"/>
  <c r="J62" i="24" s="1"/>
  <c r="C44" i="34" s="1"/>
  <c r="N48" i="24"/>
  <c r="N62" i="24" s="1"/>
  <c r="R48" i="24"/>
  <c r="R62" i="24" s="1"/>
  <c r="H17" i="31" s="1"/>
  <c r="V48" i="24"/>
  <c r="V62" i="24" s="1"/>
  <c r="Z48" i="24"/>
  <c r="Z62" i="24" s="1"/>
  <c r="H25" i="31" s="1"/>
  <c r="AD48" i="24"/>
  <c r="AD62" i="24" s="1"/>
  <c r="H29" i="31" s="1"/>
  <c r="AH48" i="24"/>
  <c r="AH62" i="24" s="1"/>
  <c r="AL48" i="24"/>
  <c r="AL62" i="24" s="1"/>
  <c r="H37" i="31" s="1"/>
  <c r="AP48" i="24"/>
  <c r="AP62" i="24" s="1"/>
  <c r="H41" i="31" s="1"/>
  <c r="AT48" i="24"/>
  <c r="AT62" i="24" s="1"/>
  <c r="AX48" i="24"/>
  <c r="AX62" i="24" s="1"/>
  <c r="BB48" i="24"/>
  <c r="BB62" i="24" s="1"/>
  <c r="E236" i="34" s="1"/>
  <c r="BF48" i="24"/>
  <c r="BF62" i="24" s="1"/>
  <c r="BH48" i="24"/>
  <c r="BH62" i="24" s="1"/>
  <c r="H59" i="31" s="1"/>
  <c r="BI48" i="24"/>
  <c r="BI62" i="24" s="1"/>
  <c r="E268" i="34" s="1"/>
  <c r="BJ48" i="24"/>
  <c r="BJ62" i="24" s="1"/>
  <c r="F268" i="34" s="1"/>
  <c r="BK48" i="24"/>
  <c r="BK62" i="24" s="1"/>
  <c r="H62" i="31" s="1"/>
  <c r="BL48" i="24"/>
  <c r="BL62" i="24" s="1"/>
  <c r="H63" i="31" s="1"/>
  <c r="BM48" i="24"/>
  <c r="BM62" i="24" s="1"/>
  <c r="H64" i="31" s="1"/>
  <c r="BN48" i="24"/>
  <c r="BN62" i="24" s="1"/>
  <c r="C300" i="34" s="1"/>
  <c r="BO48" i="24"/>
  <c r="BO62" i="24" s="1"/>
  <c r="BP48" i="24"/>
  <c r="BP62" i="24" s="1"/>
  <c r="H67" i="31" s="1"/>
  <c r="BQ48" i="24"/>
  <c r="BQ62" i="24" s="1"/>
  <c r="F300" i="34" s="1"/>
  <c r="BR48" i="24"/>
  <c r="BR62" i="24" s="1"/>
  <c r="G300" i="34" s="1"/>
  <c r="BS48" i="24"/>
  <c r="BS62" i="24" s="1"/>
  <c r="H70" i="31" s="1"/>
  <c r="BT48" i="24"/>
  <c r="BT62" i="24" s="1"/>
  <c r="H71" i="31" s="1"/>
  <c r="BU48" i="24"/>
  <c r="BU62" i="24" s="1"/>
  <c r="BV48" i="24"/>
  <c r="BV62" i="24" s="1"/>
  <c r="D332" i="34" s="1"/>
  <c r="BW48" i="24"/>
  <c r="BW62" i="24" s="1"/>
  <c r="BX48" i="24"/>
  <c r="BX62" i="24" s="1"/>
  <c r="H75" i="31" s="1"/>
  <c r="BY48" i="24"/>
  <c r="BY62" i="24" s="1"/>
  <c r="G332" i="34" s="1"/>
  <c r="BZ48" i="24"/>
  <c r="BZ62" i="24" s="1"/>
  <c r="CA48" i="24"/>
  <c r="CA62" i="24" s="1"/>
  <c r="I332" i="34" s="1"/>
  <c r="CB48" i="24"/>
  <c r="CB62" i="24" s="1"/>
  <c r="H79" i="31" s="1"/>
  <c r="CC48" i="24"/>
  <c r="CC62" i="24" s="1"/>
  <c r="CD48" i="24"/>
  <c r="H36" i="31"/>
  <c r="I140" i="34"/>
  <c r="O32" i="31"/>
  <c r="E147" i="34"/>
  <c r="I383" i="34"/>
  <c r="J612" i="24"/>
  <c r="G19" i="4"/>
  <c r="E19" i="4"/>
  <c r="E220" i="24"/>
  <c r="H15" i="31"/>
  <c r="I44" i="34"/>
  <c r="H27" i="31"/>
  <c r="G108" i="34"/>
  <c r="H39" i="31"/>
  <c r="E172" i="34"/>
  <c r="O56" i="31"/>
  <c r="H243" i="34"/>
  <c r="F309" i="24"/>
  <c r="AE5" i="31"/>
  <c r="F26" i="34"/>
  <c r="AE17" i="31"/>
  <c r="D90" i="34"/>
  <c r="AE29" i="31"/>
  <c r="I122" i="34"/>
  <c r="AE41" i="31"/>
  <c r="G186" i="34"/>
  <c r="I19" i="34"/>
  <c r="O8" i="31"/>
  <c r="H28" i="31"/>
  <c r="H108" i="34"/>
  <c r="O68" i="31"/>
  <c r="F307" i="34"/>
  <c r="H16" i="31"/>
  <c r="C76" i="34"/>
  <c r="H30" i="31"/>
  <c r="H12" i="31"/>
  <c r="F44" i="34"/>
  <c r="O44" i="31"/>
  <c r="C211" i="34"/>
  <c r="CE69" i="24"/>
  <c r="I371" i="34" s="1"/>
  <c r="O80" i="31"/>
  <c r="D371" i="34"/>
  <c r="H4" i="31"/>
  <c r="E12" i="34"/>
  <c r="H42" i="31"/>
  <c r="H172" i="34"/>
  <c r="G83" i="34"/>
  <c r="O20" i="31"/>
  <c r="H22" i="31"/>
  <c r="I76" i="34"/>
  <c r="E19" i="34"/>
  <c r="O4" i="31"/>
  <c r="O40" i="31"/>
  <c r="F179" i="34"/>
  <c r="O52" i="31"/>
  <c r="D243" i="34"/>
  <c r="O64" i="31"/>
  <c r="I275" i="34"/>
  <c r="O76" i="31"/>
  <c r="G339" i="34"/>
  <c r="AE13" i="31"/>
  <c r="G58" i="34"/>
  <c r="AE25" i="31"/>
  <c r="E122" i="34"/>
  <c r="AE37" i="31"/>
  <c r="C186" i="34"/>
  <c r="H38" i="15"/>
  <c r="I38" i="15" s="1"/>
  <c r="F38" i="15"/>
  <c r="C339" i="34"/>
  <c r="H26" i="31"/>
  <c r="F108" i="34"/>
  <c r="O41" i="31"/>
  <c r="G179" i="34"/>
  <c r="AE2" i="31"/>
  <c r="C26" i="34"/>
  <c r="AE14" i="31"/>
  <c r="H58" i="34"/>
  <c r="AE26" i="31"/>
  <c r="F122" i="34"/>
  <c r="AE38" i="31"/>
  <c r="D186" i="34"/>
  <c r="CF90" i="24"/>
  <c r="C83" i="34"/>
  <c r="O16" i="31"/>
  <c r="H2" i="31"/>
  <c r="C12" i="34"/>
  <c r="H14" i="31"/>
  <c r="H44" i="34"/>
  <c r="H38" i="31"/>
  <c r="D172" i="34"/>
  <c r="O17" i="31"/>
  <c r="D83" i="34"/>
  <c r="O29" i="31"/>
  <c r="I115" i="34"/>
  <c r="O53" i="31"/>
  <c r="E243" i="34"/>
  <c r="O65" i="31"/>
  <c r="C307" i="34"/>
  <c r="O77" i="31"/>
  <c r="H339" i="34"/>
  <c r="O6" i="31"/>
  <c r="G19" i="34"/>
  <c r="O18" i="31"/>
  <c r="E83" i="34"/>
  <c r="O30" i="31"/>
  <c r="C147" i="34"/>
  <c r="O42" i="31"/>
  <c r="H179" i="34"/>
  <c r="O54" i="31"/>
  <c r="F243" i="34"/>
  <c r="O66" i="31"/>
  <c r="D307" i="34"/>
  <c r="O78" i="31"/>
  <c r="I339" i="34"/>
  <c r="AE3" i="31"/>
  <c r="D26" i="34"/>
  <c r="AE15" i="31"/>
  <c r="I58" i="34"/>
  <c r="AE27" i="31"/>
  <c r="G122" i="34"/>
  <c r="AE39" i="31"/>
  <c r="E186" i="34"/>
  <c r="I381" i="34"/>
  <c r="CF91" i="24"/>
  <c r="D612" i="24"/>
  <c r="O7" i="31"/>
  <c r="H19" i="34"/>
  <c r="O19" i="31"/>
  <c r="F83" i="34"/>
  <c r="O31" i="31"/>
  <c r="D147" i="34"/>
  <c r="O43" i="31"/>
  <c r="I179" i="34"/>
  <c r="O55" i="31"/>
  <c r="G243" i="34"/>
  <c r="O67" i="31"/>
  <c r="E307" i="34"/>
  <c r="O79" i="31"/>
  <c r="C371" i="34"/>
  <c r="D19" i="34"/>
  <c r="O9" i="31"/>
  <c r="C51" i="34"/>
  <c r="O33" i="31"/>
  <c r="F147" i="34"/>
  <c r="O45" i="31"/>
  <c r="D211" i="34"/>
  <c r="O57" i="31"/>
  <c r="I243" i="34"/>
  <c r="O69" i="31"/>
  <c r="G307" i="34"/>
  <c r="AE6" i="31"/>
  <c r="G26" i="34"/>
  <c r="AE18" i="31"/>
  <c r="E90" i="34"/>
  <c r="AE30" i="31"/>
  <c r="C154" i="34"/>
  <c r="AE42" i="31"/>
  <c r="H186" i="34"/>
  <c r="BQ2" i="30"/>
  <c r="D383" i="24"/>
  <c r="H43" i="31"/>
  <c r="I172" i="34"/>
  <c r="O10" i="31"/>
  <c r="D51" i="34"/>
  <c r="O22" i="31"/>
  <c r="I83" i="34"/>
  <c r="O34" i="31"/>
  <c r="G147" i="34"/>
  <c r="O46" i="31"/>
  <c r="E211" i="34"/>
  <c r="O58" i="31"/>
  <c r="C275" i="34"/>
  <c r="O70" i="31"/>
  <c r="H307" i="34"/>
  <c r="AE7" i="31"/>
  <c r="H26" i="34"/>
  <c r="AE19" i="31"/>
  <c r="F90" i="34"/>
  <c r="AE31" i="31"/>
  <c r="D154" i="34"/>
  <c r="AE43" i="31"/>
  <c r="I186" i="34"/>
  <c r="CF2" i="28"/>
  <c r="D5" i="7"/>
  <c r="I612" i="24"/>
  <c r="F63" i="15"/>
  <c r="H19" i="31"/>
  <c r="F76" i="34"/>
  <c r="O11" i="31"/>
  <c r="E51" i="34"/>
  <c r="O23" i="31"/>
  <c r="C115" i="34"/>
  <c r="O35" i="31"/>
  <c r="H147" i="34"/>
  <c r="O47" i="31"/>
  <c r="F211" i="34"/>
  <c r="O59" i="31"/>
  <c r="D275" i="34"/>
  <c r="O71" i="31"/>
  <c r="I307" i="34"/>
  <c r="AE8" i="31"/>
  <c r="I26" i="34"/>
  <c r="AE20" i="31"/>
  <c r="G90" i="34"/>
  <c r="AE32" i="31"/>
  <c r="E154" i="34"/>
  <c r="AE44" i="31"/>
  <c r="C218" i="34"/>
  <c r="H24" i="15"/>
  <c r="I24" i="15" s="1"/>
  <c r="F24" i="15"/>
  <c r="H20" i="31"/>
  <c r="G76" i="34"/>
  <c r="O24" i="31"/>
  <c r="D115" i="34"/>
  <c r="O48" i="31"/>
  <c r="G211" i="34"/>
  <c r="O60" i="31"/>
  <c r="E275" i="34"/>
  <c r="H83" i="34"/>
  <c r="H8" i="31"/>
  <c r="I12" i="34"/>
  <c r="H45" i="31"/>
  <c r="O12" i="31"/>
  <c r="F51" i="34"/>
  <c r="O36" i="31"/>
  <c r="I147" i="34"/>
  <c r="O13" i="31"/>
  <c r="G51" i="34"/>
  <c r="O25" i="31"/>
  <c r="E115" i="34"/>
  <c r="O37" i="31"/>
  <c r="C179" i="34"/>
  <c r="O49" i="31"/>
  <c r="H211" i="34"/>
  <c r="O61" i="31"/>
  <c r="F275" i="34"/>
  <c r="O73" i="31"/>
  <c r="D339" i="34"/>
  <c r="CD85" i="24"/>
  <c r="AE10" i="31"/>
  <c r="D58" i="34"/>
  <c r="AE22" i="31"/>
  <c r="I90" i="34"/>
  <c r="AE46" i="31"/>
  <c r="E218" i="34"/>
  <c r="G28" i="4"/>
  <c r="E28" i="4"/>
  <c r="D416" i="24"/>
  <c r="L612" i="24"/>
  <c r="F30" i="15"/>
  <c r="G154" i="34"/>
  <c r="E371" i="34"/>
  <c r="I366" i="34"/>
  <c r="F612" i="24"/>
  <c r="O2" i="31"/>
  <c r="C19" i="34"/>
  <c r="O26" i="31"/>
  <c r="F115" i="34"/>
  <c r="O38" i="31"/>
  <c r="D179" i="34"/>
  <c r="O50" i="31"/>
  <c r="I211" i="34"/>
  <c r="O62" i="31"/>
  <c r="G275" i="34"/>
  <c r="O74" i="31"/>
  <c r="E339" i="34"/>
  <c r="AE11" i="31"/>
  <c r="E58" i="34"/>
  <c r="AE23" i="31"/>
  <c r="C122" i="34"/>
  <c r="AE35" i="31"/>
  <c r="H154" i="34"/>
  <c r="AE47" i="31"/>
  <c r="F218" i="34"/>
  <c r="D258" i="24"/>
  <c r="D341" i="24"/>
  <c r="C87" i="8" s="1"/>
  <c r="H22" i="15"/>
  <c r="I22" i="15" s="1"/>
  <c r="F22" i="15"/>
  <c r="H57" i="15"/>
  <c r="I57" i="15" s="1"/>
  <c r="F57" i="15"/>
  <c r="H18" i="15"/>
  <c r="I18" i="15" s="1"/>
  <c r="F18" i="15"/>
  <c r="H7" i="31"/>
  <c r="H12" i="34"/>
  <c r="H31" i="31"/>
  <c r="H11" i="31"/>
  <c r="E44" i="34"/>
  <c r="H35" i="31"/>
  <c r="H140" i="34"/>
  <c r="H47" i="31"/>
  <c r="O14" i="31"/>
  <c r="H51" i="34"/>
  <c r="BK2" i="30"/>
  <c r="I362" i="34"/>
  <c r="O15" i="31"/>
  <c r="I51" i="34"/>
  <c r="O27" i="31"/>
  <c r="G115" i="34"/>
  <c r="O39" i="31"/>
  <c r="E179" i="34"/>
  <c r="O51" i="31"/>
  <c r="C243" i="34"/>
  <c r="O63" i="31"/>
  <c r="H275" i="34"/>
  <c r="O75" i="31"/>
  <c r="F339" i="34"/>
  <c r="AE12" i="31"/>
  <c r="F58" i="34"/>
  <c r="AE24" i="31"/>
  <c r="D122" i="34"/>
  <c r="AE36" i="31"/>
  <c r="I154" i="34"/>
  <c r="CE89" i="24"/>
  <c r="G10" i="4"/>
  <c r="DF2" i="30"/>
  <c r="C170" i="8"/>
  <c r="F420" i="24"/>
  <c r="F37" i="15"/>
  <c r="F48" i="15"/>
  <c r="AE9" i="31"/>
  <c r="C58" i="34"/>
  <c r="AE21" i="31"/>
  <c r="H90" i="34"/>
  <c r="AE33" i="31"/>
  <c r="F154" i="34"/>
  <c r="F42" i="15"/>
  <c r="F65" i="15"/>
  <c r="H51" i="15"/>
  <c r="I51" i="15" s="1"/>
  <c r="F51" i="15"/>
  <c r="F34" i="15"/>
  <c r="F45" i="15"/>
  <c r="F27" i="15"/>
  <c r="D218" i="34"/>
  <c r="AE4" i="31"/>
  <c r="E26" i="34"/>
  <c r="AE28" i="31"/>
  <c r="H122" i="34"/>
  <c r="C113" i="8"/>
  <c r="D12" i="33"/>
  <c r="F15" i="15"/>
  <c r="H21" i="15"/>
  <c r="I21" i="15" s="1"/>
  <c r="F21" i="15"/>
  <c r="H54" i="15"/>
  <c r="I54" i="15" s="1"/>
  <c r="F54" i="15"/>
  <c r="C716" i="25"/>
  <c r="D616" i="25"/>
  <c r="C649" i="25"/>
  <c r="M717" i="25" s="1"/>
  <c r="D352" i="24" l="1"/>
  <c r="C103" i="8" s="1"/>
  <c r="H34" i="31"/>
  <c r="F172" i="34"/>
  <c r="D384" i="24"/>
  <c r="H46" i="31"/>
  <c r="E76" i="34"/>
  <c r="G12" i="34"/>
  <c r="E140" i="34"/>
  <c r="C108" i="34"/>
  <c r="D44" i="34"/>
  <c r="D108" i="34"/>
  <c r="H52" i="31"/>
  <c r="BI52" i="24"/>
  <c r="BI67" i="24" s="1"/>
  <c r="BE52" i="24"/>
  <c r="BE67" i="24" s="1"/>
  <c r="BA52" i="24"/>
  <c r="BA67" i="24" s="1"/>
  <c r="BA85" i="24" s="1"/>
  <c r="AW52" i="24"/>
  <c r="AW67" i="24" s="1"/>
  <c r="AW85" i="24" s="1"/>
  <c r="G213" i="34" s="1"/>
  <c r="AS52" i="24"/>
  <c r="AS67" i="24" s="1"/>
  <c r="AS85" i="24" s="1"/>
  <c r="C710" i="24" s="1"/>
  <c r="AO52" i="24"/>
  <c r="AO67" i="24" s="1"/>
  <c r="AK52" i="24"/>
  <c r="AK67" i="24" s="1"/>
  <c r="AG52" i="24"/>
  <c r="AG67" i="24" s="1"/>
  <c r="AC52" i="24"/>
  <c r="AC67" i="24" s="1"/>
  <c r="Y52" i="24"/>
  <c r="Y67" i="24" s="1"/>
  <c r="U52" i="24"/>
  <c r="U67" i="24" s="1"/>
  <c r="Q52" i="24"/>
  <c r="Q67" i="24" s="1"/>
  <c r="M52" i="24"/>
  <c r="M67" i="24" s="1"/>
  <c r="I52" i="24"/>
  <c r="I67" i="24" s="1"/>
  <c r="E52" i="24"/>
  <c r="E67" i="24" s="1"/>
  <c r="BT52" i="24"/>
  <c r="BT67" i="24" s="1"/>
  <c r="BT85" i="24" s="1"/>
  <c r="I309" i="34" s="1"/>
  <c r="BL52" i="24"/>
  <c r="BL67" i="24" s="1"/>
  <c r="BL85" i="24" s="1"/>
  <c r="C637" i="24" s="1"/>
  <c r="BH52" i="24"/>
  <c r="BH67" i="24" s="1"/>
  <c r="BH85" i="24" s="1"/>
  <c r="D277" i="34" s="1"/>
  <c r="AZ52" i="24"/>
  <c r="AZ67" i="24" s="1"/>
  <c r="AV52" i="24"/>
  <c r="AV67" i="24" s="1"/>
  <c r="AN52" i="24"/>
  <c r="AN67" i="24" s="1"/>
  <c r="AF52" i="24"/>
  <c r="AF67" i="24" s="1"/>
  <c r="AB52" i="24"/>
  <c r="AB67" i="24" s="1"/>
  <c r="P52" i="24"/>
  <c r="P67" i="24" s="1"/>
  <c r="H52" i="24"/>
  <c r="H67" i="24" s="1"/>
  <c r="CA52" i="24"/>
  <c r="CA67" i="24" s="1"/>
  <c r="BW52" i="24"/>
  <c r="BW67" i="24" s="1"/>
  <c r="BW85" i="24" s="1"/>
  <c r="BO52" i="24"/>
  <c r="BO67" i="24" s="1"/>
  <c r="BK52" i="24"/>
  <c r="BK67" i="24" s="1"/>
  <c r="BK85" i="24" s="1"/>
  <c r="C75" i="15" s="1"/>
  <c r="G75" i="15" s="1"/>
  <c r="BC52" i="24"/>
  <c r="BC67" i="24" s="1"/>
  <c r="BC85" i="24" s="1"/>
  <c r="F245" i="34" s="1"/>
  <c r="AY52" i="24"/>
  <c r="AY67" i="24" s="1"/>
  <c r="AQ52" i="24"/>
  <c r="AQ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C52" i="24"/>
  <c r="CD52" i="24"/>
  <c r="BV52" i="24"/>
  <c r="BV67" i="24" s="1"/>
  <c r="BV85" i="24" s="1"/>
  <c r="D341" i="34" s="1"/>
  <c r="BR52" i="24"/>
  <c r="BR67" i="24" s="1"/>
  <c r="BR85" i="24" s="1"/>
  <c r="G309" i="34" s="1"/>
  <c r="BJ52" i="24"/>
  <c r="BJ67" i="24" s="1"/>
  <c r="BJ85" i="24" s="1"/>
  <c r="C74" i="15" s="1"/>
  <c r="G74" i="15" s="1"/>
  <c r="BB52" i="24"/>
  <c r="BB67" i="24" s="1"/>
  <c r="AT52" i="24"/>
  <c r="AT67" i="24" s="1"/>
  <c r="AL52" i="24"/>
  <c r="AL67" i="24" s="1"/>
  <c r="AL85" i="24" s="1"/>
  <c r="C181" i="34" s="1"/>
  <c r="AD52" i="24"/>
  <c r="AD67" i="24" s="1"/>
  <c r="AD85" i="24" s="1"/>
  <c r="V52" i="24"/>
  <c r="V67" i="24" s="1"/>
  <c r="V85" i="24" s="1"/>
  <c r="N52" i="24"/>
  <c r="N67" i="24" s="1"/>
  <c r="F52" i="24"/>
  <c r="F67" i="24" s="1"/>
  <c r="F85" i="24" s="1"/>
  <c r="F21" i="34" s="1"/>
  <c r="CB52" i="24"/>
  <c r="CB67" i="24" s="1"/>
  <c r="CB85" i="24" s="1"/>
  <c r="C622" i="24" s="1"/>
  <c r="BX52" i="24"/>
  <c r="BX67" i="24" s="1"/>
  <c r="BX85" i="24" s="1"/>
  <c r="F341" i="34" s="1"/>
  <c r="BP52" i="24"/>
  <c r="BP67" i="24" s="1"/>
  <c r="BD52" i="24"/>
  <c r="BD67" i="24" s="1"/>
  <c r="BD85" i="24" s="1"/>
  <c r="C68" i="15" s="1"/>
  <c r="G68" i="15" s="1"/>
  <c r="AR52" i="24"/>
  <c r="AR67" i="24" s="1"/>
  <c r="AJ52" i="24"/>
  <c r="AJ67" i="24" s="1"/>
  <c r="X52" i="24"/>
  <c r="X67" i="24" s="1"/>
  <c r="T52" i="24"/>
  <c r="T67" i="24" s="1"/>
  <c r="L52" i="24"/>
  <c r="L67" i="24" s="1"/>
  <c r="D52" i="24"/>
  <c r="D67" i="24" s="1"/>
  <c r="BS52" i="24"/>
  <c r="BS67" i="24" s="1"/>
  <c r="BG52" i="24"/>
  <c r="BG67" i="24" s="1"/>
  <c r="BG85" i="24" s="1"/>
  <c r="C277" i="34" s="1"/>
  <c r="AU52" i="24"/>
  <c r="AU67" i="24" s="1"/>
  <c r="AU85" i="24" s="1"/>
  <c r="AI52" i="24"/>
  <c r="AI67" i="24" s="1"/>
  <c r="AA52" i="24"/>
  <c r="AA67" i="24" s="1"/>
  <c r="S52" i="24"/>
  <c r="S67" i="24" s="1"/>
  <c r="K52" i="24"/>
  <c r="K67" i="24" s="1"/>
  <c r="BZ52" i="24"/>
  <c r="BZ67" i="24" s="1"/>
  <c r="BZ85" i="24" s="1"/>
  <c r="BN52" i="24"/>
  <c r="BN67" i="24" s="1"/>
  <c r="BF52" i="24"/>
  <c r="BF67" i="24" s="1"/>
  <c r="BF85" i="24" s="1"/>
  <c r="C629" i="24" s="1"/>
  <c r="AX52" i="24"/>
  <c r="AX67" i="24" s="1"/>
  <c r="AX85" i="24" s="1"/>
  <c r="AP52" i="24"/>
  <c r="AP67" i="24" s="1"/>
  <c r="AP85" i="24" s="1"/>
  <c r="G181" i="34" s="1"/>
  <c r="AH52" i="24"/>
  <c r="AH67" i="24" s="1"/>
  <c r="Z52" i="24"/>
  <c r="Z67" i="24" s="1"/>
  <c r="Z85" i="24" s="1"/>
  <c r="E117" i="34" s="1"/>
  <c r="R52" i="24"/>
  <c r="R67" i="24" s="1"/>
  <c r="R85" i="24" s="1"/>
  <c r="D85" i="34" s="1"/>
  <c r="J52" i="24"/>
  <c r="J67" i="24" s="1"/>
  <c r="BY52" i="24"/>
  <c r="BY67" i="24" s="1"/>
  <c r="BY85" i="24" s="1"/>
  <c r="C89" i="15" s="1"/>
  <c r="G89" i="15" s="1"/>
  <c r="BM52" i="24"/>
  <c r="BM67" i="24" s="1"/>
  <c r="BM85" i="24" s="1"/>
  <c r="C77" i="15" s="1"/>
  <c r="G77" i="15" s="1"/>
  <c r="CC52" i="24"/>
  <c r="CC67" i="24" s="1"/>
  <c r="BQ52" i="24"/>
  <c r="BQ67" i="24" s="1"/>
  <c r="BQ85" i="24" s="1"/>
  <c r="C623" i="24" s="1"/>
  <c r="BU52" i="24"/>
  <c r="BU67" i="24" s="1"/>
  <c r="BE85" i="24"/>
  <c r="C614" i="24" s="1"/>
  <c r="H50" i="31"/>
  <c r="C204" i="34"/>
  <c r="H44" i="31"/>
  <c r="G204" i="34"/>
  <c r="F236" i="34"/>
  <c r="H56" i="31"/>
  <c r="C236" i="34"/>
  <c r="H13" i="31"/>
  <c r="I300" i="34"/>
  <c r="D268" i="34"/>
  <c r="D204" i="34"/>
  <c r="I236" i="34"/>
  <c r="I108" i="34"/>
  <c r="H204" i="34"/>
  <c r="H76" i="34"/>
  <c r="G236" i="34"/>
  <c r="F12" i="34"/>
  <c r="H9" i="31"/>
  <c r="H5" i="31"/>
  <c r="F140" i="34"/>
  <c r="H58" i="31"/>
  <c r="H49" i="31"/>
  <c r="H60" i="31"/>
  <c r="C364" i="34"/>
  <c r="G44" i="34"/>
  <c r="H268" i="34"/>
  <c r="H57" i="31"/>
  <c r="G172" i="34"/>
  <c r="H21" i="31"/>
  <c r="E108" i="34"/>
  <c r="H53" i="31"/>
  <c r="H65" i="31"/>
  <c r="H69" i="31"/>
  <c r="H33" i="31"/>
  <c r="BI85" i="24"/>
  <c r="E277" i="34" s="1"/>
  <c r="D76" i="34"/>
  <c r="C172" i="34"/>
  <c r="H61" i="31"/>
  <c r="H77" i="31"/>
  <c r="G268" i="34"/>
  <c r="I268" i="34"/>
  <c r="D300" i="34"/>
  <c r="H66" i="31"/>
  <c r="C332" i="34"/>
  <c r="E300" i="34"/>
  <c r="H68" i="31"/>
  <c r="H300" i="34"/>
  <c r="H72" i="31"/>
  <c r="H74" i="31"/>
  <c r="H332" i="34"/>
  <c r="H73" i="31"/>
  <c r="E332" i="34"/>
  <c r="D364" i="34"/>
  <c r="CA85" i="24"/>
  <c r="I341" i="34" s="1"/>
  <c r="F332" i="34"/>
  <c r="H78" i="31"/>
  <c r="H76" i="31"/>
  <c r="H80" i="31"/>
  <c r="CE48" i="24"/>
  <c r="CE62" i="24"/>
  <c r="I364" i="34" s="1"/>
  <c r="I378" i="34"/>
  <c r="K612" i="24"/>
  <c r="F16" i="6"/>
  <c r="F234" i="24"/>
  <c r="E373" i="34"/>
  <c r="C94" i="15"/>
  <c r="G94" i="15" s="1"/>
  <c r="C138" i="8"/>
  <c r="D417" i="24"/>
  <c r="D709" i="25"/>
  <c r="D697" i="25"/>
  <c r="D685" i="25"/>
  <c r="D673" i="25"/>
  <c r="D714" i="25"/>
  <c r="D702" i="25"/>
  <c r="D690" i="25"/>
  <c r="D678" i="25"/>
  <c r="D683" i="25"/>
  <c r="D679" i="25"/>
  <c r="D648" i="25"/>
  <c r="D630" i="25"/>
  <c r="D620" i="25"/>
  <c r="D706" i="25"/>
  <c r="D688" i="25"/>
  <c r="D645" i="25"/>
  <c r="D642" i="25"/>
  <c r="D639" i="25"/>
  <c r="D636" i="25"/>
  <c r="D633" i="25"/>
  <c r="D625" i="25"/>
  <c r="D717" i="25"/>
  <c r="D698" i="25"/>
  <c r="D689" i="25"/>
  <c r="D680" i="25"/>
  <c r="D670" i="25"/>
  <c r="D707" i="25"/>
  <c r="D703" i="25"/>
  <c r="D671" i="25"/>
  <c r="D646" i="25"/>
  <c r="D627" i="25"/>
  <c r="D624" i="25"/>
  <c r="D618" i="25"/>
  <c r="D712" i="25"/>
  <c r="D694" i="25"/>
  <c r="D676" i="25"/>
  <c r="D643" i="25"/>
  <c r="D640" i="25"/>
  <c r="D637" i="25"/>
  <c r="D634" i="25"/>
  <c r="D631" i="25"/>
  <c r="D695" i="25"/>
  <c r="D691" i="25"/>
  <c r="D647" i="25"/>
  <c r="D622" i="25"/>
  <c r="D700" i="25"/>
  <c r="D682" i="25"/>
  <c r="D644" i="25"/>
  <c r="D641" i="25"/>
  <c r="D638" i="25"/>
  <c r="D635" i="25"/>
  <c r="D632" i="25"/>
  <c r="D626" i="25"/>
  <c r="D705" i="25"/>
  <c r="D696" i="25"/>
  <c r="D687" i="25"/>
  <c r="D621" i="25"/>
  <c r="D710" i="25"/>
  <c r="D701" i="25"/>
  <c r="D692" i="25"/>
  <c r="D674" i="25"/>
  <c r="D628" i="25"/>
  <c r="D675" i="25"/>
  <c r="D619" i="25"/>
  <c r="D686" i="25"/>
  <c r="D713" i="25"/>
  <c r="D693" i="25"/>
  <c r="D617" i="25"/>
  <c r="D684" i="25"/>
  <c r="D669" i="25"/>
  <c r="D623" i="25"/>
  <c r="D699" i="25"/>
  <c r="D672" i="25"/>
  <c r="D629" i="25"/>
  <c r="D681" i="25"/>
  <c r="D708" i="25"/>
  <c r="D704" i="25"/>
  <c r="D711" i="25"/>
  <c r="D677" i="25"/>
  <c r="C137" i="8"/>
  <c r="E380" i="24"/>
  <c r="C167" i="8"/>
  <c r="D26" i="33"/>
  <c r="E414" i="24"/>
  <c r="D350" i="24"/>
  <c r="H3" i="31"/>
  <c r="D12" i="34"/>
  <c r="C69" i="15" l="1"/>
  <c r="C57" i="15"/>
  <c r="G57" i="15" s="1"/>
  <c r="C213" i="34"/>
  <c r="C695" i="24"/>
  <c r="C42" i="15"/>
  <c r="G42" i="15" s="1"/>
  <c r="I117" i="34"/>
  <c r="C633" i="24"/>
  <c r="C38" i="15"/>
  <c r="G38" i="15" s="1"/>
  <c r="C70" i="15"/>
  <c r="G70" i="15" s="1"/>
  <c r="C691" i="24"/>
  <c r="H85" i="34"/>
  <c r="C34" i="15"/>
  <c r="G34" i="15" s="1"/>
  <c r="C62" i="15"/>
  <c r="H213" i="34"/>
  <c r="C67" i="15"/>
  <c r="G67" i="15" s="1"/>
  <c r="C646" i="24"/>
  <c r="C90" i="15"/>
  <c r="G90" i="15" s="1"/>
  <c r="H341" i="34"/>
  <c r="E341" i="34"/>
  <c r="C87" i="15"/>
  <c r="G87" i="15" s="1"/>
  <c r="C643" i="24"/>
  <c r="D245" i="34"/>
  <c r="C630" i="24"/>
  <c r="M72" i="31"/>
  <c r="C337" i="34"/>
  <c r="F145" i="34"/>
  <c r="M33" i="31"/>
  <c r="M26" i="31"/>
  <c r="F113" i="34"/>
  <c r="AA85" i="24"/>
  <c r="X85" i="24"/>
  <c r="C113" i="34"/>
  <c r="M23" i="31"/>
  <c r="M13" i="31"/>
  <c r="G49" i="34"/>
  <c r="D337" i="34"/>
  <c r="M73" i="31"/>
  <c r="M14" i="31"/>
  <c r="O85" i="24"/>
  <c r="H49" i="34"/>
  <c r="M66" i="31"/>
  <c r="D305" i="34"/>
  <c r="F209" i="34"/>
  <c r="M47" i="31"/>
  <c r="Q85" i="24"/>
  <c r="M16" i="31"/>
  <c r="C81" i="34"/>
  <c r="M48" i="31"/>
  <c r="G209" i="34"/>
  <c r="C671" i="24"/>
  <c r="I245" i="34"/>
  <c r="BO85" i="24"/>
  <c r="F305" i="34"/>
  <c r="M68" i="31"/>
  <c r="G177" i="34"/>
  <c r="M41" i="31"/>
  <c r="M3" i="31"/>
  <c r="D17" i="34"/>
  <c r="M75" i="31"/>
  <c r="F337" i="34"/>
  <c r="E241" i="34"/>
  <c r="M53" i="31"/>
  <c r="M50" i="31"/>
  <c r="I209" i="34"/>
  <c r="M27" i="31"/>
  <c r="G113" i="34"/>
  <c r="AB85" i="24"/>
  <c r="M51" i="31"/>
  <c r="C241" i="34"/>
  <c r="AZ85" i="24"/>
  <c r="G81" i="34"/>
  <c r="U85" i="24"/>
  <c r="M20" i="31"/>
  <c r="M36" i="31"/>
  <c r="AK85" i="24"/>
  <c r="I145" i="34"/>
  <c r="C616" i="24"/>
  <c r="C631" i="24"/>
  <c r="C18" i="15"/>
  <c r="G18" i="15" s="1"/>
  <c r="BB85" i="24"/>
  <c r="C66" i="15" s="1"/>
  <c r="G66" i="15" s="1"/>
  <c r="C687" i="24"/>
  <c r="AV85" i="24"/>
  <c r="F213" i="34" s="1"/>
  <c r="AY85" i="24"/>
  <c r="I213" i="34" s="1"/>
  <c r="M80" i="31"/>
  <c r="D369" i="34"/>
  <c r="D81" i="34"/>
  <c r="M17" i="31"/>
  <c r="M49" i="31"/>
  <c r="H209" i="34"/>
  <c r="M10" i="31"/>
  <c r="D49" i="34"/>
  <c r="K85" i="24"/>
  <c r="M46" i="31"/>
  <c r="E209" i="34"/>
  <c r="L85" i="24"/>
  <c r="M11" i="31"/>
  <c r="E49" i="34"/>
  <c r="I177" i="34"/>
  <c r="AR85" i="24"/>
  <c r="M43" i="31"/>
  <c r="M79" i="31"/>
  <c r="C369" i="34"/>
  <c r="M29" i="31"/>
  <c r="I113" i="34"/>
  <c r="F273" i="34"/>
  <c r="M61" i="31"/>
  <c r="CE52" i="24"/>
  <c r="C67" i="24"/>
  <c r="C145" i="34"/>
  <c r="AE85" i="24"/>
  <c r="M30" i="31"/>
  <c r="F241" i="34"/>
  <c r="M54" i="31"/>
  <c r="M78" i="31"/>
  <c r="I337" i="34"/>
  <c r="AF85" i="24"/>
  <c r="M31" i="31"/>
  <c r="D145" i="34"/>
  <c r="M59" i="31"/>
  <c r="D273" i="34"/>
  <c r="I85" i="24"/>
  <c r="M8" i="31"/>
  <c r="I17" i="34"/>
  <c r="D113" i="34"/>
  <c r="Y85" i="24"/>
  <c r="M24" i="31"/>
  <c r="M40" i="31"/>
  <c r="F177" i="34"/>
  <c r="AO85" i="24"/>
  <c r="M56" i="31"/>
  <c r="H241" i="34"/>
  <c r="BU85" i="24"/>
  <c r="M76" i="31"/>
  <c r="G337" i="34"/>
  <c r="C305" i="34"/>
  <c r="M65" i="31"/>
  <c r="M70" i="31"/>
  <c r="H305" i="34"/>
  <c r="E305" i="34"/>
  <c r="M67" i="31"/>
  <c r="D209" i="34"/>
  <c r="M45" i="31"/>
  <c r="M42" i="31"/>
  <c r="H177" i="34"/>
  <c r="AQ85" i="24"/>
  <c r="P85" i="24"/>
  <c r="M15" i="31"/>
  <c r="I49" i="34"/>
  <c r="I305" i="34"/>
  <c r="M71" i="31"/>
  <c r="AG85" i="24"/>
  <c r="M32" i="31"/>
  <c r="E145" i="34"/>
  <c r="AH85" i="24"/>
  <c r="H245" i="34"/>
  <c r="BS85" i="24"/>
  <c r="H309" i="34" s="1"/>
  <c r="BN85" i="24"/>
  <c r="C619" i="24" s="1"/>
  <c r="N85" i="24"/>
  <c r="M9" i="31"/>
  <c r="C49" i="34"/>
  <c r="H337" i="34"/>
  <c r="M77" i="31"/>
  <c r="M34" i="31"/>
  <c r="G145" i="34"/>
  <c r="AI85" i="24"/>
  <c r="AJ85" i="24"/>
  <c r="M35" i="31"/>
  <c r="H145" i="34"/>
  <c r="H81" i="34"/>
  <c r="M21" i="31"/>
  <c r="W85" i="24"/>
  <c r="M22" i="31"/>
  <c r="I81" i="34"/>
  <c r="E337" i="34"/>
  <c r="M74" i="31"/>
  <c r="M4" i="31"/>
  <c r="E17" i="34"/>
  <c r="E85" i="24"/>
  <c r="M52" i="31"/>
  <c r="D241" i="34"/>
  <c r="D85" i="24"/>
  <c r="C16" i="15" s="1"/>
  <c r="G16" i="15" s="1"/>
  <c r="BP85" i="24"/>
  <c r="C621" i="24" s="1"/>
  <c r="J85" i="24"/>
  <c r="C53" i="34" s="1"/>
  <c r="C59" i="15"/>
  <c r="G59" i="15" s="1"/>
  <c r="E213" i="34"/>
  <c r="C712" i="24"/>
  <c r="AT85" i="24"/>
  <c r="M64" i="31"/>
  <c r="I273" i="34"/>
  <c r="M25" i="31"/>
  <c r="E113" i="34"/>
  <c r="M57" i="31"/>
  <c r="I241" i="34"/>
  <c r="M18" i="31"/>
  <c r="E81" i="34"/>
  <c r="S85" i="24"/>
  <c r="M58" i="31"/>
  <c r="C273" i="34"/>
  <c r="F81" i="34"/>
  <c r="T85" i="24"/>
  <c r="M19" i="31"/>
  <c r="M55" i="31"/>
  <c r="G241" i="34"/>
  <c r="F17" i="34"/>
  <c r="M5" i="31"/>
  <c r="M37" i="31"/>
  <c r="C177" i="34"/>
  <c r="M69" i="31"/>
  <c r="G305" i="34"/>
  <c r="G17" i="34"/>
  <c r="M6" i="31"/>
  <c r="G85" i="24"/>
  <c r="M38" i="31"/>
  <c r="D177" i="34"/>
  <c r="AM85" i="24"/>
  <c r="M62" i="31"/>
  <c r="G273" i="34"/>
  <c r="H85" i="24"/>
  <c r="M7" i="31"/>
  <c r="H17" i="34"/>
  <c r="AN85" i="24"/>
  <c r="M39" i="31"/>
  <c r="E177" i="34"/>
  <c r="M63" i="31"/>
  <c r="H273" i="34"/>
  <c r="M12" i="31"/>
  <c r="M85" i="24"/>
  <c r="F49" i="34"/>
  <c r="M28" i="31"/>
  <c r="H113" i="34"/>
  <c r="AC85" i="24"/>
  <c r="M44" i="31"/>
  <c r="C209" i="34"/>
  <c r="M60" i="31"/>
  <c r="E273" i="34"/>
  <c r="CC85" i="24"/>
  <c r="C65" i="15"/>
  <c r="H65" i="15" s="1"/>
  <c r="I65" i="15" s="1"/>
  <c r="C636" i="24"/>
  <c r="C72" i="15"/>
  <c r="G72" i="15" s="1"/>
  <c r="C632" i="24"/>
  <c r="C624" i="24"/>
  <c r="C61" i="15"/>
  <c r="G245" i="34"/>
  <c r="C84" i="15"/>
  <c r="G84" i="15" s="1"/>
  <c r="C640" i="24"/>
  <c r="C703" i="24"/>
  <c r="C73" i="15"/>
  <c r="G73" i="15" s="1"/>
  <c r="C683" i="24"/>
  <c r="C54" i="15"/>
  <c r="G54" i="15" s="1"/>
  <c r="C30" i="15"/>
  <c r="H30" i="15" s="1"/>
  <c r="I30" i="15" s="1"/>
  <c r="C707" i="24"/>
  <c r="C50" i="15"/>
  <c r="G50" i="15" s="1"/>
  <c r="C71" i="15"/>
  <c r="G71" i="15" s="1"/>
  <c r="I277" i="34"/>
  <c r="C618" i="24"/>
  <c r="C634" i="24"/>
  <c r="C82" i="15"/>
  <c r="G82" i="15" s="1"/>
  <c r="C626" i="24"/>
  <c r="F277" i="34"/>
  <c r="C638" i="24"/>
  <c r="C76" i="15"/>
  <c r="G76" i="15" s="1"/>
  <c r="C81" i="15"/>
  <c r="G81" i="15" s="1"/>
  <c r="F309" i="34"/>
  <c r="C642" i="24"/>
  <c r="G277" i="34"/>
  <c r="H277" i="34"/>
  <c r="C86" i="15"/>
  <c r="G86" i="15" s="1"/>
  <c r="C88" i="15"/>
  <c r="G88" i="15" s="1"/>
  <c r="C617" i="24"/>
  <c r="C635" i="24"/>
  <c r="C92" i="15"/>
  <c r="G92" i="15" s="1"/>
  <c r="C644" i="24"/>
  <c r="C645" i="24"/>
  <c r="G341" i="34"/>
  <c r="C373" i="34"/>
  <c r="C647" i="24"/>
  <c r="C91" i="15"/>
  <c r="G91" i="15" s="1"/>
  <c r="C168" i="8"/>
  <c r="D421" i="24"/>
  <c r="E613" i="25"/>
  <c r="D615" i="24"/>
  <c r="D716" i="25"/>
  <c r="E624" i="25"/>
  <c r="G69" i="15"/>
  <c r="H69" i="15" s="1"/>
  <c r="I69" i="15" s="1"/>
  <c r="C639" i="24" l="1"/>
  <c r="H34" i="15"/>
  <c r="I34" i="15" s="1"/>
  <c r="C83" i="15"/>
  <c r="G83" i="15" s="1"/>
  <c r="E245" i="34"/>
  <c r="H42" i="15"/>
  <c r="I42" i="15" s="1"/>
  <c r="G65" i="15"/>
  <c r="D21" i="34"/>
  <c r="C669" i="24"/>
  <c r="C78" i="15"/>
  <c r="G78" i="15" s="1"/>
  <c r="C309" i="34"/>
  <c r="G30" i="15"/>
  <c r="C713" i="24"/>
  <c r="C60" i="15"/>
  <c r="F53" i="34"/>
  <c r="C678" i="24"/>
  <c r="C25" i="15"/>
  <c r="G25" i="15" s="1"/>
  <c r="C24" i="15"/>
  <c r="G24" i="15" s="1"/>
  <c r="E53" i="34"/>
  <c r="C677" i="24"/>
  <c r="C693" i="24"/>
  <c r="G117" i="34"/>
  <c r="C40" i="15"/>
  <c r="G40" i="15" s="1"/>
  <c r="C27" i="15"/>
  <c r="C680" i="24"/>
  <c r="H53" i="34"/>
  <c r="C63" i="15"/>
  <c r="G63" i="15" s="1"/>
  <c r="C20" i="15"/>
  <c r="G20" i="15" s="1"/>
  <c r="C673" i="24"/>
  <c r="H21" i="34"/>
  <c r="C80" i="15"/>
  <c r="G80" i="15" s="1"/>
  <c r="E309" i="34"/>
  <c r="C48" i="15"/>
  <c r="H149" i="34"/>
  <c r="C701" i="24"/>
  <c r="C679" i="24"/>
  <c r="C26" i="15"/>
  <c r="G26" i="15" s="1"/>
  <c r="G53" i="34"/>
  <c r="C681" i="24"/>
  <c r="C28" i="15"/>
  <c r="I53" i="34"/>
  <c r="C245" i="34"/>
  <c r="C64" i="15"/>
  <c r="G64" i="15" s="1"/>
  <c r="C628" i="24"/>
  <c r="C692" i="24"/>
  <c r="C39" i="15"/>
  <c r="F117" i="34"/>
  <c r="C675" i="24"/>
  <c r="C22" i="15"/>
  <c r="G22" i="15" s="1"/>
  <c r="C705" i="24"/>
  <c r="E181" i="34"/>
  <c r="C52" i="15"/>
  <c r="G52" i="15" s="1"/>
  <c r="G149" i="34"/>
  <c r="C700" i="24"/>
  <c r="C47" i="15"/>
  <c r="C55" i="15"/>
  <c r="G55" i="15" s="1"/>
  <c r="H181" i="34"/>
  <c r="C708" i="24"/>
  <c r="F181" i="34"/>
  <c r="C706" i="24"/>
  <c r="C53" i="15"/>
  <c r="G53" i="15" s="1"/>
  <c r="C690" i="24"/>
  <c r="C37" i="15"/>
  <c r="D117" i="34"/>
  <c r="I21" i="34"/>
  <c r="C21" i="15"/>
  <c r="G21" i="15" s="1"/>
  <c r="C674" i="24"/>
  <c r="C85" i="34"/>
  <c r="C29" i="15"/>
  <c r="C682" i="24"/>
  <c r="C41" i="15"/>
  <c r="H117" i="34"/>
  <c r="C694" i="24"/>
  <c r="C51" i="15"/>
  <c r="G51" i="15" s="1"/>
  <c r="D181" i="34"/>
  <c r="C704" i="24"/>
  <c r="D213" i="34"/>
  <c r="C711" i="24"/>
  <c r="C58" i="15"/>
  <c r="G58" i="15" s="1"/>
  <c r="I85" i="34"/>
  <c r="C688" i="24"/>
  <c r="C35" i="15"/>
  <c r="E149" i="34"/>
  <c r="C45" i="15"/>
  <c r="C698" i="24"/>
  <c r="C56" i="15"/>
  <c r="G56" i="15" s="1"/>
  <c r="C709" i="24"/>
  <c r="I181" i="34"/>
  <c r="C702" i="24"/>
  <c r="C49" i="15"/>
  <c r="G49" i="15" s="1"/>
  <c r="I149" i="34"/>
  <c r="C36" i="15"/>
  <c r="C689" i="24"/>
  <c r="C117" i="34"/>
  <c r="C625" i="24"/>
  <c r="C17" i="15"/>
  <c r="C670" i="24"/>
  <c r="E21" i="34"/>
  <c r="C46" i="15"/>
  <c r="G46" i="15" s="1"/>
  <c r="F149" i="34"/>
  <c r="C699" i="24"/>
  <c r="C149" i="34"/>
  <c r="C43" i="15"/>
  <c r="C696" i="24"/>
  <c r="C93" i="15"/>
  <c r="G93" i="15" s="1"/>
  <c r="C620" i="24"/>
  <c r="D373" i="34"/>
  <c r="C19" i="15"/>
  <c r="G19" i="15" s="1"/>
  <c r="C672" i="24"/>
  <c r="G21" i="34"/>
  <c r="C32" i="15"/>
  <c r="G32" i="15" s="1"/>
  <c r="C685" i="24"/>
  <c r="F85" i="34"/>
  <c r="C31" i="15"/>
  <c r="G31" i="15" s="1"/>
  <c r="E85" i="34"/>
  <c r="C684" i="24"/>
  <c r="C341" i="34"/>
  <c r="C85" i="15"/>
  <c r="G85" i="15" s="1"/>
  <c r="C641" i="24"/>
  <c r="C44" i="15"/>
  <c r="G44" i="15" s="1"/>
  <c r="D149" i="34"/>
  <c r="C697" i="24"/>
  <c r="C85" i="24"/>
  <c r="C17" i="34"/>
  <c r="M2" i="31"/>
  <c r="CE67" i="24"/>
  <c r="I369" i="34" s="1"/>
  <c r="D53" i="34"/>
  <c r="C676" i="24"/>
  <c r="C23" i="15"/>
  <c r="G23" i="15" s="1"/>
  <c r="G85" i="34"/>
  <c r="C33" i="15"/>
  <c r="C686" i="24"/>
  <c r="C627" i="24"/>
  <c r="C79" i="15"/>
  <c r="G79" i="15" s="1"/>
  <c r="D309" i="34"/>
  <c r="H50" i="15"/>
  <c r="I50" i="15" s="1"/>
  <c r="D710" i="24"/>
  <c r="D711" i="24"/>
  <c r="D712" i="24"/>
  <c r="D713" i="24"/>
  <c r="D699" i="24"/>
  <c r="D706" i="24"/>
  <c r="D700" i="24"/>
  <c r="D688" i="24"/>
  <c r="D676" i="24"/>
  <c r="D620" i="24"/>
  <c r="D701" i="24"/>
  <c r="D689" i="24"/>
  <c r="D677" i="24"/>
  <c r="D627" i="24"/>
  <c r="D702" i="24"/>
  <c r="D690" i="24"/>
  <c r="D678" i="24"/>
  <c r="D709" i="24"/>
  <c r="D703" i="24"/>
  <c r="D691" i="24"/>
  <c r="D679" i="24"/>
  <c r="D695" i="24"/>
  <c r="D683" i="24"/>
  <c r="D671" i="24"/>
  <c r="D642" i="24"/>
  <c r="D639" i="24"/>
  <c r="D636" i="24"/>
  <c r="D633" i="24"/>
  <c r="D630" i="24"/>
  <c r="D708" i="24"/>
  <c r="D622" i="24"/>
  <c r="D685" i="24"/>
  <c r="D618" i="24"/>
  <c r="D686" i="24"/>
  <c r="D684" i="24"/>
  <c r="D675" i="24"/>
  <c r="D647" i="24"/>
  <c r="D629" i="24"/>
  <c r="D716" i="24"/>
  <c r="D707" i="24"/>
  <c r="D697" i="24"/>
  <c r="D682" i="24"/>
  <c r="D680" i="24"/>
  <c r="D670" i="24"/>
  <c r="D645" i="24"/>
  <c r="D641" i="24"/>
  <c r="D635" i="24"/>
  <c r="D626" i="24"/>
  <c r="D621" i="24"/>
  <c r="D693" i="24"/>
  <c r="D673" i="24"/>
  <c r="D643" i="24"/>
  <c r="D637" i="24"/>
  <c r="D631" i="24"/>
  <c r="D619" i="24"/>
  <c r="D668" i="24"/>
  <c r="D628" i="24"/>
  <c r="D625" i="24"/>
  <c r="D696" i="24"/>
  <c r="D681" i="24"/>
  <c r="D674" i="24"/>
  <c r="D646" i="24"/>
  <c r="D644" i="24"/>
  <c r="D638" i="24"/>
  <c r="D632" i="24"/>
  <c r="D624" i="24"/>
  <c r="D705" i="24"/>
  <c r="D698" i="24"/>
  <c r="D694" i="24"/>
  <c r="D692" i="24"/>
  <c r="D640" i="24"/>
  <c r="D634" i="24"/>
  <c r="D617" i="24"/>
  <c r="D687" i="24"/>
  <c r="D672" i="24"/>
  <c r="D669" i="24"/>
  <c r="D616" i="24"/>
  <c r="D704" i="24"/>
  <c r="D623" i="24"/>
  <c r="C172" i="8"/>
  <c r="D424" i="24"/>
  <c r="C177" i="8" s="1"/>
  <c r="E710" i="25"/>
  <c r="M710" i="25" s="1"/>
  <c r="E698" i="25"/>
  <c r="M698" i="25" s="1"/>
  <c r="E686" i="25"/>
  <c r="M686" i="25" s="1"/>
  <c r="E674" i="25"/>
  <c r="M674" i="25" s="1"/>
  <c r="E703" i="25"/>
  <c r="M703" i="25" s="1"/>
  <c r="E691" i="25"/>
  <c r="M691" i="25" s="1"/>
  <c r="E679" i="25"/>
  <c r="M679" i="25" s="1"/>
  <c r="E706" i="25"/>
  <c r="M706" i="25" s="1"/>
  <c r="E697" i="25"/>
  <c r="M697" i="25" s="1"/>
  <c r="E688" i="25"/>
  <c r="M688" i="25" s="1"/>
  <c r="E645" i="25"/>
  <c r="E642" i="25"/>
  <c r="E639" i="25"/>
  <c r="E636" i="25"/>
  <c r="E633" i="25"/>
  <c r="E625" i="25"/>
  <c r="E711" i="25"/>
  <c r="M711" i="25" s="1"/>
  <c r="E702" i="25"/>
  <c r="M702" i="25" s="1"/>
  <c r="E693" i="25"/>
  <c r="M693" i="25" s="1"/>
  <c r="E684" i="25"/>
  <c r="M684" i="25" s="1"/>
  <c r="E675" i="25"/>
  <c r="M675" i="25" s="1"/>
  <c r="E669" i="25"/>
  <c r="M669" i="25" s="1"/>
  <c r="M716" i="25" s="1"/>
  <c r="E707" i="25"/>
  <c r="M707" i="25" s="1"/>
  <c r="E671" i="25"/>
  <c r="M671" i="25" s="1"/>
  <c r="E646" i="25"/>
  <c r="L648" i="25" s="1"/>
  <c r="E627" i="25"/>
  <c r="H629" i="25" s="1"/>
  <c r="E712" i="25"/>
  <c r="M712" i="25" s="1"/>
  <c r="E694" i="25"/>
  <c r="M694" i="25" s="1"/>
  <c r="E685" i="25"/>
  <c r="M685" i="25" s="1"/>
  <c r="E676" i="25"/>
  <c r="M676" i="25" s="1"/>
  <c r="E643" i="25"/>
  <c r="E640" i="25"/>
  <c r="E637" i="25"/>
  <c r="E634" i="25"/>
  <c r="E631" i="25"/>
  <c r="J631" i="25" s="1"/>
  <c r="E708" i="25"/>
  <c r="M708" i="25" s="1"/>
  <c r="E699" i="25"/>
  <c r="M699" i="25" s="1"/>
  <c r="E690" i="25"/>
  <c r="M690" i="25" s="1"/>
  <c r="E681" i="25"/>
  <c r="M681" i="25" s="1"/>
  <c r="E672" i="25"/>
  <c r="M672" i="25" s="1"/>
  <c r="E629" i="25"/>
  <c r="E709" i="25"/>
  <c r="M709" i="25" s="1"/>
  <c r="E700" i="25"/>
  <c r="M700" i="25" s="1"/>
  <c r="E682" i="25"/>
  <c r="M682" i="25" s="1"/>
  <c r="E673" i="25"/>
  <c r="M673" i="25" s="1"/>
  <c r="E644" i="25"/>
  <c r="E641" i="25"/>
  <c r="E638" i="25"/>
  <c r="E635" i="25"/>
  <c r="E632" i="25"/>
  <c r="K645" i="25" s="1"/>
  <c r="E626" i="25"/>
  <c r="G626" i="25" s="1"/>
  <c r="E714" i="25"/>
  <c r="M714" i="25" s="1"/>
  <c r="E705" i="25"/>
  <c r="M705" i="25" s="1"/>
  <c r="E696" i="25"/>
  <c r="M696" i="25" s="1"/>
  <c r="E687" i="25"/>
  <c r="M687" i="25" s="1"/>
  <c r="E678" i="25"/>
  <c r="M678" i="25" s="1"/>
  <c r="E701" i="25"/>
  <c r="M701" i="25" s="1"/>
  <c r="E692" i="25"/>
  <c r="M692" i="25" s="1"/>
  <c r="E628" i="25"/>
  <c r="E683" i="25"/>
  <c r="M683" i="25" s="1"/>
  <c r="E648" i="25"/>
  <c r="E630" i="25"/>
  <c r="I630" i="25" s="1"/>
  <c r="E713" i="25"/>
  <c r="M713" i="25" s="1"/>
  <c r="E647" i="25"/>
  <c r="E689" i="25"/>
  <c r="M689" i="25" s="1"/>
  <c r="E670" i="25"/>
  <c r="M670" i="25" s="1"/>
  <c r="E680" i="25"/>
  <c r="M680" i="25" s="1"/>
  <c r="E695" i="25"/>
  <c r="M695" i="25" s="1"/>
  <c r="E717" i="25"/>
  <c r="E677" i="25"/>
  <c r="M677" i="25" s="1"/>
  <c r="E704" i="25"/>
  <c r="M704" i="25" s="1"/>
  <c r="C648" i="24" l="1"/>
  <c r="M716" i="24" s="1"/>
  <c r="H63" i="15"/>
  <c r="I63" i="15" s="1"/>
  <c r="G29" i="15"/>
  <c r="H29" i="15"/>
  <c r="I29" i="15" s="1"/>
  <c r="H17" i="15"/>
  <c r="I17" i="15" s="1"/>
  <c r="G17" i="15"/>
  <c r="G36" i="15"/>
  <c r="H36" i="15"/>
  <c r="I36" i="15" s="1"/>
  <c r="H45" i="15"/>
  <c r="I45" i="15" s="1"/>
  <c r="G45" i="15"/>
  <c r="H28" i="15"/>
  <c r="I28" i="15" s="1"/>
  <c r="G28" i="15"/>
  <c r="H27" i="15"/>
  <c r="I27" i="15" s="1"/>
  <c r="G27" i="15"/>
  <c r="H35" i="15"/>
  <c r="I35" i="15" s="1"/>
  <c r="G35" i="15"/>
  <c r="H39" i="15"/>
  <c r="I39" i="15" s="1"/>
  <c r="G39" i="15"/>
  <c r="G48" i="15"/>
  <c r="H48" i="15"/>
  <c r="I48" i="15" s="1"/>
  <c r="G33" i="15"/>
  <c r="H33" i="15"/>
  <c r="I33" i="15" s="1"/>
  <c r="C21" i="34"/>
  <c r="C668" i="24"/>
  <c r="C715" i="24" s="1"/>
  <c r="C15" i="15"/>
  <c r="CE85" i="24"/>
  <c r="H43" i="15"/>
  <c r="I43" i="15" s="1"/>
  <c r="G43" i="15"/>
  <c r="H41" i="15"/>
  <c r="I41" i="15" s="1"/>
  <c r="G41" i="15"/>
  <c r="G37" i="15"/>
  <c r="H37" i="15"/>
  <c r="I37" i="15" s="1"/>
  <c r="H47" i="15"/>
  <c r="I47" i="15" s="1"/>
  <c r="G47" i="15"/>
  <c r="L705" i="25"/>
  <c r="L693" i="25"/>
  <c r="L681" i="25"/>
  <c r="L710" i="25"/>
  <c r="L698" i="25"/>
  <c r="L686" i="25"/>
  <c r="L674" i="25"/>
  <c r="L713" i="25"/>
  <c r="L677" i="25"/>
  <c r="L704" i="25"/>
  <c r="L695" i="25"/>
  <c r="L714" i="25"/>
  <c r="L696" i="25"/>
  <c r="L687" i="25"/>
  <c r="L678" i="25"/>
  <c r="L701" i="25"/>
  <c r="L692" i="25"/>
  <c r="L683" i="25"/>
  <c r="L689" i="25"/>
  <c r="L717" i="25"/>
  <c r="L707" i="25"/>
  <c r="L680" i="25"/>
  <c r="L671" i="25"/>
  <c r="L712" i="25"/>
  <c r="L703" i="25"/>
  <c r="L694" i="25"/>
  <c r="L685" i="25"/>
  <c r="L676" i="25"/>
  <c r="L708" i="25"/>
  <c r="L699" i="25"/>
  <c r="L690" i="25"/>
  <c r="L672" i="25"/>
  <c r="L702" i="25"/>
  <c r="L682" i="25"/>
  <c r="L709" i="25"/>
  <c r="L697" i="25"/>
  <c r="L670" i="25"/>
  <c r="L700" i="25"/>
  <c r="L673" i="25"/>
  <c r="L711" i="25"/>
  <c r="L679" i="25"/>
  <c r="L706" i="25"/>
  <c r="L675" i="25"/>
  <c r="L688" i="25"/>
  <c r="L691" i="25"/>
  <c r="L684" i="25"/>
  <c r="L669" i="25"/>
  <c r="L716" i="25" s="1"/>
  <c r="J703" i="25"/>
  <c r="J691" i="25"/>
  <c r="J679" i="25"/>
  <c r="J708" i="25"/>
  <c r="J696" i="25"/>
  <c r="J684" i="25"/>
  <c r="J672" i="25"/>
  <c r="J712" i="25"/>
  <c r="J694" i="25"/>
  <c r="J676" i="25"/>
  <c r="J699" i="25"/>
  <c r="J690" i="25"/>
  <c r="J681" i="25"/>
  <c r="J709" i="25"/>
  <c r="J695" i="25"/>
  <c r="J673" i="25"/>
  <c r="J644" i="25"/>
  <c r="J641" i="25"/>
  <c r="J638" i="25"/>
  <c r="J635" i="25"/>
  <c r="J632" i="25"/>
  <c r="J700" i="25"/>
  <c r="J682" i="25"/>
  <c r="J714" i="25"/>
  <c r="J705" i="25"/>
  <c r="J687" i="25"/>
  <c r="J678" i="25"/>
  <c r="J706" i="25"/>
  <c r="J688" i="25"/>
  <c r="J669" i="25"/>
  <c r="J711" i="25"/>
  <c r="J702" i="25"/>
  <c r="J693" i="25"/>
  <c r="J675" i="25"/>
  <c r="J670" i="25"/>
  <c r="J717" i="25"/>
  <c r="J698" i="25"/>
  <c r="J689" i="25"/>
  <c r="J680" i="25"/>
  <c r="J646" i="25"/>
  <c r="J707" i="25"/>
  <c r="J685" i="25"/>
  <c r="J671" i="25"/>
  <c r="J643" i="25"/>
  <c r="J640" i="25"/>
  <c r="J637" i="25"/>
  <c r="J634" i="25"/>
  <c r="J686" i="25"/>
  <c r="J633" i="25"/>
  <c r="J647" i="25"/>
  <c r="J713" i="25"/>
  <c r="J701" i="25"/>
  <c r="J674" i="25"/>
  <c r="J697" i="25"/>
  <c r="J642" i="25"/>
  <c r="J704" i="25"/>
  <c r="J677" i="25"/>
  <c r="J636" i="25"/>
  <c r="J645" i="25"/>
  <c r="J648" i="25"/>
  <c r="J639" i="25"/>
  <c r="J710" i="25"/>
  <c r="J683" i="25"/>
  <c r="J692" i="25"/>
  <c r="D715" i="24"/>
  <c r="E623" i="24"/>
  <c r="E716" i="25"/>
  <c r="F625" i="25"/>
  <c r="G712" i="25"/>
  <c r="G700" i="25"/>
  <c r="G688" i="25"/>
  <c r="G676" i="25"/>
  <c r="G705" i="25"/>
  <c r="G693" i="25"/>
  <c r="G681" i="25"/>
  <c r="G711" i="25"/>
  <c r="G689" i="25"/>
  <c r="G675" i="25"/>
  <c r="G670" i="25"/>
  <c r="G717" i="25"/>
  <c r="G707" i="25"/>
  <c r="G698" i="25"/>
  <c r="G680" i="25"/>
  <c r="G671" i="25"/>
  <c r="G646" i="25"/>
  <c r="G627" i="25"/>
  <c r="G708" i="25"/>
  <c r="G690" i="25"/>
  <c r="G672" i="25"/>
  <c r="G629" i="25"/>
  <c r="G713" i="25"/>
  <c r="G699" i="25"/>
  <c r="G677" i="25"/>
  <c r="G704" i="25"/>
  <c r="G695" i="25"/>
  <c r="G686" i="25"/>
  <c r="G647" i="25"/>
  <c r="G701" i="25"/>
  <c r="G687" i="25"/>
  <c r="G628" i="25"/>
  <c r="G710" i="25"/>
  <c r="G692" i="25"/>
  <c r="G683" i="25"/>
  <c r="G674" i="25"/>
  <c r="G648" i="25"/>
  <c r="G630" i="25"/>
  <c r="G706" i="25"/>
  <c r="G697" i="25"/>
  <c r="G679" i="25"/>
  <c r="G645" i="25"/>
  <c r="G642" i="25"/>
  <c r="G639" i="25"/>
  <c r="G636" i="25"/>
  <c r="G633" i="25"/>
  <c r="G702" i="25"/>
  <c r="G684" i="25"/>
  <c r="G669" i="25"/>
  <c r="G714" i="25"/>
  <c r="G638" i="25"/>
  <c r="G694" i="25"/>
  <c r="G643" i="25"/>
  <c r="G682" i="25"/>
  <c r="G632" i="25"/>
  <c r="G709" i="25"/>
  <c r="G678" i="25"/>
  <c r="G637" i="25"/>
  <c r="G685" i="25"/>
  <c r="G641" i="25"/>
  <c r="G631" i="25"/>
  <c r="G640" i="25"/>
  <c r="G691" i="25"/>
  <c r="G644" i="25"/>
  <c r="G634" i="25"/>
  <c r="G673" i="25"/>
  <c r="G635" i="25"/>
  <c r="G703" i="25"/>
  <c r="G696" i="25"/>
  <c r="I714" i="25"/>
  <c r="I702" i="25"/>
  <c r="I690" i="25"/>
  <c r="I678" i="25"/>
  <c r="I707" i="25"/>
  <c r="I695" i="25"/>
  <c r="I683" i="25"/>
  <c r="I671" i="25"/>
  <c r="I703" i="25"/>
  <c r="I685" i="25"/>
  <c r="I643" i="25"/>
  <c r="I640" i="25"/>
  <c r="I637" i="25"/>
  <c r="I634" i="25"/>
  <c r="I631" i="25"/>
  <c r="I712" i="25"/>
  <c r="I708" i="25"/>
  <c r="I694" i="25"/>
  <c r="I676" i="25"/>
  <c r="I672" i="25"/>
  <c r="I713" i="25"/>
  <c r="I704" i="25"/>
  <c r="I686" i="25"/>
  <c r="I677" i="25"/>
  <c r="I647" i="25"/>
  <c r="I709" i="25"/>
  <c r="I691" i="25"/>
  <c r="I673" i="25"/>
  <c r="I644" i="25"/>
  <c r="I641" i="25"/>
  <c r="I638" i="25"/>
  <c r="I635" i="25"/>
  <c r="I632" i="25"/>
  <c r="I700" i="25"/>
  <c r="I696" i="25"/>
  <c r="I682" i="25"/>
  <c r="I697" i="25"/>
  <c r="I679" i="25"/>
  <c r="I645" i="25"/>
  <c r="I642" i="25"/>
  <c r="I639" i="25"/>
  <c r="I636" i="25"/>
  <c r="I633" i="25"/>
  <c r="I706" i="25"/>
  <c r="I688" i="25"/>
  <c r="I684" i="25"/>
  <c r="I669" i="25"/>
  <c r="I711" i="25"/>
  <c r="I693" i="25"/>
  <c r="I675" i="25"/>
  <c r="I670" i="25"/>
  <c r="I717" i="25"/>
  <c r="I698" i="25"/>
  <c r="I689" i="25"/>
  <c r="I680" i="25"/>
  <c r="I646" i="25"/>
  <c r="I710" i="25"/>
  <c r="I705" i="25"/>
  <c r="I701" i="25"/>
  <c r="I674" i="25"/>
  <c r="I681" i="25"/>
  <c r="I648" i="25"/>
  <c r="I687" i="25"/>
  <c r="I692" i="25"/>
  <c r="I699" i="25"/>
  <c r="K717" i="25"/>
  <c r="K704" i="25"/>
  <c r="K692" i="25"/>
  <c r="K680" i="25"/>
  <c r="K709" i="25"/>
  <c r="K697" i="25"/>
  <c r="K685" i="25"/>
  <c r="K673" i="25"/>
  <c r="K708" i="25"/>
  <c r="K699" i="25"/>
  <c r="K690" i="25"/>
  <c r="K681" i="25"/>
  <c r="K672" i="25"/>
  <c r="K713" i="25"/>
  <c r="K686" i="25"/>
  <c r="K677" i="25"/>
  <c r="K700" i="25"/>
  <c r="K691" i="25"/>
  <c r="K682" i="25"/>
  <c r="K714" i="25"/>
  <c r="K705" i="25"/>
  <c r="K696" i="25"/>
  <c r="K687" i="25"/>
  <c r="K678" i="25"/>
  <c r="K710" i="25"/>
  <c r="K701" i="25"/>
  <c r="K674" i="25"/>
  <c r="K711" i="25"/>
  <c r="K702" i="25"/>
  <c r="K693" i="25"/>
  <c r="K684" i="25"/>
  <c r="K675" i="25"/>
  <c r="K670" i="25"/>
  <c r="K698" i="25"/>
  <c r="K689" i="25"/>
  <c r="K707" i="25"/>
  <c r="K671" i="25"/>
  <c r="K712" i="25"/>
  <c r="K703" i="25"/>
  <c r="K694" i="25"/>
  <c r="K676" i="25"/>
  <c r="K706" i="25"/>
  <c r="K683" i="25"/>
  <c r="K679" i="25"/>
  <c r="K695" i="25"/>
  <c r="K688" i="25"/>
  <c r="K669" i="25"/>
  <c r="K716" i="25" s="1"/>
  <c r="H713" i="25"/>
  <c r="H701" i="25"/>
  <c r="H689" i="25"/>
  <c r="H677" i="25"/>
  <c r="H706" i="25"/>
  <c r="H694" i="25"/>
  <c r="H682" i="25"/>
  <c r="H717" i="25"/>
  <c r="H707" i="25"/>
  <c r="H698" i="25"/>
  <c r="H680" i="25"/>
  <c r="H671" i="25"/>
  <c r="H646" i="25"/>
  <c r="H703" i="25"/>
  <c r="H685" i="25"/>
  <c r="H643" i="25"/>
  <c r="H640" i="25"/>
  <c r="H637" i="25"/>
  <c r="H634" i="25"/>
  <c r="H631" i="25"/>
  <c r="H699" i="25"/>
  <c r="H681" i="25"/>
  <c r="H704" i="25"/>
  <c r="H695" i="25"/>
  <c r="H686" i="25"/>
  <c r="H647" i="25"/>
  <c r="H709" i="25"/>
  <c r="H691" i="25"/>
  <c r="H673" i="25"/>
  <c r="H644" i="25"/>
  <c r="H641" i="25"/>
  <c r="H638" i="25"/>
  <c r="H635" i="25"/>
  <c r="H632" i="25"/>
  <c r="H710" i="25"/>
  <c r="H692" i="25"/>
  <c r="H683" i="25"/>
  <c r="H674" i="25"/>
  <c r="H648" i="25"/>
  <c r="H630" i="25"/>
  <c r="H697" i="25"/>
  <c r="H679" i="25"/>
  <c r="H645" i="25"/>
  <c r="H642" i="25"/>
  <c r="H639" i="25"/>
  <c r="H636" i="25"/>
  <c r="H633" i="25"/>
  <c r="H702" i="25"/>
  <c r="H688" i="25"/>
  <c r="H684" i="25"/>
  <c r="H669" i="25"/>
  <c r="H711" i="25"/>
  <c r="H693" i="25"/>
  <c r="H675" i="25"/>
  <c r="H670" i="25"/>
  <c r="H690" i="25"/>
  <c r="H678" i="25"/>
  <c r="H705" i="25"/>
  <c r="H687" i="25"/>
  <c r="H714" i="25"/>
  <c r="H708" i="25"/>
  <c r="H700" i="25"/>
  <c r="H672" i="25"/>
  <c r="H676" i="25"/>
  <c r="H696" i="25"/>
  <c r="H712" i="25"/>
  <c r="H716" i="25" l="1"/>
  <c r="E612" i="24"/>
  <c r="E713" i="24" s="1"/>
  <c r="H15" i="15"/>
  <c r="I15" i="15" s="1"/>
  <c r="G15" i="15"/>
  <c r="C716" i="24"/>
  <c r="I373" i="34"/>
  <c r="F711" i="25"/>
  <c r="F699" i="25"/>
  <c r="F687" i="25"/>
  <c r="F675" i="25"/>
  <c r="F717" i="25"/>
  <c r="F704" i="25"/>
  <c r="F692" i="25"/>
  <c r="F680" i="25"/>
  <c r="F702" i="25"/>
  <c r="F693" i="25"/>
  <c r="F684" i="25"/>
  <c r="F669" i="25"/>
  <c r="F689" i="25"/>
  <c r="F670" i="25"/>
  <c r="F712" i="25"/>
  <c r="F703" i="25"/>
  <c r="F694" i="25"/>
  <c r="F685" i="25"/>
  <c r="F676" i="25"/>
  <c r="F643" i="25"/>
  <c r="F640" i="25"/>
  <c r="F637" i="25"/>
  <c r="F634" i="25"/>
  <c r="F631" i="25"/>
  <c r="F708" i="25"/>
  <c r="F690" i="25"/>
  <c r="F681" i="25"/>
  <c r="F672" i="25"/>
  <c r="F629" i="25"/>
  <c r="F713" i="25"/>
  <c r="F677" i="25"/>
  <c r="F714" i="25"/>
  <c r="F705" i="25"/>
  <c r="F696" i="25"/>
  <c r="F678" i="25"/>
  <c r="F701" i="25"/>
  <c r="F628" i="25"/>
  <c r="F710" i="25"/>
  <c r="F683" i="25"/>
  <c r="F674" i="25"/>
  <c r="F648" i="25"/>
  <c r="F630" i="25"/>
  <c r="F706" i="25"/>
  <c r="F697" i="25"/>
  <c r="F688" i="25"/>
  <c r="F679" i="25"/>
  <c r="F645" i="25"/>
  <c r="F642" i="25"/>
  <c r="F639" i="25"/>
  <c r="F636" i="25"/>
  <c r="F633" i="25"/>
  <c r="F698" i="25"/>
  <c r="F671" i="25"/>
  <c r="F686" i="25"/>
  <c r="F638" i="25"/>
  <c r="F627" i="25"/>
  <c r="F647" i="25"/>
  <c r="F682" i="25"/>
  <c r="F632" i="25"/>
  <c r="F709" i="25"/>
  <c r="F626" i="25"/>
  <c r="F716" i="25" s="1"/>
  <c r="F646" i="25"/>
  <c r="F635" i="25"/>
  <c r="F695" i="25"/>
  <c r="F691" i="25"/>
  <c r="F644" i="25"/>
  <c r="F673" i="25"/>
  <c r="F707" i="25"/>
  <c r="F700" i="25"/>
  <c r="F641" i="25"/>
  <c r="E716" i="24"/>
  <c r="J716" i="25"/>
  <c r="I716" i="25"/>
  <c r="G716" i="25"/>
  <c r="E638" i="24" l="1"/>
  <c r="E639" i="24"/>
  <c r="E644" i="24"/>
  <c r="E711" i="24"/>
  <c r="E632" i="24"/>
  <c r="E670" i="24"/>
  <c r="E640" i="24"/>
  <c r="E684" i="24"/>
  <c r="E687" i="24"/>
  <c r="E691" i="24"/>
  <c r="E699" i="24"/>
  <c r="E627" i="24"/>
  <c r="E669" i="24"/>
  <c r="E681" i="24"/>
  <c r="E626" i="24"/>
  <c r="E686" i="24"/>
  <c r="E629" i="24"/>
  <c r="E630" i="24"/>
  <c r="E698" i="24"/>
  <c r="E671" i="24"/>
  <c r="E631" i="24"/>
  <c r="E693" i="24"/>
  <c r="E635" i="24"/>
  <c r="E697" i="24"/>
  <c r="E688" i="24"/>
  <c r="E680" i="24"/>
  <c r="E647" i="24"/>
  <c r="E700" i="24"/>
  <c r="E642" i="24"/>
  <c r="E668" i="24"/>
  <c r="E643" i="24"/>
  <c r="E682" i="24"/>
  <c r="E710" i="24"/>
  <c r="E701" i="24"/>
  <c r="E636" i="24"/>
  <c r="E685" i="24"/>
  <c r="E676" i="24"/>
  <c r="E637" i="24"/>
  <c r="E695" i="24"/>
  <c r="E641" i="24"/>
  <c r="E672" i="24"/>
  <c r="E679" i="24"/>
  <c r="E702" i="24"/>
  <c r="E712" i="24"/>
  <c r="E674" i="24"/>
  <c r="E708" i="24"/>
  <c r="E696" i="24"/>
  <c r="E692" i="24"/>
  <c r="E703" i="24"/>
  <c r="E678" i="24"/>
  <c r="E677" i="24"/>
  <c r="E706" i="24"/>
  <c r="E624" i="24"/>
  <c r="F624" i="24" s="1"/>
  <c r="E634" i="24"/>
  <c r="E694" i="24"/>
  <c r="E625" i="24"/>
  <c r="E646" i="24"/>
  <c r="E633" i="24"/>
  <c r="E673" i="24"/>
  <c r="E683" i="24"/>
  <c r="E645" i="24"/>
  <c r="E707" i="24"/>
  <c r="E675" i="24"/>
  <c r="E628" i="24"/>
  <c r="E705" i="24"/>
  <c r="E704" i="24"/>
  <c r="E709" i="24"/>
  <c r="E690" i="24"/>
  <c r="E689" i="24"/>
  <c r="E715" i="24" l="1"/>
  <c r="F711" i="24"/>
  <c r="F641" i="24"/>
  <c r="F673" i="24"/>
  <c r="F633" i="24"/>
  <c r="F689" i="24"/>
  <c r="F672" i="24"/>
  <c r="F701" i="24"/>
  <c r="F638" i="24"/>
  <c r="F684" i="24"/>
  <c r="F631" i="24"/>
  <c r="F687" i="24"/>
  <c r="F627" i="24"/>
  <c r="F699" i="24"/>
  <c r="F677" i="24"/>
  <c r="F646" i="24"/>
  <c r="F679" i="24"/>
  <c r="F671" i="24"/>
  <c r="F669" i="24"/>
  <c r="F642" i="24"/>
  <c r="F700" i="24"/>
  <c r="F702" i="24"/>
  <c r="F635" i="24"/>
  <c r="F682" i="24"/>
  <c r="F628" i="24"/>
  <c r="F640" i="24"/>
  <c r="F637" i="24"/>
  <c r="F690" i="24"/>
  <c r="F632" i="24"/>
  <c r="F670" i="24"/>
  <c r="F630" i="24"/>
  <c r="F683" i="24"/>
  <c r="F708" i="24"/>
  <c r="F688" i="24"/>
  <c r="F636" i="24"/>
  <c r="F713" i="24"/>
  <c r="F678" i="24"/>
  <c r="F704" i="24"/>
  <c r="F645" i="24"/>
  <c r="F694" i="24"/>
  <c r="F674" i="24"/>
  <c r="F639" i="24"/>
  <c r="F706" i="24"/>
  <c r="F647" i="24"/>
  <c r="F692" i="24"/>
  <c r="F626" i="24"/>
  <c r="F686" i="24"/>
  <c r="F710" i="24"/>
  <c r="F629" i="24"/>
  <c r="F680" i="24"/>
  <c r="F696" i="24"/>
  <c r="F676" i="24"/>
  <c r="F698" i="24"/>
  <c r="F675" i="24"/>
  <c r="F668" i="24"/>
  <c r="F697" i="24"/>
  <c r="F709" i="24"/>
  <c r="F707" i="24"/>
  <c r="F634" i="24"/>
  <c r="F716" i="24"/>
  <c r="F703" i="24"/>
  <c r="F693" i="24"/>
  <c r="F695" i="24"/>
  <c r="F705" i="24"/>
  <c r="F644" i="24"/>
  <c r="F712" i="24"/>
  <c r="F691" i="24"/>
  <c r="F681" i="24"/>
  <c r="F643" i="24"/>
  <c r="F625" i="24"/>
  <c r="G625" i="24" s="1"/>
  <c r="F685" i="24"/>
  <c r="G638" i="24" l="1"/>
  <c r="G682" i="24"/>
  <c r="G637" i="24"/>
  <c r="G710" i="24"/>
  <c r="G700" i="24"/>
  <c r="G635" i="24"/>
  <c r="G708" i="24"/>
  <c r="G633" i="24"/>
  <c r="G689" i="24"/>
  <c r="G672" i="24"/>
  <c r="G632" i="24"/>
  <c r="G698" i="24"/>
  <c r="G631" i="24"/>
  <c r="G687" i="24"/>
  <c r="G627" i="24"/>
  <c r="G643" i="24"/>
  <c r="G713" i="24"/>
  <c r="G704" i="24"/>
  <c r="G686" i="24"/>
  <c r="G629" i="24"/>
  <c r="G628" i="24"/>
  <c r="G677" i="24"/>
  <c r="G644" i="24"/>
  <c r="G712" i="24"/>
  <c r="G645" i="24"/>
  <c r="G641" i="24"/>
  <c r="G630" i="24"/>
  <c r="G716" i="24"/>
  <c r="G692" i="24"/>
  <c r="G674" i="24"/>
  <c r="G699" i="24"/>
  <c r="G685" i="24"/>
  <c r="G690" i="24"/>
  <c r="G702" i="24"/>
  <c r="G680" i="24"/>
  <c r="G646" i="24"/>
  <c r="G673" i="24"/>
  <c r="G683" i="24"/>
  <c r="G688" i="24"/>
  <c r="G709" i="24"/>
  <c r="G668" i="24"/>
  <c r="G706" i="24"/>
  <c r="G711" i="24"/>
  <c r="G696" i="24"/>
  <c r="G675" i="24"/>
  <c r="G676" i="24"/>
  <c r="G703" i="24"/>
  <c r="G707" i="24"/>
  <c r="G697" i="24"/>
  <c r="G705" i="24"/>
  <c r="G642" i="24"/>
  <c r="G669" i="24"/>
  <c r="G691" i="24"/>
  <c r="G693" i="24"/>
  <c r="G695" i="24"/>
  <c r="G701" i="24"/>
  <c r="G640" i="24"/>
  <c r="G684" i="24"/>
  <c r="G671" i="24"/>
  <c r="G679" i="24"/>
  <c r="G681" i="24"/>
  <c r="G647" i="24"/>
  <c r="G678" i="24"/>
  <c r="G636" i="24"/>
  <c r="G670" i="24"/>
  <c r="G634" i="24"/>
  <c r="G694" i="24"/>
  <c r="G639" i="24"/>
  <c r="G626" i="24"/>
  <c r="F715" i="24"/>
  <c r="G715" i="24" l="1"/>
  <c r="H628" i="24"/>
  <c r="H680" i="24" l="1"/>
  <c r="H713" i="24"/>
  <c r="H635" i="24"/>
  <c r="H646" i="24"/>
  <c r="H690" i="24"/>
  <c r="H629" i="24"/>
  <c r="H633" i="24"/>
  <c r="H668" i="24"/>
  <c r="H699" i="24"/>
  <c r="H700" i="24"/>
  <c r="H642" i="24"/>
  <c r="H688" i="24"/>
  <c r="H673" i="24"/>
  <c r="H641" i="24"/>
  <c r="H707" i="24"/>
  <c r="H687" i="24"/>
  <c r="H701" i="24"/>
  <c r="H636" i="24"/>
  <c r="H672" i="24"/>
  <c r="H693" i="24"/>
  <c r="H675" i="24"/>
  <c r="H678" i="24"/>
  <c r="H630" i="24"/>
  <c r="H708" i="24"/>
  <c r="H703" i="24"/>
  <c r="H671" i="24"/>
  <c r="H681" i="24"/>
  <c r="H643" i="24"/>
  <c r="H676" i="24"/>
  <c r="H705" i="24"/>
  <c r="H686" i="24"/>
  <c r="H696" i="24"/>
  <c r="H669" i="24"/>
  <c r="H640" i="24"/>
  <c r="H710" i="24"/>
  <c r="H698" i="24"/>
  <c r="H684" i="24"/>
  <c r="H674" i="24"/>
  <c r="H712" i="24"/>
  <c r="H637" i="24"/>
  <c r="H691" i="24"/>
  <c r="H644" i="24"/>
  <c r="H670" i="24"/>
  <c r="H639" i="24"/>
  <c r="H716" i="24"/>
  <c r="H694" i="24"/>
  <c r="H634" i="24"/>
  <c r="H689" i="24"/>
  <c r="H638" i="24"/>
  <c r="H645" i="24"/>
  <c r="H692" i="24"/>
  <c r="H704" i="24"/>
  <c r="H682" i="24"/>
  <c r="H631" i="24"/>
  <c r="H706" i="24"/>
  <c r="H632" i="24"/>
  <c r="H697" i="24"/>
  <c r="H683" i="24"/>
  <c r="H702" i="24"/>
  <c r="H709" i="24"/>
  <c r="H695" i="24"/>
  <c r="H711" i="24"/>
  <c r="H685" i="24"/>
  <c r="H679" i="24"/>
  <c r="H647" i="24"/>
  <c r="H677" i="24"/>
  <c r="H715" i="24" l="1"/>
  <c r="I629" i="24"/>
  <c r="I694" i="24" l="1"/>
  <c r="I676" i="24"/>
  <c r="I668" i="24"/>
  <c r="I709" i="24"/>
  <c r="I639" i="24"/>
  <c r="I682" i="24"/>
  <c r="I699" i="24"/>
  <c r="I674" i="24"/>
  <c r="I677" i="24"/>
  <c r="I633" i="24"/>
  <c r="I685" i="24"/>
  <c r="I670" i="24"/>
  <c r="I711" i="24"/>
  <c r="I646" i="24"/>
  <c r="I679" i="24"/>
  <c r="I673" i="24"/>
  <c r="I716" i="24"/>
  <c r="I645" i="24"/>
  <c r="I701" i="24"/>
  <c r="I642" i="24"/>
  <c r="I702" i="24"/>
  <c r="I643" i="24"/>
  <c r="I634" i="24"/>
  <c r="I704" i="24"/>
  <c r="I695" i="24"/>
  <c r="I680" i="24"/>
  <c r="I636" i="24"/>
  <c r="I692" i="24"/>
  <c r="I641" i="24"/>
  <c r="I647" i="24"/>
  <c r="I705" i="24"/>
  <c r="I683" i="24"/>
  <c r="I678" i="24"/>
  <c r="I630" i="24"/>
  <c r="I690" i="24"/>
  <c r="I637" i="24"/>
  <c r="I706" i="24"/>
  <c r="I710" i="24"/>
  <c r="I691" i="24"/>
  <c r="I698" i="24"/>
  <c r="I708" i="24"/>
  <c r="I635" i="24"/>
  <c r="I700" i="24"/>
  <c r="I707" i="24"/>
  <c r="I696" i="24"/>
  <c r="I689" i="24"/>
  <c r="I644" i="24"/>
  <c r="I686" i="24"/>
  <c r="I631" i="24"/>
  <c r="I669" i="24"/>
  <c r="I632" i="24"/>
  <c r="I693" i="24"/>
  <c r="I684" i="24"/>
  <c r="I671" i="24"/>
  <c r="I640" i="24"/>
  <c r="I675" i="24"/>
  <c r="I687" i="24"/>
  <c r="I688" i="24"/>
  <c r="I681" i="24"/>
  <c r="I672" i="24"/>
  <c r="I703" i="24"/>
  <c r="I638" i="24"/>
  <c r="I713" i="24"/>
  <c r="I697" i="24"/>
  <c r="I712" i="24"/>
  <c r="I715" i="24" l="1"/>
  <c r="J630" i="24"/>
  <c r="J707" i="24" l="1"/>
  <c r="J633" i="24"/>
  <c r="J703" i="24"/>
  <c r="J644" i="24"/>
  <c r="J708" i="24"/>
  <c r="J699" i="24"/>
  <c r="J677" i="24"/>
  <c r="J712" i="24"/>
  <c r="J710" i="24"/>
  <c r="J716" i="24"/>
  <c r="J640" i="24"/>
  <c r="J688" i="24"/>
  <c r="J672" i="24"/>
  <c r="J694" i="24"/>
  <c r="J696" i="24"/>
  <c r="J680" i="24"/>
  <c r="J638" i="24"/>
  <c r="J686" i="24"/>
  <c r="J631" i="24"/>
  <c r="J702" i="24"/>
  <c r="J682" i="24"/>
  <c r="J684" i="24"/>
  <c r="J678" i="24"/>
  <c r="J634" i="24"/>
  <c r="J675" i="24"/>
  <c r="J646" i="24"/>
  <c r="J698" i="24"/>
  <c r="J670" i="24"/>
  <c r="J697" i="24"/>
  <c r="J693" i="24"/>
  <c r="J632" i="24"/>
  <c r="J692" i="24"/>
  <c r="J639" i="24"/>
  <c r="J645" i="24"/>
  <c r="J685" i="24"/>
  <c r="J691" i="24"/>
  <c r="J690" i="24"/>
  <c r="J647" i="24"/>
  <c r="J669" i="24"/>
  <c r="J695" i="24"/>
  <c r="J673" i="24"/>
  <c r="J676" i="24"/>
  <c r="J713" i="24"/>
  <c r="J643" i="24"/>
  <c r="J683" i="24"/>
  <c r="J711" i="24"/>
  <c r="J687" i="24"/>
  <c r="J700" i="24"/>
  <c r="J641" i="24"/>
  <c r="J706" i="24"/>
  <c r="J671" i="24"/>
  <c r="J701" i="24"/>
  <c r="J668" i="24"/>
  <c r="J681" i="24"/>
  <c r="J637" i="24"/>
  <c r="J709" i="24"/>
  <c r="J704" i="24"/>
  <c r="J642" i="24"/>
  <c r="J689" i="24"/>
  <c r="J674" i="24"/>
  <c r="J679" i="24"/>
  <c r="J635" i="24"/>
  <c r="J705" i="24"/>
  <c r="J636" i="24"/>
  <c r="L647" i="24" l="1"/>
  <c r="L698" i="24" s="1"/>
  <c r="K644" i="24"/>
  <c r="K677" i="24" s="1"/>
  <c r="J715" i="24"/>
  <c r="K705" i="24" l="1"/>
  <c r="L690" i="24"/>
  <c r="L669" i="24"/>
  <c r="L679" i="24"/>
  <c r="L683" i="24"/>
  <c r="L676" i="24"/>
  <c r="L677" i="24"/>
  <c r="M677" i="24" s="1"/>
  <c r="L696" i="24"/>
  <c r="L703" i="24"/>
  <c r="K681" i="24"/>
  <c r="K710" i="24"/>
  <c r="K716" i="24"/>
  <c r="K673" i="24"/>
  <c r="K689" i="24"/>
  <c r="K692" i="24"/>
  <c r="K672" i="24"/>
  <c r="L691" i="24"/>
  <c r="L695" i="24"/>
  <c r="L689" i="24"/>
  <c r="L705" i="24"/>
  <c r="M705" i="24" s="1"/>
  <c r="E183" i="34" s="1"/>
  <c r="L686" i="24"/>
  <c r="L688" i="24"/>
  <c r="L674" i="24"/>
  <c r="L707" i="24"/>
  <c r="L697" i="24"/>
  <c r="L711" i="24"/>
  <c r="L704" i="24"/>
  <c r="L708" i="24"/>
  <c r="L668" i="24"/>
  <c r="L702" i="24"/>
  <c r="L675" i="24"/>
  <c r="L681" i="24"/>
  <c r="L682" i="24"/>
  <c r="L673" i="24"/>
  <c r="L716" i="24"/>
  <c r="L706" i="24"/>
  <c r="L694" i="24"/>
  <c r="L693" i="24"/>
  <c r="L684" i="24"/>
  <c r="L699" i="24"/>
  <c r="L700" i="24"/>
  <c r="L685" i="24"/>
  <c r="L692" i="24"/>
  <c r="L701" i="24"/>
  <c r="L710" i="24"/>
  <c r="M710" i="24" s="1"/>
  <c r="C215" i="34" s="1"/>
  <c r="L713" i="24"/>
  <c r="L670" i="24"/>
  <c r="K699" i="24"/>
  <c r="L709" i="24"/>
  <c r="L671" i="24"/>
  <c r="L678" i="24"/>
  <c r="L672" i="24"/>
  <c r="L687" i="24"/>
  <c r="L680" i="24"/>
  <c r="L712" i="24"/>
  <c r="K712" i="24"/>
  <c r="K708" i="24"/>
  <c r="K691" i="24"/>
  <c r="K675" i="24"/>
  <c r="K682" i="24"/>
  <c r="K674" i="24"/>
  <c r="K706" i="24"/>
  <c r="K679" i="24"/>
  <c r="K700" i="24"/>
  <c r="K694" i="24"/>
  <c r="K685" i="24"/>
  <c r="M685" i="24" s="1"/>
  <c r="F87" i="34" s="1"/>
  <c r="K709" i="24"/>
  <c r="K669" i="24"/>
  <c r="M669" i="24" s="1"/>
  <c r="D23" i="34" s="1"/>
  <c r="K684" i="24"/>
  <c r="K707" i="24"/>
  <c r="K713" i="24"/>
  <c r="K683" i="24"/>
  <c r="M683" i="24" s="1"/>
  <c r="D87" i="34" s="1"/>
  <c r="K668" i="24"/>
  <c r="K686" i="24"/>
  <c r="K696" i="24"/>
  <c r="K678" i="24"/>
  <c r="K690" i="24"/>
  <c r="M690" i="24" s="1"/>
  <c r="D119" i="34" s="1"/>
  <c r="K702" i="24"/>
  <c r="K695" i="24"/>
  <c r="M695" i="24" s="1"/>
  <c r="I119" i="34" s="1"/>
  <c r="K687" i="24"/>
  <c r="K697" i="24"/>
  <c r="K693" i="24"/>
  <c r="K701" i="24"/>
  <c r="K711" i="24"/>
  <c r="K680" i="24"/>
  <c r="K676" i="24"/>
  <c r="K671" i="24"/>
  <c r="K688" i="24"/>
  <c r="K703" i="24"/>
  <c r="M703" i="24" s="1"/>
  <c r="C183" i="34" s="1"/>
  <c r="K670" i="24"/>
  <c r="K698" i="24"/>
  <c r="M698" i="24" s="1"/>
  <c r="E151" i="34" s="1"/>
  <c r="K704" i="24"/>
  <c r="M676" i="24" l="1"/>
  <c r="D55" i="34" s="1"/>
  <c r="M679" i="24"/>
  <c r="M673" i="24"/>
  <c r="H23" i="34" s="1"/>
  <c r="M699" i="24"/>
  <c r="F151" i="34" s="1"/>
  <c r="M672" i="24"/>
  <c r="G23" i="34" s="1"/>
  <c r="M688" i="24"/>
  <c r="I87" i="34" s="1"/>
  <c r="M712" i="24"/>
  <c r="E215" i="34" s="1"/>
  <c r="M681" i="24"/>
  <c r="I55" i="34" s="1"/>
  <c r="M680" i="24"/>
  <c r="H55" i="34" s="1"/>
  <c r="M684" i="24"/>
  <c r="E87" i="34" s="1"/>
  <c r="M674" i="24"/>
  <c r="I23" i="34" s="1"/>
  <c r="M701" i="24"/>
  <c r="H151" i="34" s="1"/>
  <c r="M696" i="24"/>
  <c r="C151" i="34" s="1"/>
  <c r="M675" i="24"/>
  <c r="C55" i="34" s="1"/>
  <c r="M692" i="24"/>
  <c r="F55" i="34" s="1"/>
  <c r="M700" i="24"/>
  <c r="G151" i="34" s="1"/>
  <c r="M702" i="24"/>
  <c r="I151" i="34" s="1"/>
  <c r="M713" i="24"/>
  <c r="F215" i="34" s="1"/>
  <c r="M689" i="24"/>
  <c r="C119" i="34" s="1"/>
  <c r="M693" i="24"/>
  <c r="G55" i="34" s="1"/>
  <c r="M671" i="24"/>
  <c r="F23" i="34" s="1"/>
  <c r="M704" i="24"/>
  <c r="D183" i="34" s="1"/>
  <c r="M711" i="24"/>
  <c r="D215" i="34" s="1"/>
  <c r="M678" i="24"/>
  <c r="M668" i="24"/>
  <c r="C23" i="34" s="1"/>
  <c r="M686" i="24"/>
  <c r="G87" i="34" s="1"/>
  <c r="M687" i="24"/>
  <c r="H87" i="34" s="1"/>
  <c r="M694" i="24"/>
  <c r="H119" i="34" s="1"/>
  <c r="M708" i="24"/>
  <c r="H183" i="34" s="1"/>
  <c r="M682" i="24"/>
  <c r="C87" i="34" s="1"/>
  <c r="M691" i="24"/>
  <c r="E119" i="34" s="1"/>
  <c r="M706" i="24"/>
  <c r="F183" i="34" s="1"/>
  <c r="L715" i="24"/>
  <c r="M707" i="24"/>
  <c r="G183" i="34" s="1"/>
  <c r="M697" i="24"/>
  <c r="D151" i="34" s="1"/>
  <c r="M709" i="24"/>
  <c r="I183" i="34" s="1"/>
  <c r="K715" i="24"/>
  <c r="M670" i="24"/>
  <c r="E23" i="34" s="1"/>
  <c r="G119" i="34" l="1"/>
  <c r="F119" i="34"/>
  <c r="E55" i="34"/>
  <c r="M715" i="24"/>
</calcChain>
</file>

<file path=xl/sharedStrings.xml><?xml version="1.0" encoding="utf-8"?>
<sst xmlns="http://schemas.openxmlformats.org/spreadsheetml/2006/main" count="4816" uniqueCount="1371">
  <si>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</si>
  <si>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</si>
  <si>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</si>
  <si>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</si>
  <si>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</si>
  <si>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</si>
  <si>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</si>
  <si>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</si>
  <si>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</si>
  <si>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</si>
  <si>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</si>
  <si>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</si>
  <si>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</si>
  <si>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</si>
  <si>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</si>
  <si>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</si>
  <si>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</si>
  <si>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</si>
  <si>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</si>
  <si>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</si>
  <si>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</si>
  <si>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</si>
  <si>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</si>
  <si>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</si>
  <si>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</si>
  <si>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</si>
  <si>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</si>
  <si>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</si>
  <si>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</si>
  <si>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</si>
  <si>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</si>
  <si>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</si>
  <si>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</si>
  <si>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</si>
  <si>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</si>
  <si>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</si>
  <si>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</si>
  <si>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</si>
  <si>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</si>
  <si>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</si>
  <si>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</si>
  <si>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</si>
  <si>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</si>
  <si>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</si>
  <si>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</si>
  <si>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</si>
  <si>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</si>
  <si>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</si>
  <si>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</si>
  <si>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</si>
  <si>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</si>
  <si>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</si>
  <si>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</si>
  <si>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</si>
  <si>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</si>
  <si>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</si>
  <si>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</si>
  <si>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</si>
  <si>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</si>
  <si>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</si>
  <si>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</si>
  <si>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</si>
  <si>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</si>
  <si>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</si>
  <si>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</si>
  <si>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</si>
  <si>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</si>
  <si>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</si>
  <si>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</si>
  <si>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</si>
  <si>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</si>
  <si>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</si>
  <si>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</si>
  <si>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</si>
  <si>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</si>
  <si>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</si>
  <si>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</si>
  <si>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</si>
  <si>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</si>
  <si>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</si>
  <si>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</si>
  <si>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</si>
  <si>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</si>
  <si>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</si>
  <si>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</si>
  <si>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</si>
  <si>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</si>
  <si>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</si>
  <si>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</si>
  <si>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</si>
  <si>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</si>
  <si>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</si>
  <si>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</si>
  <si>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</si>
  <si>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</si>
  <si>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</si>
  <si>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</si>
  <si>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</si>
  <si>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</si>
  <si>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</si>
  <si>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</si>
  <si>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</si>
  <si>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</si>
  <si>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</si>
  <si>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</si>
  <si>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</si>
  <si>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</si>
  <si>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</si>
  <si>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</si>
  <si>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</si>
  <si>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</si>
  <si>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</si>
  <si>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</si>
  <si>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</si>
  <si>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</si>
  <si>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</si>
  <si>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</si>
  <si>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</si>
  <si>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</si>
  <si>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</si>
  <si>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</si>
  <si>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</si>
  <si>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</si>
  <si>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</si>
  <si>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</si>
  <si>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</si>
  <si>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</si>
  <si>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</si>
  <si>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</si>
  <si>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</si>
  <si>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</si>
  <si>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</si>
  <si>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</si>
  <si>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</si>
  <si>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</si>
  <si>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</si>
  <si>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</si>
  <si>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</si>
  <si>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</si>
  <si>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</si>
  <si>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</si>
  <si>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</si>
  <si>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</si>
  <si>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</si>
  <si>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</si>
  <si>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</si>
  <si>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</si>
  <si>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</si>
  <si>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</si>
  <si>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</si>
  <si>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</si>
  <si>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</si>
  <si>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</si>
  <si>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</si>
  <si>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</si>
  <si>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</si>
  <si>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</si>
  <si>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</si>
  <si>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</si>
  <si>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</si>
  <si>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</si>
  <si>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</si>
  <si>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</si>
  <si>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</si>
  <si>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</si>
  <si>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</si>
  <si>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</si>
  <si>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</si>
  <si>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</si>
  <si>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</si>
  <si>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</si>
  <si>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</si>
  <si>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</si>
  <si>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</si>
  <si>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</si>
  <si>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</si>
  <si>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</si>
  <si>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</si>
  <si>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</si>
  <si>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</si>
  <si>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</si>
  <si>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</si>
  <si>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</si>
  <si>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</si>
  <si>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</si>
  <si>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</si>
  <si>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</si>
  <si>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</si>
  <si>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</si>
  <si>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</si>
  <si>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</si>
  <si>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</si>
  <si>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</si>
  <si>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</si>
  <si>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</si>
  <si>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</si>
  <si>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</si>
  <si>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</si>
  <si>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</si>
  <si>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</si>
  <si>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</si>
  <si>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</si>
  <si>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</si>
  <si>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</si>
  <si>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</si>
  <si>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</si>
  <si>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</si>
  <si>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</si>
  <si>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</si>
  <si>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</si>
  <si>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</si>
  <si>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</si>
  <si>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</si>
  <si>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</si>
  <si>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</si>
  <si>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</si>
  <si>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</si>
  <si>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</si>
  <si>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</si>
  <si>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</si>
  <si>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</si>
  <si>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</si>
  <si>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</si>
  <si>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</si>
  <si>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</si>
  <si>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</si>
  <si>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</si>
  <si>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</si>
  <si>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</si>
  <si>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</si>
  <si>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</si>
  <si>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</si>
  <si>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</si>
  <si>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</si>
  <si>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</si>
  <si>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</si>
  <si>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</si>
  <si>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</si>
  <si>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</si>
  <si>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</si>
  <si>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</si>
  <si>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</si>
  <si>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</si>
  <si>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</si>
  <si>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</si>
  <si>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</si>
  <si>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</si>
  <si>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</si>
  <si>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</si>
  <si>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</si>
  <si>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</si>
  <si>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</si>
  <si>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</si>
  <si>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</si>
  <si>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</si>
  <si>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</si>
  <si>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</si>
  <si>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</si>
  <si>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</si>
  <si>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</si>
  <si>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</si>
  <si>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</si>
  <si>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</si>
  <si>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</si>
  <si>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</si>
  <si>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</si>
  <si>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</si>
  <si>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</si>
  <si>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</si>
  <si>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</si>
  <si>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</si>
  <si>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</si>
  <si>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</si>
  <si>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</si>
  <si>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</si>
  <si>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</si>
  <si>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</si>
  <si>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</si>
  <si>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</si>
  <si>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</si>
  <si>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</si>
  <si>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</si>
  <si>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</si>
  <si>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</si>
  <si>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</si>
  <si>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</si>
  <si>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</si>
  <si>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</si>
  <si>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</si>
  <si>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</si>
  <si>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</si>
  <si>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</si>
  <si>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</si>
  <si>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</si>
  <si>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</si>
  <si>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</si>
  <si>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</si>
  <si>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</si>
  <si>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</si>
  <si>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</si>
  <si>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198</t>
  </si>
  <si>
    <t>Hospital Name</t>
  </si>
  <si>
    <t>Astria Sunnyside Hospital</t>
  </si>
  <si>
    <t>Mailing Address</t>
  </si>
  <si>
    <t>PO Box 719</t>
  </si>
  <si>
    <t>City</t>
  </si>
  <si>
    <t xml:space="preserve">Sunnyside </t>
  </si>
  <si>
    <t>State</t>
  </si>
  <si>
    <t xml:space="preserve">WA </t>
  </si>
  <si>
    <t>Zip</t>
  </si>
  <si>
    <t>County</t>
  </si>
  <si>
    <t>Yakima</t>
  </si>
  <si>
    <t>Chief Executive Officer</t>
  </si>
  <si>
    <t>Brian P. Gibbons, Jr</t>
  </si>
  <si>
    <t>Chief Financial Officer</t>
  </si>
  <si>
    <t>Maxwell Owens</t>
  </si>
  <si>
    <t>Chair of Governing Board</t>
  </si>
  <si>
    <t>Jonathon G. Mercer</t>
  </si>
  <si>
    <t>Telephone Number</t>
  </si>
  <si>
    <t>(509) 837-1641</t>
  </si>
  <si>
    <t>Facsimile Number</t>
  </si>
  <si>
    <t>(509) 837-1512</t>
  </si>
  <si>
    <t>Name of Submitter</t>
  </si>
  <si>
    <t>Sandra Cortez</t>
  </si>
  <si>
    <t>Email of Submitter</t>
  </si>
  <si>
    <t>sandra.cortez@astria.health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</si>
  <si>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</si>
  <si>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</si>
  <si>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</si>
  <si>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</si>
  <si>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</si>
  <si>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</si>
  <si>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</si>
  <si>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</si>
  <si>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</si>
  <si>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</si>
  <si>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</si>
  <si>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</si>
  <si>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</si>
  <si>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</si>
  <si>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</si>
  <si>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</si>
  <si>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</si>
  <si>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</si>
  <si>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</si>
  <si>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</si>
  <si>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</si>
  <si>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</si>
  <si>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</si>
  <si>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</si>
  <si>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</si>
  <si>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</si>
  <si>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</si>
  <si>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</si>
  <si>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</si>
  <si>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</si>
  <si>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</si>
  <si>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</si>
  <si>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</si>
  <si>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</si>
  <si>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</si>
  <si>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</si>
  <si>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</si>
  <si>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</si>
  <si>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</si>
  <si>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</si>
  <si>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</si>
  <si>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</si>
  <si>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</si>
  <si>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</si>
  <si>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</si>
  <si>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</si>
  <si>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</si>
  <si>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</si>
  <si>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</si>
  <si>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</si>
  <si>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</si>
  <si>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</si>
  <si>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</si>
  <si>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</si>
  <si>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</si>
  <si>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</si>
  <si>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</si>
  <si>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</si>
  <si>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</si>
  <si>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</si>
  <si>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</si>
  <si>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</si>
  <si>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</si>
  <si>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</si>
  <si>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</si>
  <si>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</si>
  <si>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</si>
  <si>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</si>
  <si>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</si>
  <si>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</si>
  <si>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</si>
  <si>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</si>
  <si>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</si>
  <si>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</si>
  <si>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</si>
  <si>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Rite of Use Assets</t>
  </si>
  <si>
    <t>Construction In Progress</t>
  </si>
  <si>
    <t>ACCUMULATED DEPRECIATION</t>
  </si>
  <si>
    <t>Leasehold Improvements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</si>
  <si>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</si>
  <si>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</si>
  <si>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</si>
  <si>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</si>
  <si>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</si>
  <si>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</si>
  <si>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</si>
  <si>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</si>
  <si>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</si>
  <si>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</si>
  <si>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</si>
  <si>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</si>
  <si>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</si>
  <si>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</si>
  <si>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</si>
  <si>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</si>
  <si>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</si>
  <si>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</si>
  <si>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</si>
  <si>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</si>
  <si>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</si>
  <si>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</si>
  <si>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</si>
  <si>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</si>
  <si>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</si>
  <si>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</si>
  <si>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</si>
  <si>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</si>
  <si>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</si>
  <si>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</si>
  <si>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</si>
  <si>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</si>
  <si>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</si>
  <si>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</si>
  <si>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</si>
  <si>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</si>
  <si>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</si>
  <si>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</si>
  <si>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</si>
  <si>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</si>
  <si>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</si>
  <si>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</si>
  <si>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</si>
  <si>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</si>
  <si>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</si>
  <si>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</si>
  <si>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</si>
  <si>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</si>
  <si>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</si>
  <si>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</si>
  <si>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</si>
  <si>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</si>
  <si>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</si>
  <si>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</si>
  <si>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</si>
  <si>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</si>
  <si>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</si>
  <si>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</si>
  <si>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</si>
  <si>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</si>
  <si>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</si>
  <si>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</si>
  <si>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</si>
  <si>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</si>
  <si>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</si>
  <si>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</si>
  <si>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</si>
  <si>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</si>
  <si>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</si>
  <si>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</si>
  <si>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</si>
  <si>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</si>
  <si>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</si>
  <si>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</si>
  <si>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</si>
  <si>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</si>
  <si>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</si>
  <si>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</si>
  <si>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</si>
  <si>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</si>
  <si>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</si>
  <si>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</si>
  <si>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</si>
  <si>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</si>
  <si>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</si>
  <si>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</si>
  <si>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</si>
  <si>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</si>
  <si>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</si>
  <si>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</si>
  <si>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</si>
  <si>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</si>
  <si>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</si>
  <si>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</si>
  <si>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</si>
  <si>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</si>
  <si>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</si>
  <si>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</si>
  <si>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</si>
  <si>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</si>
  <si>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</si>
  <si>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</si>
  <si>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</si>
  <si>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</si>
  <si>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</si>
  <si>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</si>
  <si>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</si>
  <si>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</si>
  <si>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</si>
  <si>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</si>
  <si>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</si>
  <si>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</si>
  <si>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</si>
  <si>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</si>
  <si>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</si>
  <si>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</si>
  <si>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</si>
  <si>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</si>
  <si>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</si>
  <si>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</si>
  <si>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</si>
  <si>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</si>
  <si>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</si>
  <si>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</si>
  <si>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</si>
  <si>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</si>
  <si>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</si>
  <si>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</si>
  <si>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</si>
  <si>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</si>
  <si>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</si>
  <si>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</si>
  <si>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</si>
  <si>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</si>
  <si>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</si>
  <si>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</si>
  <si>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</si>
  <si>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</si>
  <si>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</si>
  <si>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</si>
  <si>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</si>
  <si>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</si>
  <si>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</si>
  <si>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</si>
  <si>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</si>
  <si>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</si>
  <si>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</si>
  <si>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</si>
  <si>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</si>
  <si>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</si>
  <si>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</si>
  <si>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</si>
  <si>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</si>
  <si>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</si>
  <si>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</si>
  <si>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</si>
  <si>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</si>
  <si>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</si>
  <si>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</si>
  <si>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</si>
  <si>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</si>
  <si>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</si>
  <si>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</si>
  <si>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</si>
  <si>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</si>
  <si>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</si>
  <si>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</si>
  <si>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</si>
  <si>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</si>
  <si>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</si>
  <si>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</si>
  <si>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</si>
  <si>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</si>
  <si>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</si>
  <si>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</si>
  <si>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</si>
  <si>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</si>
  <si>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</si>
  <si>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</si>
  <si>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</si>
  <si>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</si>
  <si>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</si>
  <si>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</si>
  <si>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</si>
  <si>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</si>
  <si>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</si>
  <si>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</si>
  <si>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</si>
  <si>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</si>
  <si>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</si>
  <si>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</si>
  <si>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</si>
  <si>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</si>
  <si>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</si>
  <si>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</si>
  <si>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</si>
  <si>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</si>
  <si>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</si>
  <si>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</si>
  <si>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</si>
  <si>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</si>
  <si>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</si>
  <si>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</si>
  <si>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</si>
  <si>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</si>
  <si>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</si>
  <si>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</si>
  <si>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</si>
  <si>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</si>
  <si>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</si>
  <si>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</si>
  <si>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</si>
  <si>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</si>
  <si>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</si>
  <si>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</si>
  <si>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</si>
  <si>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</si>
  <si>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</si>
  <si>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</si>
  <si>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</si>
  <si>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</si>
  <si>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</si>
  <si>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</si>
  <si>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</si>
  <si>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</si>
  <si>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</si>
  <si>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</si>
  <si>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</si>
  <si>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</si>
  <si>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</si>
  <si>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</si>
  <si>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</si>
  <si>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</si>
  <si>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</si>
  <si>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</si>
  <si>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</si>
  <si>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</si>
  <si>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</si>
  <si>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</si>
  <si>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</si>
  <si>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</si>
  <si>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</si>
  <si>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</si>
  <si>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</si>
  <si>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</si>
  <si>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</si>
  <si>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</si>
  <si>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</si>
  <si>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</si>
  <si>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</si>
  <si>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</si>
  <si>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</si>
  <si>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</si>
  <si>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</si>
  <si>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</si>
  <si>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</si>
  <si>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</si>
  <si>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</si>
  <si>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</si>
  <si>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</si>
  <si>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</si>
  <si>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</si>
  <si>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</si>
  <si>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</si>
  <si>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</si>
  <si>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</si>
  <si>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</si>
  <si>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</si>
  <si>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</si>
  <si>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</si>
  <si>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</si>
  <si>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</si>
  <si>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</si>
  <si>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</si>
  <si>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</si>
  <si>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</si>
  <si>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</si>
  <si>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</si>
  <si>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</si>
  <si>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</si>
  <si>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</si>
  <si>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</si>
  <si>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</si>
  <si>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</si>
  <si>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</si>
  <si>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</si>
  <si>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</si>
  <si>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</si>
  <si>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</si>
  <si>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</si>
  <si>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</si>
  <si>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</si>
  <si>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</si>
  <si>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</si>
  <si>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</si>
  <si>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</si>
  <si>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</si>
  <si>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</si>
  <si>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</si>
  <si>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</si>
  <si>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</si>
  <si>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</si>
  <si>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</si>
  <si>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</si>
  <si>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</si>
  <si>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</si>
  <si>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</si>
  <si>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</si>
  <si>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</si>
  <si>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</si>
  <si>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</si>
  <si>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</si>
  <si>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</si>
  <si>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</si>
  <si>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</si>
  <si>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</si>
  <si>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</si>
  <si>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</si>
  <si>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</si>
  <si>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</si>
  <si>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</si>
  <si>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</si>
  <si>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</si>
  <si>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</si>
  <si>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</si>
  <si>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</si>
  <si>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</si>
  <si>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</si>
  <si>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</si>
  <si>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</si>
  <si>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</si>
  <si>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</si>
  <si>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</si>
  <si>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</si>
  <si>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</si>
  <si>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</si>
  <si>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</si>
  <si>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</si>
  <si>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</si>
  <si>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</si>
  <si>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</si>
  <si>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</si>
  <si>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</si>
  <si>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</si>
  <si>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</si>
  <si>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</si>
  <si>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</si>
  <si>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</si>
  <si>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</si>
  <si>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</si>
  <si>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</si>
  <si>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</si>
  <si>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</si>
  <si>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</si>
  <si>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</si>
  <si>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</si>
  <si>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</si>
  <si>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</si>
  <si>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</si>
  <si>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</si>
  <si>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</si>
  <si>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</si>
  <si>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</si>
  <si>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</si>
  <si>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</si>
  <si>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</si>
  <si>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</si>
  <si>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</si>
  <si>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</si>
  <si>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</si>
  <si>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</si>
  <si>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</si>
  <si>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</si>
  <si>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</si>
  <si>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</si>
  <si>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</si>
  <si>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</si>
  <si>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</si>
  <si>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</si>
  <si>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</si>
  <si>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</si>
  <si>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</si>
  <si>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</si>
  <si>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</si>
  <si>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</si>
  <si>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</si>
  <si>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</si>
  <si>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</si>
  <si>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</si>
  <si>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</si>
  <si>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</si>
  <si>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</si>
  <si>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</si>
  <si>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</si>
  <si>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</si>
  <si>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</si>
  <si>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</si>
  <si>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</si>
  <si>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</si>
  <si>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</si>
  <si>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</si>
  <si>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</si>
  <si>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</si>
  <si>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</si>
  <si>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</si>
  <si>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</si>
  <si>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</si>
  <si>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</si>
  <si>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</si>
  <si>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</si>
  <si>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</si>
  <si>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</si>
  <si>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</si>
  <si>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</si>
  <si>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</si>
  <si>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</si>
  <si>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</si>
  <si>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</si>
  <si>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</si>
  <si>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</si>
  <si>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</si>
  <si>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</si>
  <si>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</si>
  <si>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</si>
  <si>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</si>
  <si>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</si>
  <si>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</si>
  <si>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</si>
  <si>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</si>
  <si>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</si>
  <si>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</si>
  <si>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</si>
  <si>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</si>
  <si>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</si>
  <si>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</si>
  <si>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</si>
  <si>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</si>
  <si>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</si>
  <si>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</si>
  <si>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</si>
  <si>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</si>
  <si>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</si>
  <si>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</si>
  <si>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</si>
  <si>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</si>
  <si>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</si>
  <si>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</si>
  <si>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</si>
  <si>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</si>
  <si>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</si>
  <si>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</si>
  <si>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</si>
  <si>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</si>
  <si>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</si>
  <si>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</si>
  <si>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</si>
  <si>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</si>
  <si>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</si>
  <si>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</si>
  <si>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</si>
  <si>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</si>
  <si>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</si>
  <si>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</si>
  <si>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</si>
  <si>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</si>
  <si>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</si>
  <si>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</si>
  <si>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</si>
  <si>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</si>
  <si>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</si>
  <si>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</si>
  <si>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</si>
  <si>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</si>
  <si>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</si>
  <si>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</si>
  <si>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</si>
  <si>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</si>
  <si>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</si>
  <si>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</si>
  <si>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</si>
  <si>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</si>
  <si>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</si>
  <si>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</si>
  <si>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</si>
  <si>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</si>
  <si>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</si>
  <si>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</si>
  <si>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</si>
  <si>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</si>
  <si>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</si>
  <si>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</si>
  <si>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</si>
  <si>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</si>
  <si>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</si>
  <si>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</si>
  <si>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</si>
  <si>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</si>
  <si>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</si>
  <si>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</si>
  <si>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</si>
  <si>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</si>
  <si>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</si>
  <si>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</si>
  <si>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</si>
  <si>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</si>
  <si>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</si>
  <si>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</si>
  <si>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</si>
  <si>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</si>
  <si>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</si>
  <si>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</si>
  <si>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</si>
  <si>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</si>
  <si>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</si>
  <si>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</si>
  <si>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</si>
  <si>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</si>
  <si>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</si>
  <si>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</si>
  <si>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</si>
  <si>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</si>
  <si>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</si>
  <si>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</si>
  <si>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</si>
  <si>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</si>
  <si>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</si>
  <si>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</si>
  <si>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</si>
  <si>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</si>
  <si>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</si>
  <si>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</si>
  <si>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</si>
  <si>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</si>
  <si>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</si>
  <si>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</si>
  <si>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</si>
  <si>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</si>
  <si>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</si>
  <si>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</si>
  <si>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</si>
  <si>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</si>
  <si>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</si>
  <si>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</si>
  <si>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</si>
  <si>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</si>
  <si>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</si>
  <si>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</si>
  <si>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</si>
  <si>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</si>
  <si>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</si>
  <si>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</si>
  <si>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</si>
  <si>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</si>
  <si>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</si>
  <si>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</si>
  <si>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</si>
  <si>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</si>
  <si>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</si>
  <si>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</si>
  <si>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</si>
  <si>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</si>
  <si>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</si>
  <si>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</si>
  <si>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</si>
  <si>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</si>
  <si>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</si>
  <si>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</si>
  <si>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</si>
  <si>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</si>
  <si>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</si>
  <si>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</si>
  <si>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</si>
  <si>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</si>
  <si>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</si>
  <si>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</si>
  <si>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</si>
  <si>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</si>
  <si>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</si>
  <si>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</si>
  <si>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</si>
  <si>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</si>
  <si>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</si>
  <si>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</si>
  <si>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</si>
  <si>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</si>
  <si>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</si>
  <si>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</si>
  <si>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</si>
  <si>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</si>
  <si>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</si>
  <si>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</si>
  <si>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</si>
  <si>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</si>
  <si>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</si>
  <si>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</si>
  <si>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</si>
  <si>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</si>
  <si>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</si>
  <si>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</si>
  <si>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</si>
  <si>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</si>
  <si>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</si>
  <si>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</si>
  <si>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</si>
  <si>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</si>
  <si>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</si>
  <si>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</si>
  <si>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</si>
  <si>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</si>
  <si>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</si>
  <si>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</si>
  <si>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</si>
  <si>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</si>
  <si>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</si>
  <si>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</si>
  <si>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</si>
  <si>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</si>
  <si>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</si>
  <si>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</si>
  <si>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</si>
  <si>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</si>
  <si>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</si>
  <si>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</si>
  <si>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</si>
  <si>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</si>
  <si>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</si>
  <si>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</si>
  <si>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</si>
  <si>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</si>
  <si>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</si>
  <si>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</si>
  <si>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</si>
  <si>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</si>
  <si>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</si>
  <si>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</si>
  <si>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</si>
  <si>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</si>
  <si>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</si>
  <si>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</si>
  <si>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</si>
  <si>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</si>
  <si>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</si>
  <si>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</si>
  <si>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</si>
  <si>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</si>
  <si>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</si>
  <si>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</si>
  <si>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</si>
  <si>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</si>
  <si>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</si>
  <si>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</si>
  <si>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</si>
  <si>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</si>
  <si>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</si>
  <si>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</si>
  <si>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</si>
  <si>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</si>
  <si>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</si>
  <si>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</si>
  <si>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</si>
  <si>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</si>
  <si>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</si>
  <si>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</si>
  <si>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</si>
  <si>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</si>
  <si>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</si>
  <si>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</si>
  <si>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</si>
  <si>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</si>
  <si>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</si>
  <si>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</si>
  <si>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</si>
  <si>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</si>
  <si>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</si>
  <si>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</si>
  <si>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</si>
  <si>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</si>
  <si>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</si>
  <si>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</si>
  <si>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</si>
  <si>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</si>
  <si>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</si>
  <si>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</si>
  <si>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</si>
  <si>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</si>
  <si>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</si>
  <si>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</si>
  <si>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</si>
  <si>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</si>
  <si>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</si>
  <si>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</si>
  <si>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</si>
  <si>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</si>
  <si>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</si>
  <si>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</si>
  <si>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</si>
  <si>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</si>
  <si>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</si>
  <si>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</si>
  <si>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</si>
  <si>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</si>
  <si>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</si>
  <si>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</si>
  <si>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</si>
  <si>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</si>
  <si>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</si>
  <si>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</si>
  <si>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</si>
  <si>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</si>
  <si>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</si>
  <si>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</si>
  <si>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</si>
  <si>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</si>
  <si>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</si>
  <si>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</si>
  <si>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</si>
  <si>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</si>
  <si>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</si>
  <si>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</si>
  <si>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</si>
  <si>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</si>
  <si>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</si>
  <si>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</si>
  <si>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</si>
  <si>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</si>
  <si>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</si>
  <si>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</si>
  <si>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</si>
  <si>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</si>
  <si>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</si>
  <si>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</si>
  <si>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</si>
  <si>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</si>
  <si>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</si>
  <si>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</si>
  <si>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</si>
  <si>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</si>
  <si>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</si>
  <si>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</si>
  <si>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</si>
  <si>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</si>
  <si>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</si>
  <si>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</si>
  <si>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</si>
  <si>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</si>
  <si>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</si>
  <si>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</si>
  <si>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</si>
  <si>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</si>
  <si>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</si>
  <si>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</si>
  <si>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</si>
  <si>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</si>
  <si>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</si>
  <si>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</si>
  <si>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</si>
  <si>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</si>
  <si>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</si>
  <si>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</si>
  <si>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</si>
  <si>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</si>
  <si>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</si>
  <si>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</si>
  <si>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</si>
  <si>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</si>
  <si>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</si>
  <si>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</si>
  <si>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</si>
  <si>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</si>
  <si>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</si>
  <si>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</si>
  <si>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</si>
  <si>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</si>
  <si>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</si>
  <si>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</si>
  <si>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</si>
  <si>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</si>
  <si>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</si>
  <si>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</si>
  <si>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</si>
  <si>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</si>
  <si>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</si>
  <si>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</si>
  <si>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</si>
  <si>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</si>
  <si>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</si>
  <si>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</si>
  <si>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</si>
  <si>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</si>
  <si>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</si>
  <si>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</si>
  <si>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</si>
  <si>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</si>
  <si>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</si>
  <si>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</si>
  <si>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</si>
  <si>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</si>
  <si>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</si>
  <si>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</si>
  <si>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</si>
  <si>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</si>
  <si>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</si>
  <si>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</si>
  <si>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</si>
  <si>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</si>
  <si>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</si>
  <si>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</si>
  <si>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</si>
  <si>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</si>
  <si>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</si>
  <si>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</si>
  <si>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</si>
  <si>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</si>
  <si>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</si>
  <si>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</si>
  <si>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</si>
  <si>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</si>
  <si>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</si>
  <si>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</si>
  <si>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</si>
  <si>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</si>
  <si>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</si>
  <si>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</si>
  <si>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</si>
  <si>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</si>
  <si>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</si>
  <si>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</si>
  <si>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</si>
  <si>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</si>
  <si>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</si>
  <si>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</si>
  <si>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</si>
  <si>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</si>
  <si>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</si>
  <si>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</si>
  <si>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</si>
  <si>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</si>
  <si>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</si>
  <si>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</si>
  <si>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</si>
  <si>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</si>
  <si>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</si>
  <si>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</si>
  <si>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</si>
  <si>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</si>
  <si>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</si>
  <si>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</si>
  <si>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</si>
  <si>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</si>
  <si>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</si>
  <si>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</si>
  <si>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</si>
  <si>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</si>
  <si>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</si>
  <si>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</si>
  <si>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</si>
  <si>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</si>
  <si>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</si>
  <si>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</si>
  <si>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</si>
  <si>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</si>
  <si>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</si>
  <si>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</si>
  <si>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</si>
  <si>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</si>
  <si>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</si>
  <si>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</si>
  <si>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</si>
  <si>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</si>
  <si>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</si>
  <si>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</si>
  <si>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</si>
  <si>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</si>
  <si>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</si>
  <si>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</si>
  <si>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</si>
  <si>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</si>
  <si>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</si>
  <si>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</si>
  <si>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</si>
  <si>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</si>
  <si>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</si>
  <si>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</si>
  <si>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</si>
  <si>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</si>
  <si>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</si>
  <si>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</si>
  <si>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</si>
  <si>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</si>
  <si>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</si>
  <si>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</si>
  <si>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</si>
  <si>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</si>
  <si>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</si>
  <si>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</si>
  <si>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</si>
  <si>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</si>
  <si>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</si>
  <si>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</si>
  <si>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</si>
  <si>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</si>
  <si>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</si>
  <si>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</si>
  <si>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</si>
  <si>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</si>
  <si>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</si>
  <si>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</si>
  <si>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</si>
  <si>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</si>
  <si>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</si>
  <si>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</si>
  <si>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</si>
  <si>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</si>
  <si>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</si>
  <si>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</si>
  <si>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</si>
  <si>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</si>
  <si>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</si>
  <si>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</si>
  <si>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</si>
  <si>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</si>
  <si>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</si>
  <si>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</si>
  <si>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</si>
  <si>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</si>
  <si>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</si>
  <si>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</si>
  <si>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</si>
  <si>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</si>
  <si>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</si>
  <si>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</si>
  <si>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</si>
  <si>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</si>
  <si>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</si>
  <si>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</si>
  <si>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</si>
  <si>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</si>
  <si>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</si>
  <si>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</si>
  <si>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</si>
  <si>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</si>
  <si>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</si>
  <si>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</si>
  <si>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</si>
  <si>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</si>
  <si>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</si>
  <si>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</si>
  <si>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</si>
  <si>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</si>
  <si>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</si>
  <si>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</si>
  <si>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</si>
  <si>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</si>
  <si>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</si>
  <si>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</si>
  <si>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</si>
  <si>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</si>
  <si>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</si>
  <si>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</si>
  <si>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</si>
  <si>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</si>
  <si>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Chris Rivas</t>
  </si>
  <si>
    <t>Interest expense</t>
  </si>
  <si>
    <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</si>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</sst>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5" fillId="0" borderId="0" xfId="0" applyFont="1"/>
    <xf numFmtId="37" fontId="37" fillId="0" borderId="0" xfId="0" applyFont="1"/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822325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DDC1B-0522-4426-8FC6-0FB7FA3A1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sandra.cortez@astria.health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sandra.cortez@astria.heal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9016-F6D2-4054-B1FB-3304B809F1DF}">
  <sheetPr syncVertical="1" syncRef="A412" transitionEvaluation="1" transitionEntry="1" codeName="Sheet1">
    <tabColor rgb="FF92D050"/>
    <pageSetUpPr autoPageBreaks="0" fitToPage="1"/>
  </sheetPr>
  <dimension ref="A1:CF716"/>
  <sheetViews>
    <sheetView tabSelected="1" topLeftCell="A412" zoomScale="80" zoomScaleNormal="8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4" t="s">
        <v>1369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3" t="s">
        <v>1368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f>9457913-B48</f>
        <v>3340396</v>
      </c>
      <c r="C47" s="317">
        <v>148781</v>
      </c>
      <c r="D47" s="317">
        <v>0</v>
      </c>
      <c r="E47" s="317">
        <f>195147+165341+7392</f>
        <v>367880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130746</v>
      </c>
      <c r="Q47" s="317">
        <v>58759</v>
      </c>
      <c r="R47" s="317">
        <v>0</v>
      </c>
      <c r="S47" s="317">
        <v>8752</v>
      </c>
      <c r="T47" s="317">
        <v>0</v>
      </c>
      <c r="U47" s="317">
        <v>157966</v>
      </c>
      <c r="V47" s="317">
        <v>17538</v>
      </c>
      <c r="W47" s="317">
        <v>15477</v>
      </c>
      <c r="X47" s="317">
        <v>24206</v>
      </c>
      <c r="Y47" s="317">
        <f>89914+4910+54002+108992</f>
        <v>257818</v>
      </c>
      <c r="Z47" s="317">
        <v>0</v>
      </c>
      <c r="AA47" s="317">
        <v>4873</v>
      </c>
      <c r="AB47" s="317">
        <v>81129</v>
      </c>
      <c r="AC47" s="317">
        <v>0</v>
      </c>
      <c r="AD47" s="317">
        <v>0</v>
      </c>
      <c r="AE47" s="317">
        <v>55240</v>
      </c>
      <c r="AF47" s="317">
        <v>0</v>
      </c>
      <c r="AG47" s="317">
        <v>289840</v>
      </c>
      <c r="AH47" s="317">
        <v>0</v>
      </c>
      <c r="AI47" s="317">
        <v>56373</v>
      </c>
      <c r="AJ47" s="317">
        <v>816543</v>
      </c>
      <c r="AK47" s="317"/>
      <c r="AL47" s="317">
        <f>18231+13931</f>
        <v>32162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f>6095+27452+93496+43157</f>
        <v>170200</v>
      </c>
      <c r="AW47" s="317">
        <v>0</v>
      </c>
      <c r="AX47" s="317">
        <v>0</v>
      </c>
      <c r="AY47" s="317">
        <f>42748+3374</f>
        <v>46122</v>
      </c>
      <c r="AZ47" s="317">
        <v>0</v>
      </c>
      <c r="BA47" s="317">
        <v>0</v>
      </c>
      <c r="BB47" s="317">
        <v>13121</v>
      </c>
      <c r="BC47" s="317">
        <v>0</v>
      </c>
      <c r="BD47" s="317">
        <v>19359</v>
      </c>
      <c r="BE47" s="317">
        <v>38176</v>
      </c>
      <c r="BF47" s="317">
        <v>91386</v>
      </c>
      <c r="BG47" s="317"/>
      <c r="BH47" s="317">
        <v>137857</v>
      </c>
      <c r="BI47" s="317">
        <v>21268</v>
      </c>
      <c r="BJ47" s="317">
        <v>31480</v>
      </c>
      <c r="BK47" s="317">
        <v>0</v>
      </c>
      <c r="BL47" s="317">
        <f>70956+24004</f>
        <v>94960</v>
      </c>
      <c r="BM47" s="317">
        <v>0</v>
      </c>
      <c r="BN47" s="317">
        <v>9126</v>
      </c>
      <c r="BO47" s="317">
        <v>100</v>
      </c>
      <c r="BP47" s="317">
        <v>0</v>
      </c>
      <c r="BQ47" s="317">
        <v>32361</v>
      </c>
      <c r="BR47" s="317">
        <v>27</v>
      </c>
      <c r="BS47" s="317">
        <v>0</v>
      </c>
      <c r="BT47" s="317">
        <v>0</v>
      </c>
      <c r="BU47" s="317">
        <v>0</v>
      </c>
      <c r="BV47" s="317">
        <v>28772</v>
      </c>
      <c r="BW47" s="317">
        <v>0</v>
      </c>
      <c r="BX47" s="317">
        <v>0</v>
      </c>
      <c r="BY47" s="317">
        <f>67274+99</f>
        <v>67373</v>
      </c>
      <c r="BZ47" s="317">
        <v>0</v>
      </c>
      <c r="CA47" s="317">
        <v>0</v>
      </c>
      <c r="CB47" s="317">
        <v>0</v>
      </c>
      <c r="CC47" s="317">
        <f>11888+2737</f>
        <v>14625</v>
      </c>
      <c r="CD47" s="16"/>
      <c r="CE47" s="28">
        <f>SUM(C47:CC47)</f>
        <v>3340396</v>
      </c>
    </row>
    <row r="48" spans="1:83" x14ac:dyDescent="0.35">
      <c r="A48" s="28" t="s">
        <v>232</v>
      </c>
      <c r="B48" s="316">
        <v>6117517</v>
      </c>
      <c r="C48" s="28">
        <f t="shared" ref="C48:AH48" si="0">IF($B$48,(ROUND((($B$48/$CE$61)*C61),0)))</f>
        <v>261257</v>
      </c>
      <c r="D48" s="28">
        <f t="shared" si="0"/>
        <v>0</v>
      </c>
      <c r="E48" s="28">
        <f t="shared" si="0"/>
        <v>631331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200077</v>
      </c>
      <c r="Q48" s="28">
        <f t="shared" si="0"/>
        <v>89166</v>
      </c>
      <c r="R48" s="28">
        <f t="shared" si="0"/>
        <v>0</v>
      </c>
      <c r="S48" s="28">
        <f t="shared" si="0"/>
        <v>14796</v>
      </c>
      <c r="T48" s="28">
        <f t="shared" si="0"/>
        <v>0</v>
      </c>
      <c r="U48" s="28">
        <f t="shared" si="0"/>
        <v>251845</v>
      </c>
      <c r="V48" s="28">
        <f t="shared" si="0"/>
        <v>28121</v>
      </c>
      <c r="W48" s="28">
        <f t="shared" si="0"/>
        <v>24443</v>
      </c>
      <c r="X48" s="28">
        <f t="shared" si="0"/>
        <v>34601</v>
      </c>
      <c r="Y48" s="28">
        <f t="shared" si="0"/>
        <v>489132</v>
      </c>
      <c r="Z48" s="28">
        <f t="shared" si="0"/>
        <v>0</v>
      </c>
      <c r="AA48" s="28">
        <f t="shared" si="0"/>
        <v>14956</v>
      </c>
      <c r="AB48" s="28">
        <f t="shared" si="0"/>
        <v>136133</v>
      </c>
      <c r="AC48" s="28">
        <f t="shared" si="0"/>
        <v>0</v>
      </c>
      <c r="AD48" s="28">
        <f t="shared" si="0"/>
        <v>0</v>
      </c>
      <c r="AE48" s="28">
        <f t="shared" si="0"/>
        <v>82835</v>
      </c>
      <c r="AF48" s="28">
        <f t="shared" si="0"/>
        <v>0</v>
      </c>
      <c r="AG48" s="28">
        <f t="shared" si="0"/>
        <v>507985</v>
      </c>
      <c r="AH48" s="28">
        <f t="shared" si="0"/>
        <v>0</v>
      </c>
      <c r="AI48" s="28">
        <f t="shared" ref="AI48:BN48" si="1">IF($B$48,(ROUND((($B$48/$CE$61)*AI61),0)))</f>
        <v>89774</v>
      </c>
      <c r="AJ48" s="28">
        <f t="shared" si="1"/>
        <v>1873432</v>
      </c>
      <c r="AK48" s="28">
        <f t="shared" si="1"/>
        <v>0</v>
      </c>
      <c r="AL48" s="28">
        <f t="shared" si="1"/>
        <v>53196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279401</v>
      </c>
      <c r="AW48" s="28">
        <f t="shared" si="1"/>
        <v>0</v>
      </c>
      <c r="AX48" s="28">
        <f t="shared" si="1"/>
        <v>0</v>
      </c>
      <c r="AY48" s="28">
        <f t="shared" si="1"/>
        <v>77251</v>
      </c>
      <c r="AZ48" s="28">
        <f t="shared" si="1"/>
        <v>0</v>
      </c>
      <c r="BA48" s="28">
        <f t="shared" si="1"/>
        <v>0</v>
      </c>
      <c r="BB48" s="28">
        <f t="shared" si="1"/>
        <v>19511</v>
      </c>
      <c r="BC48" s="28">
        <f t="shared" si="1"/>
        <v>0</v>
      </c>
      <c r="BD48" s="28">
        <f t="shared" si="1"/>
        <v>33018</v>
      </c>
      <c r="BE48" s="28">
        <f t="shared" si="1"/>
        <v>61238</v>
      </c>
      <c r="BF48" s="28">
        <f t="shared" si="1"/>
        <v>144416</v>
      </c>
      <c r="BG48" s="28">
        <f t="shared" si="1"/>
        <v>0</v>
      </c>
      <c r="BH48" s="28">
        <f t="shared" si="1"/>
        <v>212363</v>
      </c>
      <c r="BI48" s="28">
        <f t="shared" si="1"/>
        <v>37010</v>
      </c>
      <c r="BJ48" s="28">
        <f t="shared" si="1"/>
        <v>49994</v>
      </c>
      <c r="BK48" s="28">
        <f t="shared" si="1"/>
        <v>0</v>
      </c>
      <c r="BL48" s="28">
        <f t="shared" si="1"/>
        <v>163686</v>
      </c>
      <c r="BM48" s="28">
        <f t="shared" si="1"/>
        <v>0</v>
      </c>
      <c r="BN48" s="28">
        <f t="shared" si="1"/>
        <v>10303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46595</v>
      </c>
      <c r="BR48" s="28">
        <f t="shared" si="2"/>
        <v>39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44678</v>
      </c>
      <c r="BW48" s="28">
        <f t="shared" si="2"/>
        <v>0</v>
      </c>
      <c r="BX48" s="28">
        <f t="shared" si="2"/>
        <v>0</v>
      </c>
      <c r="BY48" s="28">
        <f t="shared" si="2"/>
        <v>130355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24579</v>
      </c>
      <c r="CD48" s="28">
        <f t="shared" si="2"/>
        <v>0</v>
      </c>
      <c r="CE48" s="28">
        <f>SUM(C48:CD48)</f>
        <v>6117517</v>
      </c>
    </row>
    <row r="49" spans="1:83" x14ac:dyDescent="0.35">
      <c r="A49" s="16" t="s">
        <v>233</v>
      </c>
      <c r="B49" s="28">
        <f>B47+B48</f>
        <v>9457913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16"/>
      <c r="CE51" s="28">
        <f>SUM(C51:CD51)</f>
        <v>0</v>
      </c>
    </row>
    <row r="52" spans="1:83" x14ac:dyDescent="0.35">
      <c r="A52" s="35" t="s">
        <v>235</v>
      </c>
      <c r="B52" s="318">
        <v>2154598</v>
      </c>
      <c r="C52" s="28">
        <f t="shared" ref="C52:AH52" si="3">IF($B$52,ROUND(($B$52/($CE$90+$CF$90)*C90),0))</f>
        <v>61550</v>
      </c>
      <c r="D52" s="28">
        <f t="shared" si="3"/>
        <v>0</v>
      </c>
      <c r="E52" s="28">
        <f t="shared" si="3"/>
        <v>373608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92187</v>
      </c>
      <c r="Q52" s="28">
        <f t="shared" si="3"/>
        <v>25269</v>
      </c>
      <c r="R52" s="28">
        <f t="shared" si="3"/>
        <v>2016</v>
      </c>
      <c r="S52" s="28">
        <f t="shared" si="3"/>
        <v>11096</v>
      </c>
      <c r="T52" s="28">
        <f t="shared" si="3"/>
        <v>3968</v>
      </c>
      <c r="U52" s="28">
        <f t="shared" si="3"/>
        <v>54634</v>
      </c>
      <c r="V52" s="28">
        <f t="shared" si="3"/>
        <v>3267</v>
      </c>
      <c r="W52" s="28">
        <f t="shared" si="3"/>
        <v>19647</v>
      </c>
      <c r="X52" s="28">
        <f t="shared" si="3"/>
        <v>9251</v>
      </c>
      <c r="Y52" s="28">
        <f t="shared" si="3"/>
        <v>79288</v>
      </c>
      <c r="Z52" s="28">
        <f t="shared" si="3"/>
        <v>0</v>
      </c>
      <c r="AA52" s="28">
        <f t="shared" si="3"/>
        <v>8635</v>
      </c>
      <c r="AB52" s="28">
        <f t="shared" si="3"/>
        <v>18544</v>
      </c>
      <c r="AC52" s="28">
        <f t="shared" si="3"/>
        <v>6853</v>
      </c>
      <c r="AD52" s="28">
        <f t="shared" si="3"/>
        <v>5644</v>
      </c>
      <c r="AE52" s="28">
        <f t="shared" si="3"/>
        <v>6195</v>
      </c>
      <c r="AF52" s="28">
        <f t="shared" si="3"/>
        <v>0</v>
      </c>
      <c r="AG52" s="28">
        <f t="shared" si="3"/>
        <v>151531</v>
      </c>
      <c r="AH52" s="28">
        <f t="shared" si="3"/>
        <v>0</v>
      </c>
      <c r="AI52" s="28">
        <f t="shared" ref="AI52:BN52" si="4">IF($B$52,ROUND(($B$52/($CE$90+$CF$90)*AI90),0))</f>
        <v>40503</v>
      </c>
      <c r="AJ52" s="28">
        <f t="shared" si="4"/>
        <v>664301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29385</v>
      </c>
      <c r="AW52" s="28">
        <f t="shared" si="4"/>
        <v>0</v>
      </c>
      <c r="AX52" s="28">
        <f t="shared" si="4"/>
        <v>0</v>
      </c>
      <c r="AY52" s="28">
        <f t="shared" si="4"/>
        <v>54931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17950</v>
      </c>
      <c r="BE52" s="28">
        <f t="shared" si="4"/>
        <v>265975</v>
      </c>
      <c r="BF52" s="28">
        <f t="shared" si="4"/>
        <v>21620</v>
      </c>
      <c r="BG52" s="28">
        <f t="shared" si="4"/>
        <v>0</v>
      </c>
      <c r="BH52" s="28">
        <f t="shared" si="4"/>
        <v>2376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3522</v>
      </c>
      <c r="BM52" s="28">
        <f t="shared" si="4"/>
        <v>0</v>
      </c>
      <c r="BN52" s="28">
        <f t="shared" si="4"/>
        <v>48905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36790</v>
      </c>
      <c r="BW52" s="28">
        <f t="shared" si="5"/>
        <v>0</v>
      </c>
      <c r="BX52" s="28">
        <f t="shared" si="5"/>
        <v>0</v>
      </c>
      <c r="BY52" s="28">
        <f t="shared" si="5"/>
        <v>31634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3522</v>
      </c>
      <c r="CD52" s="28">
        <f t="shared" si="5"/>
        <v>0</v>
      </c>
      <c r="CE52" s="28">
        <f>SUM(C52:CD52)</f>
        <v>2154597</v>
      </c>
    </row>
    <row r="53" spans="1:83" x14ac:dyDescent="0.35">
      <c r="A53" s="16" t="s">
        <v>233</v>
      </c>
      <c r="B53" s="28">
        <f>B51+B52</f>
        <v>2154598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0</v>
      </c>
      <c r="D59" s="317">
        <v>0</v>
      </c>
      <c r="E59" s="317">
        <v>0</v>
      </c>
      <c r="F59" s="317">
        <v>0</v>
      </c>
      <c r="G59" s="317">
        <v>0</v>
      </c>
      <c r="H59" s="317">
        <v>0</v>
      </c>
      <c r="I59" s="317">
        <v>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24961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101551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1">
        <v>12.18</v>
      </c>
      <c r="D60" s="321">
        <v>0</v>
      </c>
      <c r="E60" s="321">
        <f>20.24+12.04+0.37</f>
        <v>32.65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12.59</v>
      </c>
      <c r="Q60" s="322">
        <v>3.19</v>
      </c>
      <c r="R60" s="322">
        <v>0</v>
      </c>
      <c r="S60" s="323">
        <v>1.9</v>
      </c>
      <c r="T60" s="323">
        <v>0</v>
      </c>
      <c r="U60" s="324">
        <v>21.38</v>
      </c>
      <c r="V60" s="322">
        <v>1.27</v>
      </c>
      <c r="W60" s="322">
        <v>1.43</v>
      </c>
      <c r="X60" s="322">
        <v>2.02</v>
      </c>
      <c r="Y60" s="322">
        <f>9.95+4.16+5.94</f>
        <v>20.05</v>
      </c>
      <c r="Z60" s="322">
        <v>0</v>
      </c>
      <c r="AA60" s="322">
        <v>0.48</v>
      </c>
      <c r="AB60" s="323">
        <v>7.68</v>
      </c>
      <c r="AC60" s="322">
        <v>0</v>
      </c>
      <c r="AD60" s="322">
        <v>0</v>
      </c>
      <c r="AE60" s="322">
        <v>6.44</v>
      </c>
      <c r="AF60" s="322">
        <v>0</v>
      </c>
      <c r="AG60" s="322">
        <v>21.63</v>
      </c>
      <c r="AH60" s="322">
        <v>0</v>
      </c>
      <c r="AI60" s="322">
        <v>4.82</v>
      </c>
      <c r="AJ60" s="322">
        <v>80.91</v>
      </c>
      <c r="AK60" s="322">
        <v>0</v>
      </c>
      <c r="AL60" s="322">
        <f>1.67+1</f>
        <v>2.67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12.98</v>
      </c>
      <c r="AW60" s="323">
        <v>0</v>
      </c>
      <c r="AX60" s="323">
        <v>0</v>
      </c>
      <c r="AY60" s="322">
        <f>9.38+0.82</f>
        <v>10.200000000000001</v>
      </c>
      <c r="AZ60" s="322">
        <v>0</v>
      </c>
      <c r="BA60" s="323">
        <v>0</v>
      </c>
      <c r="BB60" s="323">
        <v>0</v>
      </c>
      <c r="BC60" s="323">
        <v>0</v>
      </c>
      <c r="BD60" s="323">
        <v>4.55</v>
      </c>
      <c r="BE60" s="322">
        <v>4.5199999999999996</v>
      </c>
      <c r="BF60" s="323">
        <v>18.78</v>
      </c>
      <c r="BG60" s="323">
        <v>0</v>
      </c>
      <c r="BH60" s="323">
        <v>15.13</v>
      </c>
      <c r="BI60" s="323">
        <v>2.1800000000000002</v>
      </c>
      <c r="BJ60" s="323">
        <v>4.05</v>
      </c>
      <c r="BK60" s="323">
        <v>0</v>
      </c>
      <c r="BL60" s="323">
        <f>14.93+5.18</f>
        <v>20.11</v>
      </c>
      <c r="BM60" s="323">
        <v>0</v>
      </c>
      <c r="BN60" s="323">
        <v>0.73</v>
      </c>
      <c r="BO60" s="323">
        <v>0</v>
      </c>
      <c r="BP60" s="323">
        <v>0</v>
      </c>
      <c r="BQ60" s="323">
        <v>3.08</v>
      </c>
      <c r="BR60" s="323">
        <v>0.01</v>
      </c>
      <c r="BS60" s="323">
        <v>0</v>
      </c>
      <c r="BT60" s="323">
        <v>0</v>
      </c>
      <c r="BU60" s="323">
        <v>0</v>
      </c>
      <c r="BV60" s="323">
        <v>5.13</v>
      </c>
      <c r="BW60" s="323">
        <v>0</v>
      </c>
      <c r="BX60" s="323">
        <v>0</v>
      </c>
      <c r="BY60" s="323">
        <v>4.67</v>
      </c>
      <c r="BZ60" s="323">
        <v>0</v>
      </c>
      <c r="CA60" s="323">
        <v>0</v>
      </c>
      <c r="CB60" s="323">
        <v>0</v>
      </c>
      <c r="CC60" s="323">
        <f>1+1.08+8.58</f>
        <v>10.66</v>
      </c>
      <c r="CD60" s="219" t="s">
        <v>248</v>
      </c>
      <c r="CE60" s="237">
        <f t="shared" ref="CE60:CE68" si="6">SUM(C60:CD60)</f>
        <v>350.07</v>
      </c>
    </row>
    <row r="61" spans="1:83" x14ac:dyDescent="0.35">
      <c r="A61" s="35" t="s">
        <v>263</v>
      </c>
      <c r="B61" s="16"/>
      <c r="C61" s="317">
        <v>1438200</v>
      </c>
      <c r="D61" s="317">
        <v>0</v>
      </c>
      <c r="E61" s="317">
        <f>1738117+1496318+240989</f>
        <v>3475424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1101405</v>
      </c>
      <c r="Q61" s="319">
        <v>490852</v>
      </c>
      <c r="R61" s="319">
        <v>0</v>
      </c>
      <c r="S61" s="325">
        <v>81448</v>
      </c>
      <c r="T61" s="325">
        <v>0</v>
      </c>
      <c r="U61" s="320">
        <v>1386383</v>
      </c>
      <c r="V61" s="319">
        <v>154803</v>
      </c>
      <c r="W61" s="319">
        <v>134558</v>
      </c>
      <c r="X61" s="319">
        <v>190476</v>
      </c>
      <c r="Y61" s="319">
        <f>731110+41368+454594+1465556</f>
        <v>2692628</v>
      </c>
      <c r="Z61" s="319">
        <v>0</v>
      </c>
      <c r="AA61" s="319">
        <v>82331</v>
      </c>
      <c r="AB61" s="319">
        <v>749401</v>
      </c>
      <c r="AC61" s="319">
        <v>0</v>
      </c>
      <c r="AD61" s="319">
        <v>0</v>
      </c>
      <c r="AE61" s="319">
        <v>456001</v>
      </c>
      <c r="AF61" s="319">
        <v>0</v>
      </c>
      <c r="AG61" s="319">
        <v>2796414</v>
      </c>
      <c r="AH61" s="319">
        <v>0</v>
      </c>
      <c r="AI61" s="319">
        <v>494197</v>
      </c>
      <c r="AJ61" s="319">
        <v>10313088</v>
      </c>
      <c r="AK61" s="319">
        <v>0</v>
      </c>
      <c r="AL61" s="319">
        <f>174874+117968</f>
        <v>292842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1538081</v>
      </c>
      <c r="AW61" s="325">
        <v>0</v>
      </c>
      <c r="AX61" s="325">
        <v>0</v>
      </c>
      <c r="AY61" s="319">
        <f>389636+35625</f>
        <v>425261</v>
      </c>
      <c r="AZ61" s="319">
        <v>0</v>
      </c>
      <c r="BA61" s="325">
        <v>0</v>
      </c>
      <c r="BB61" s="325">
        <v>107406</v>
      </c>
      <c r="BC61" s="325">
        <v>0</v>
      </c>
      <c r="BD61" s="325">
        <v>181761</v>
      </c>
      <c r="BE61" s="319">
        <v>337110</v>
      </c>
      <c r="BF61" s="325">
        <v>794999</v>
      </c>
      <c r="BG61" s="325">
        <v>0</v>
      </c>
      <c r="BH61" s="325">
        <v>1169041</v>
      </c>
      <c r="BI61" s="325">
        <v>203738</v>
      </c>
      <c r="BJ61" s="325">
        <v>275215</v>
      </c>
      <c r="BK61" s="325">
        <v>0</v>
      </c>
      <c r="BL61" s="325">
        <f>667128+233947</f>
        <v>901075</v>
      </c>
      <c r="BM61" s="325">
        <v>0</v>
      </c>
      <c r="BN61" s="325">
        <v>56716</v>
      </c>
      <c r="BO61" s="325">
        <v>0</v>
      </c>
      <c r="BP61" s="325">
        <v>0</v>
      </c>
      <c r="BQ61" s="325">
        <v>256500</v>
      </c>
      <c r="BR61" s="325">
        <v>216</v>
      </c>
      <c r="BS61" s="325">
        <v>0</v>
      </c>
      <c r="BT61" s="325">
        <v>0</v>
      </c>
      <c r="BU61" s="325">
        <v>0</v>
      </c>
      <c r="BV61" s="325">
        <v>245951</v>
      </c>
      <c r="BW61" s="325">
        <v>0</v>
      </c>
      <c r="BX61" s="325">
        <v>0</v>
      </c>
      <c r="BY61" s="325">
        <f>716765+830</f>
        <v>717595</v>
      </c>
      <c r="BZ61" s="325">
        <v>0</v>
      </c>
      <c r="CA61" s="325">
        <v>0</v>
      </c>
      <c r="CB61" s="325">
        <v>0</v>
      </c>
      <c r="CC61" s="325">
        <f>106533+28770</f>
        <v>135303</v>
      </c>
      <c r="CD61" s="25" t="s">
        <v>248</v>
      </c>
      <c r="CE61" s="28">
        <f t="shared" si="6"/>
        <v>33676419</v>
      </c>
    </row>
    <row r="62" spans="1:83" x14ac:dyDescent="0.35">
      <c r="A62" s="35" t="s">
        <v>11</v>
      </c>
      <c r="B62" s="16"/>
      <c r="C62" s="28">
        <f t="shared" ref="C62:AH62" si="7">ROUND(C47+C48,0)</f>
        <v>410038</v>
      </c>
      <c r="D62" s="28">
        <f t="shared" si="7"/>
        <v>0</v>
      </c>
      <c r="E62" s="28">
        <f t="shared" si="7"/>
        <v>999211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330823</v>
      </c>
      <c r="Q62" s="28">
        <f t="shared" si="7"/>
        <v>147925</v>
      </c>
      <c r="R62" s="28">
        <f t="shared" si="7"/>
        <v>0</v>
      </c>
      <c r="S62" s="28">
        <f t="shared" si="7"/>
        <v>23548</v>
      </c>
      <c r="T62" s="28">
        <f t="shared" si="7"/>
        <v>0</v>
      </c>
      <c r="U62" s="28">
        <f t="shared" si="7"/>
        <v>409811</v>
      </c>
      <c r="V62" s="28">
        <f t="shared" si="7"/>
        <v>45659</v>
      </c>
      <c r="W62" s="28">
        <f t="shared" si="7"/>
        <v>39920</v>
      </c>
      <c r="X62" s="28">
        <f t="shared" si="7"/>
        <v>58807</v>
      </c>
      <c r="Y62" s="28">
        <f t="shared" si="7"/>
        <v>746950</v>
      </c>
      <c r="Z62" s="28">
        <f t="shared" si="7"/>
        <v>0</v>
      </c>
      <c r="AA62" s="28">
        <f t="shared" si="7"/>
        <v>19829</v>
      </c>
      <c r="AB62" s="28">
        <f t="shared" si="7"/>
        <v>217262</v>
      </c>
      <c r="AC62" s="28">
        <f t="shared" si="7"/>
        <v>0</v>
      </c>
      <c r="AD62" s="28">
        <f t="shared" si="7"/>
        <v>0</v>
      </c>
      <c r="AE62" s="28">
        <f t="shared" si="7"/>
        <v>138075</v>
      </c>
      <c r="AF62" s="28">
        <f t="shared" si="7"/>
        <v>0</v>
      </c>
      <c r="AG62" s="28">
        <f t="shared" si="7"/>
        <v>797825</v>
      </c>
      <c r="AH62" s="28">
        <f t="shared" si="7"/>
        <v>0</v>
      </c>
      <c r="AI62" s="28">
        <f t="shared" ref="AI62:BN62" si="8">ROUND(AI47+AI48,0)</f>
        <v>146147</v>
      </c>
      <c r="AJ62" s="28">
        <f t="shared" si="8"/>
        <v>2689975</v>
      </c>
      <c r="AK62" s="28">
        <f t="shared" si="8"/>
        <v>0</v>
      </c>
      <c r="AL62" s="28">
        <f t="shared" si="8"/>
        <v>85358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449601</v>
      </c>
      <c r="AW62" s="28">
        <f t="shared" si="8"/>
        <v>0</v>
      </c>
      <c r="AX62" s="28">
        <f t="shared" si="8"/>
        <v>0</v>
      </c>
      <c r="AY62" s="28">
        <f t="shared" si="8"/>
        <v>123373</v>
      </c>
      <c r="AZ62" s="28">
        <f t="shared" si="8"/>
        <v>0</v>
      </c>
      <c r="BA62" s="28">
        <f t="shared" si="8"/>
        <v>0</v>
      </c>
      <c r="BB62" s="28">
        <f t="shared" si="8"/>
        <v>32632</v>
      </c>
      <c r="BC62" s="28">
        <f t="shared" si="8"/>
        <v>0</v>
      </c>
      <c r="BD62" s="28">
        <f t="shared" si="8"/>
        <v>52377</v>
      </c>
      <c r="BE62" s="28">
        <f t="shared" si="8"/>
        <v>99414</v>
      </c>
      <c r="BF62" s="28">
        <f t="shared" si="8"/>
        <v>235802</v>
      </c>
      <c r="BG62" s="28">
        <f t="shared" si="8"/>
        <v>0</v>
      </c>
      <c r="BH62" s="28">
        <f t="shared" si="8"/>
        <v>350220</v>
      </c>
      <c r="BI62" s="28">
        <f t="shared" si="8"/>
        <v>58278</v>
      </c>
      <c r="BJ62" s="28">
        <f t="shared" si="8"/>
        <v>81474</v>
      </c>
      <c r="BK62" s="28">
        <f t="shared" si="8"/>
        <v>0</v>
      </c>
      <c r="BL62" s="28">
        <f t="shared" si="8"/>
        <v>258646</v>
      </c>
      <c r="BM62" s="28">
        <f t="shared" si="8"/>
        <v>0</v>
      </c>
      <c r="BN62" s="28">
        <f t="shared" si="8"/>
        <v>19429</v>
      </c>
      <c r="BO62" s="28">
        <f t="shared" ref="BO62:CC62" si="9">ROUND(BO47+BO48,0)</f>
        <v>100</v>
      </c>
      <c r="BP62" s="28">
        <f t="shared" si="9"/>
        <v>0</v>
      </c>
      <c r="BQ62" s="28">
        <f t="shared" si="9"/>
        <v>78956</v>
      </c>
      <c r="BR62" s="28">
        <f t="shared" si="9"/>
        <v>66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73450</v>
      </c>
      <c r="BW62" s="28">
        <f t="shared" si="9"/>
        <v>0</v>
      </c>
      <c r="BX62" s="28">
        <f t="shared" si="9"/>
        <v>0</v>
      </c>
      <c r="BY62" s="28">
        <f t="shared" si="9"/>
        <v>197728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39204</v>
      </c>
      <c r="CD62" s="25" t="s">
        <v>248</v>
      </c>
      <c r="CE62" s="28">
        <f t="shared" si="6"/>
        <v>9457913</v>
      </c>
    </row>
    <row r="63" spans="1:83" x14ac:dyDescent="0.35">
      <c r="A63" s="35" t="s">
        <v>264</v>
      </c>
      <c r="B63" s="16"/>
      <c r="C63" s="317">
        <v>0</v>
      </c>
      <c r="D63" s="317">
        <v>0</v>
      </c>
      <c r="E63" s="317">
        <v>0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117</v>
      </c>
      <c r="Q63" s="319">
        <v>0</v>
      </c>
      <c r="R63" s="319">
        <v>0</v>
      </c>
      <c r="S63" s="325">
        <v>0</v>
      </c>
      <c r="T63" s="325">
        <v>0</v>
      </c>
      <c r="U63" s="320">
        <v>35000</v>
      </c>
      <c r="V63" s="319">
        <v>0</v>
      </c>
      <c r="W63" s="319">
        <v>0</v>
      </c>
      <c r="X63" s="319">
        <v>0</v>
      </c>
      <c r="Y63" s="319">
        <v>0</v>
      </c>
      <c r="Z63" s="319">
        <v>0</v>
      </c>
      <c r="AA63" s="319">
        <v>0</v>
      </c>
      <c r="AB63" s="326">
        <v>0</v>
      </c>
      <c r="AC63" s="319">
        <v>0</v>
      </c>
      <c r="AD63" s="319">
        <v>0</v>
      </c>
      <c r="AE63" s="319">
        <v>0</v>
      </c>
      <c r="AF63" s="319">
        <v>0</v>
      </c>
      <c r="AG63" s="319">
        <v>798176</v>
      </c>
      <c r="AH63" s="319">
        <v>0</v>
      </c>
      <c r="AI63" s="319">
        <v>0</v>
      </c>
      <c r="AJ63" s="319">
        <v>493787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667030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/>
      <c r="BK63" s="325"/>
      <c r="BL63" s="325">
        <v>0</v>
      </c>
      <c r="BM63" s="325">
        <v>0</v>
      </c>
      <c r="BN63" s="325"/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f>3138-1</f>
        <v>3137</v>
      </c>
      <c r="CD63" s="25" t="s">
        <v>248</v>
      </c>
      <c r="CE63" s="28">
        <f t="shared" si="6"/>
        <v>1997247</v>
      </c>
    </row>
    <row r="64" spans="1:83" x14ac:dyDescent="0.35">
      <c r="A64" s="35" t="s">
        <v>265</v>
      </c>
      <c r="B64" s="16"/>
      <c r="C64" s="317">
        <v>128854</v>
      </c>
      <c r="D64" s="317">
        <v>0</v>
      </c>
      <c r="E64" s="317">
        <f>188311+152929+3940</f>
        <v>345180</v>
      </c>
      <c r="F64" s="317">
        <v>0</v>
      </c>
      <c r="G64" s="317">
        <v>0</v>
      </c>
      <c r="H64" s="317">
        <v>0</v>
      </c>
      <c r="I64" s="317">
        <v>0</v>
      </c>
      <c r="J64" s="317">
        <v>5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4299175</v>
      </c>
      <c r="Q64" s="319">
        <v>32812</v>
      </c>
      <c r="R64" s="319">
        <v>114606</v>
      </c>
      <c r="S64" s="325">
        <f>102756+102</f>
        <v>102858</v>
      </c>
      <c r="T64" s="325">
        <v>134499</v>
      </c>
      <c r="U64" s="320">
        <f>1304459+305</f>
        <v>1304764</v>
      </c>
      <c r="V64" s="319">
        <v>7699</v>
      </c>
      <c r="W64" s="319">
        <v>2548</v>
      </c>
      <c r="X64" s="319">
        <v>39352</v>
      </c>
      <c r="Y64" s="319">
        <f>223940+70+355195</f>
        <v>579205</v>
      </c>
      <c r="Z64" s="319">
        <v>0</v>
      </c>
      <c r="AA64" s="319">
        <v>81093</v>
      </c>
      <c r="AB64" s="319">
        <v>6856476</v>
      </c>
      <c r="AC64" s="319">
        <v>105762</v>
      </c>
      <c r="AD64" s="319">
        <v>0</v>
      </c>
      <c r="AE64" s="319">
        <v>48326</v>
      </c>
      <c r="AF64" s="319">
        <v>0</v>
      </c>
      <c r="AG64" s="319">
        <v>486678</v>
      </c>
      <c r="AH64" s="319">
        <v>0</v>
      </c>
      <c r="AI64" s="319">
        <v>123245</v>
      </c>
      <c r="AJ64" s="319">
        <v>608639</v>
      </c>
      <c r="AK64" s="319">
        <v>0</v>
      </c>
      <c r="AL64" s="319">
        <v>59003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459489</v>
      </c>
      <c r="AW64" s="325">
        <v>0</v>
      </c>
      <c r="AX64" s="325">
        <v>0</v>
      </c>
      <c r="AY64" s="319">
        <v>531953</v>
      </c>
      <c r="AZ64" s="319">
        <v>0</v>
      </c>
      <c r="BA64" s="325">
        <v>4505</v>
      </c>
      <c r="BB64" s="325">
        <v>232</v>
      </c>
      <c r="BC64" s="325">
        <v>0</v>
      </c>
      <c r="BD64" s="325">
        <v>-78619</v>
      </c>
      <c r="BE64" s="319">
        <v>85164</v>
      </c>
      <c r="BF64" s="325">
        <v>101908</v>
      </c>
      <c r="BG64" s="325">
        <v>0</v>
      </c>
      <c r="BH64" s="325">
        <f>573186+1</f>
        <v>573187</v>
      </c>
      <c r="BI64" s="325">
        <v>44098</v>
      </c>
      <c r="BJ64" s="325">
        <v>4830</v>
      </c>
      <c r="BK64" s="325">
        <v>0</v>
      </c>
      <c r="BL64" s="325">
        <f>20192</f>
        <v>20192</v>
      </c>
      <c r="BM64" s="325">
        <v>0</v>
      </c>
      <c r="BN64" s="325">
        <f>10296+17</f>
        <v>10313</v>
      </c>
      <c r="BO64" s="325">
        <v>4943</v>
      </c>
      <c r="BP64" s="325">
        <v>0</v>
      </c>
      <c r="BQ64" s="325">
        <v>5430</v>
      </c>
      <c r="BR64" s="325">
        <v>6834</v>
      </c>
      <c r="BS64" s="325">
        <v>0</v>
      </c>
      <c r="BT64" s="325">
        <v>0</v>
      </c>
      <c r="BU64" s="325">
        <v>0</v>
      </c>
      <c r="BV64" s="325">
        <v>54672</v>
      </c>
      <c r="BW64" s="325">
        <v>0</v>
      </c>
      <c r="BX64" s="325">
        <v>0</v>
      </c>
      <c r="BY64" s="325">
        <f>3138+12438</f>
        <v>15576</v>
      </c>
      <c r="BZ64" s="325">
        <v>0</v>
      </c>
      <c r="CA64" s="325">
        <v>0</v>
      </c>
      <c r="CB64" s="325">
        <v>0</v>
      </c>
      <c r="CC64" s="325">
        <f>2229+1948+4907-1</f>
        <v>9083</v>
      </c>
      <c r="CD64" s="25" t="s">
        <v>248</v>
      </c>
      <c r="CE64" s="28">
        <f t="shared" si="6"/>
        <v>17314569</v>
      </c>
    </row>
    <row r="65" spans="1:83" x14ac:dyDescent="0.35">
      <c r="A65" s="35" t="s">
        <v>266</v>
      </c>
      <c r="B65" s="16"/>
      <c r="C65" s="317">
        <v>0</v>
      </c>
      <c r="D65" s="317">
        <v>0</v>
      </c>
      <c r="E65" s="317">
        <v>0</v>
      </c>
      <c r="F65" s="317">
        <v>0</v>
      </c>
      <c r="G65" s="317">
        <v>0</v>
      </c>
      <c r="H65" s="317">
        <v>0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0</v>
      </c>
      <c r="P65" s="319">
        <v>0</v>
      </c>
      <c r="Q65" s="319">
        <v>0</v>
      </c>
      <c r="R65" s="319">
        <v>0</v>
      </c>
      <c r="S65" s="325">
        <v>0</v>
      </c>
      <c r="T65" s="325">
        <v>0</v>
      </c>
      <c r="U65" s="320">
        <v>120</v>
      </c>
      <c r="V65" s="319">
        <v>0</v>
      </c>
      <c r="W65" s="319">
        <v>0</v>
      </c>
      <c r="X65" s="319">
        <v>0</v>
      </c>
      <c r="Y65" s="319">
        <f>330+4021</f>
        <v>4351</v>
      </c>
      <c r="Z65" s="319">
        <v>0</v>
      </c>
      <c r="AA65" s="319">
        <v>0</v>
      </c>
      <c r="AB65" s="326">
        <v>0</v>
      </c>
      <c r="AC65" s="319">
        <v>0</v>
      </c>
      <c r="AD65" s="319">
        <v>0</v>
      </c>
      <c r="AE65" s="319">
        <v>0</v>
      </c>
      <c r="AF65" s="319">
        <v>0</v>
      </c>
      <c r="AG65" s="319">
        <v>0</v>
      </c>
      <c r="AH65" s="319">
        <v>0</v>
      </c>
      <c r="AI65" s="319">
        <v>0</v>
      </c>
      <c r="AJ65" s="319">
        <v>173700</v>
      </c>
      <c r="AK65" s="319">
        <v>0</v>
      </c>
      <c r="AL65" s="319">
        <v>7793</v>
      </c>
      <c r="AM65" s="319">
        <v>0</v>
      </c>
      <c r="AN65" s="319">
        <v>0</v>
      </c>
      <c r="AO65" s="319">
        <v>0</v>
      </c>
      <c r="AP65" s="319">
        <v>0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25">
        <v>4224</v>
      </c>
      <c r="AW65" s="325">
        <v>0</v>
      </c>
      <c r="AX65" s="325">
        <v>0</v>
      </c>
      <c r="AY65" s="319">
        <v>420</v>
      </c>
      <c r="AZ65" s="319">
        <v>0</v>
      </c>
      <c r="BA65" s="325">
        <v>0</v>
      </c>
      <c r="BB65" s="325">
        <v>0</v>
      </c>
      <c r="BC65" s="325">
        <v>0</v>
      </c>
      <c r="BD65" s="325">
        <v>0</v>
      </c>
      <c r="BE65" s="319">
        <v>542942</v>
      </c>
      <c r="BF65" s="325">
        <v>0</v>
      </c>
      <c r="BG65" s="325">
        <v>0</v>
      </c>
      <c r="BH65" s="325">
        <v>93684</v>
      </c>
      <c r="BI65" s="325">
        <v>1783</v>
      </c>
      <c r="BJ65" s="325">
        <v>0</v>
      </c>
      <c r="BK65" s="325">
        <v>0</v>
      </c>
      <c r="BL65" s="325">
        <v>0</v>
      </c>
      <c r="BM65" s="325">
        <v>0</v>
      </c>
      <c r="BN65" s="325">
        <v>0</v>
      </c>
      <c r="BO65" s="325">
        <v>0</v>
      </c>
      <c r="BP65" s="325">
        <v>0</v>
      </c>
      <c r="BQ65" s="325">
        <v>960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0</v>
      </c>
      <c r="BZ65" s="325">
        <v>0</v>
      </c>
      <c r="CA65" s="325">
        <v>0</v>
      </c>
      <c r="CB65" s="325">
        <v>0</v>
      </c>
      <c r="CC65" s="325">
        <v>119</v>
      </c>
      <c r="CD65" s="25" t="s">
        <v>248</v>
      </c>
      <c r="CE65" s="28">
        <f t="shared" si="6"/>
        <v>830096</v>
      </c>
    </row>
    <row r="66" spans="1:83" x14ac:dyDescent="0.35">
      <c r="A66" s="35" t="s">
        <v>267</v>
      </c>
      <c r="B66" s="16"/>
      <c r="C66" s="317">
        <v>13041</v>
      </c>
      <c r="D66" s="317">
        <v>0</v>
      </c>
      <c r="E66" s="317">
        <f>50817+4436+1201307</f>
        <v>1256560</v>
      </c>
      <c r="F66" s="317">
        <v>0</v>
      </c>
      <c r="G66" s="317">
        <v>0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554353</v>
      </c>
      <c r="Q66" s="319">
        <v>-202</v>
      </c>
      <c r="R66" s="319">
        <v>1053252</v>
      </c>
      <c r="S66" s="325">
        <f>-4695</f>
        <v>-4695</v>
      </c>
      <c r="T66" s="325">
        <v>0</v>
      </c>
      <c r="U66" s="320">
        <v>11802</v>
      </c>
      <c r="V66" s="319">
        <v>7069</v>
      </c>
      <c r="W66" s="319">
        <v>113002</v>
      </c>
      <c r="X66" s="319">
        <v>91568</v>
      </c>
      <c r="Y66" s="319">
        <f>278100+706687+15928+74535+36322</f>
        <v>1111572</v>
      </c>
      <c r="Z66" s="319">
        <v>0</v>
      </c>
      <c r="AA66" s="319">
        <v>36654</v>
      </c>
      <c r="AB66" s="319">
        <f>140665+4725</f>
        <v>145390</v>
      </c>
      <c r="AC66" s="319">
        <v>802122</v>
      </c>
      <c r="AD66" s="319">
        <v>480548</v>
      </c>
      <c r="AE66" s="319">
        <v>7848</v>
      </c>
      <c r="AF66" s="319">
        <v>0</v>
      </c>
      <c r="AG66" s="319">
        <v>1540665</v>
      </c>
      <c r="AH66" s="319">
        <v>0</v>
      </c>
      <c r="AI66" s="319">
        <v>0</v>
      </c>
      <c r="AJ66" s="319">
        <v>1382310</v>
      </c>
      <c r="AK66" s="319">
        <v>0</v>
      </c>
      <c r="AL66" s="319">
        <v>3895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304613</v>
      </c>
      <c r="AW66" s="325">
        <v>0</v>
      </c>
      <c r="AX66" s="325">
        <v>0</v>
      </c>
      <c r="AY66" s="319">
        <v>4691</v>
      </c>
      <c r="AZ66" s="319">
        <v>0</v>
      </c>
      <c r="BA66" s="325">
        <v>0</v>
      </c>
      <c r="BB66" s="325">
        <v>15255</v>
      </c>
      <c r="BC66" s="325">
        <v>0</v>
      </c>
      <c r="BD66" s="325">
        <v>1703</v>
      </c>
      <c r="BE66" s="319">
        <f>178236+176812</f>
        <v>355048</v>
      </c>
      <c r="BF66" s="325">
        <v>149741</v>
      </c>
      <c r="BG66" s="325">
        <v>0</v>
      </c>
      <c r="BH66" s="325">
        <f>-224687+59507</f>
        <v>-165180</v>
      </c>
      <c r="BI66" s="325">
        <v>0</v>
      </c>
      <c r="BJ66" s="325">
        <v>923</v>
      </c>
      <c r="BK66" s="325">
        <v>0</v>
      </c>
      <c r="BL66" s="325">
        <f>440</f>
        <v>440</v>
      </c>
      <c r="BM66" s="325">
        <v>0</v>
      </c>
      <c r="BN66" s="325">
        <v>118614</v>
      </c>
      <c r="BO66" s="325">
        <v>0</v>
      </c>
      <c r="BP66" s="325">
        <v>0</v>
      </c>
      <c r="BQ66" s="325">
        <v>594</v>
      </c>
      <c r="BR66" s="325">
        <v>39621</v>
      </c>
      <c r="BS66" s="325">
        <v>0</v>
      </c>
      <c r="BT66" s="325">
        <v>0</v>
      </c>
      <c r="BU66" s="325">
        <v>0</v>
      </c>
      <c r="BV66" s="325">
        <v>79533</v>
      </c>
      <c r="BW66" s="325">
        <v>0</v>
      </c>
      <c r="BX66" s="325">
        <v>0</v>
      </c>
      <c r="BY66" s="325">
        <f>77526+16268</f>
        <v>93794</v>
      </c>
      <c r="BZ66" s="325">
        <v>0</v>
      </c>
      <c r="CA66" s="325">
        <v>0</v>
      </c>
      <c r="CB66" s="325">
        <v>0</v>
      </c>
      <c r="CC66" s="325">
        <f>2772+163186+37030-1</f>
        <v>202987</v>
      </c>
      <c r="CD66" s="25" t="s">
        <v>248</v>
      </c>
      <c r="CE66" s="28">
        <f t="shared" si="6"/>
        <v>9809131</v>
      </c>
    </row>
    <row r="67" spans="1:83" x14ac:dyDescent="0.35">
      <c r="A67" s="35" t="s">
        <v>16</v>
      </c>
      <c r="B67" s="16"/>
      <c r="C67" s="28">
        <f t="shared" ref="C67:AH67" si="10">ROUND(C51+C52,0)</f>
        <v>61550</v>
      </c>
      <c r="D67" s="28">
        <f t="shared" si="10"/>
        <v>0</v>
      </c>
      <c r="E67" s="28">
        <f t="shared" si="10"/>
        <v>373608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92187</v>
      </c>
      <c r="Q67" s="28">
        <f t="shared" si="10"/>
        <v>25269</v>
      </c>
      <c r="R67" s="28">
        <f t="shared" si="10"/>
        <v>2016</v>
      </c>
      <c r="S67" s="28">
        <f t="shared" si="10"/>
        <v>11096</v>
      </c>
      <c r="T67" s="28">
        <f t="shared" si="10"/>
        <v>3968</v>
      </c>
      <c r="U67" s="28">
        <f t="shared" si="10"/>
        <v>54634</v>
      </c>
      <c r="V67" s="28">
        <f t="shared" si="10"/>
        <v>3267</v>
      </c>
      <c r="W67" s="28">
        <f t="shared" si="10"/>
        <v>19647</v>
      </c>
      <c r="X67" s="28">
        <f t="shared" si="10"/>
        <v>9251</v>
      </c>
      <c r="Y67" s="28">
        <f t="shared" si="10"/>
        <v>79288</v>
      </c>
      <c r="Z67" s="28">
        <f t="shared" si="10"/>
        <v>0</v>
      </c>
      <c r="AA67" s="28">
        <f t="shared" si="10"/>
        <v>8635</v>
      </c>
      <c r="AB67" s="28">
        <f t="shared" si="10"/>
        <v>18544</v>
      </c>
      <c r="AC67" s="28">
        <f t="shared" si="10"/>
        <v>6853</v>
      </c>
      <c r="AD67" s="28">
        <f t="shared" si="10"/>
        <v>5644</v>
      </c>
      <c r="AE67" s="28">
        <f t="shared" si="10"/>
        <v>6195</v>
      </c>
      <c r="AF67" s="28">
        <f t="shared" si="10"/>
        <v>0</v>
      </c>
      <c r="AG67" s="28">
        <f t="shared" si="10"/>
        <v>151531</v>
      </c>
      <c r="AH67" s="28">
        <f t="shared" si="10"/>
        <v>0</v>
      </c>
      <c r="AI67" s="28">
        <f t="shared" ref="AI67:BN67" si="11">ROUND(AI51+AI52,0)</f>
        <v>40503</v>
      </c>
      <c r="AJ67" s="28">
        <f t="shared" si="11"/>
        <v>664301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29385</v>
      </c>
      <c r="AW67" s="28">
        <f t="shared" si="11"/>
        <v>0</v>
      </c>
      <c r="AX67" s="28">
        <f t="shared" si="11"/>
        <v>0</v>
      </c>
      <c r="AY67" s="28">
        <f t="shared" si="11"/>
        <v>54931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17950</v>
      </c>
      <c r="BE67" s="28">
        <f t="shared" si="11"/>
        <v>265975</v>
      </c>
      <c r="BF67" s="28">
        <f t="shared" si="11"/>
        <v>21620</v>
      </c>
      <c r="BG67" s="28">
        <f t="shared" si="11"/>
        <v>0</v>
      </c>
      <c r="BH67" s="28">
        <f t="shared" si="11"/>
        <v>2376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3522</v>
      </c>
      <c r="BM67" s="28">
        <f t="shared" si="11"/>
        <v>0</v>
      </c>
      <c r="BN67" s="28">
        <f t="shared" si="11"/>
        <v>48905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36790</v>
      </c>
      <c r="BW67" s="28">
        <f t="shared" si="12"/>
        <v>0</v>
      </c>
      <c r="BX67" s="28">
        <f t="shared" si="12"/>
        <v>0</v>
      </c>
      <c r="BY67" s="28">
        <f t="shared" si="12"/>
        <v>31634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3522</v>
      </c>
      <c r="CD67" s="25" t="s">
        <v>248</v>
      </c>
      <c r="CE67" s="28">
        <f t="shared" si="6"/>
        <v>2154597</v>
      </c>
    </row>
    <row r="68" spans="1:83" x14ac:dyDescent="0.35">
      <c r="A68" s="35" t="s">
        <v>268</v>
      </c>
      <c r="B68" s="28"/>
      <c r="C68" s="317">
        <v>9755</v>
      </c>
      <c r="D68" s="317">
        <v>0</v>
      </c>
      <c r="E68" s="317">
        <f>58804-1160</f>
        <v>57644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-491</v>
      </c>
      <c r="Q68" s="319">
        <v>-531</v>
      </c>
      <c r="R68" s="319">
        <v>0</v>
      </c>
      <c r="S68" s="325">
        <v>0</v>
      </c>
      <c r="T68" s="325">
        <v>0</v>
      </c>
      <c r="U68" s="320">
        <v>83654</v>
      </c>
      <c r="V68" s="319">
        <v>0</v>
      </c>
      <c r="W68" s="319">
        <v>0</v>
      </c>
      <c r="X68" s="319">
        <v>0</v>
      </c>
      <c r="Y68" s="319">
        <v>-788</v>
      </c>
      <c r="Z68" s="319">
        <v>0</v>
      </c>
      <c r="AA68" s="319">
        <v>0</v>
      </c>
      <c r="AB68" s="319">
        <v>174567</v>
      </c>
      <c r="AC68" s="319">
        <v>59278</v>
      </c>
      <c r="AD68" s="319">
        <v>0</v>
      </c>
      <c r="AE68" s="319">
        <v>28939</v>
      </c>
      <c r="AF68" s="319">
        <v>0</v>
      </c>
      <c r="AG68" s="319">
        <v>-990</v>
      </c>
      <c r="AH68" s="319">
        <v>0</v>
      </c>
      <c r="AI68" s="319">
        <v>0</v>
      </c>
      <c r="AJ68" s="319">
        <v>608654</v>
      </c>
      <c r="AK68" s="319">
        <v>0</v>
      </c>
      <c r="AL68" s="319">
        <v>16254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-67</v>
      </c>
      <c r="AW68" s="325">
        <v>0</v>
      </c>
      <c r="AX68" s="325">
        <v>0</v>
      </c>
      <c r="AY68" s="319">
        <v>1065</v>
      </c>
      <c r="AZ68" s="319">
        <v>0</v>
      </c>
      <c r="BA68" s="325">
        <v>0</v>
      </c>
      <c r="BB68" s="325">
        <v>0</v>
      </c>
      <c r="BC68" s="325">
        <v>0</v>
      </c>
      <c r="BD68" s="325">
        <v>0</v>
      </c>
      <c r="BE68" s="319">
        <v>37640</v>
      </c>
      <c r="BF68" s="325">
        <v>0</v>
      </c>
      <c r="BG68" s="325">
        <v>0</v>
      </c>
      <c r="BH68" s="325">
        <v>60459</v>
      </c>
      <c r="BI68" s="325">
        <v>0</v>
      </c>
      <c r="BJ68" s="325">
        <v>5</v>
      </c>
      <c r="BK68" s="325">
        <v>0</v>
      </c>
      <c r="BL68" s="325">
        <v>0</v>
      </c>
      <c r="BM68" s="325">
        <v>0</v>
      </c>
      <c r="BN68" s="325">
        <v>35872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8397</v>
      </c>
      <c r="BW68" s="325">
        <v>0</v>
      </c>
      <c r="BX68" s="325">
        <v>0</v>
      </c>
      <c r="BY68" s="325">
        <v>0</v>
      </c>
      <c r="BZ68" s="325">
        <v>0</v>
      </c>
      <c r="CA68" s="325">
        <v>0</v>
      </c>
      <c r="CB68" s="325">
        <v>0</v>
      </c>
      <c r="CC68" s="325">
        <f>65+31</f>
        <v>96</v>
      </c>
      <c r="CD68" s="25" t="s">
        <v>248</v>
      </c>
      <c r="CE68" s="28">
        <f t="shared" si="6"/>
        <v>1179412</v>
      </c>
    </row>
    <row r="69" spans="1:83" x14ac:dyDescent="0.35">
      <c r="A69" s="35" t="s">
        <v>269</v>
      </c>
      <c r="B69" s="16"/>
      <c r="C69" s="28">
        <f t="shared" ref="C69:AH69" si="13">SUM(C70:C83)</f>
        <v>427098</v>
      </c>
      <c r="D69" s="28">
        <f t="shared" si="13"/>
        <v>0</v>
      </c>
      <c r="E69" s="28">
        <f t="shared" si="13"/>
        <v>2205316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1040121</v>
      </c>
      <c r="Q69" s="28">
        <f t="shared" si="13"/>
        <v>127481</v>
      </c>
      <c r="R69" s="28">
        <f t="shared" si="13"/>
        <v>15113</v>
      </c>
      <c r="S69" s="28">
        <f t="shared" si="13"/>
        <v>8042</v>
      </c>
      <c r="T69" s="28">
        <f t="shared" si="13"/>
        <v>0</v>
      </c>
      <c r="U69" s="28">
        <f t="shared" si="13"/>
        <v>1959847</v>
      </c>
      <c r="V69" s="28">
        <f t="shared" si="13"/>
        <v>2311</v>
      </c>
      <c r="W69" s="28">
        <f t="shared" si="13"/>
        <v>403</v>
      </c>
      <c r="X69" s="28">
        <f t="shared" si="13"/>
        <v>1915</v>
      </c>
      <c r="Y69" s="28">
        <f t="shared" si="13"/>
        <v>18563</v>
      </c>
      <c r="Z69" s="28">
        <f t="shared" si="13"/>
        <v>0</v>
      </c>
      <c r="AA69" s="28">
        <f t="shared" si="13"/>
        <v>5780</v>
      </c>
      <c r="AB69" s="28">
        <f t="shared" si="13"/>
        <v>55933</v>
      </c>
      <c r="AC69" s="28">
        <f t="shared" si="13"/>
        <v>7472</v>
      </c>
      <c r="AD69" s="28">
        <f t="shared" si="13"/>
        <v>0</v>
      </c>
      <c r="AE69" s="28">
        <f t="shared" si="13"/>
        <v>149344</v>
      </c>
      <c r="AF69" s="28">
        <f t="shared" si="13"/>
        <v>0</v>
      </c>
      <c r="AG69" s="28">
        <f t="shared" si="13"/>
        <v>815989</v>
      </c>
      <c r="AH69" s="28">
        <f t="shared" si="13"/>
        <v>0</v>
      </c>
      <c r="AI69" s="28">
        <f t="shared" ref="AI69:BN69" si="14">SUM(AI70:AI83)</f>
        <v>133830</v>
      </c>
      <c r="AJ69" s="28">
        <f t="shared" si="14"/>
        <v>231216</v>
      </c>
      <c r="AK69" s="28">
        <f t="shared" si="14"/>
        <v>0</v>
      </c>
      <c r="AL69" s="28">
        <f t="shared" si="14"/>
        <v>11649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13870</v>
      </c>
      <c r="AW69" s="28">
        <f t="shared" si="14"/>
        <v>0</v>
      </c>
      <c r="AX69" s="28">
        <f t="shared" si="14"/>
        <v>0</v>
      </c>
      <c r="AY69" s="28">
        <f t="shared" si="14"/>
        <v>60092</v>
      </c>
      <c r="AZ69" s="28">
        <f t="shared" si="14"/>
        <v>0</v>
      </c>
      <c r="BA69" s="28">
        <f t="shared" si="14"/>
        <v>268721</v>
      </c>
      <c r="BB69" s="28">
        <f t="shared" si="14"/>
        <v>0</v>
      </c>
      <c r="BC69" s="28">
        <f t="shared" si="14"/>
        <v>0</v>
      </c>
      <c r="BD69" s="28">
        <f t="shared" si="14"/>
        <v>67110</v>
      </c>
      <c r="BE69" s="28">
        <f t="shared" si="14"/>
        <v>204895</v>
      </c>
      <c r="BF69" s="28">
        <f t="shared" si="14"/>
        <v>12697</v>
      </c>
      <c r="BG69" s="28">
        <f t="shared" si="14"/>
        <v>0</v>
      </c>
      <c r="BH69" s="28">
        <f t="shared" si="14"/>
        <v>46129</v>
      </c>
      <c r="BI69" s="28">
        <f t="shared" si="14"/>
        <v>4216</v>
      </c>
      <c r="BJ69" s="28">
        <f t="shared" si="14"/>
        <v>61035</v>
      </c>
      <c r="BK69" s="28">
        <f t="shared" si="14"/>
        <v>0</v>
      </c>
      <c r="BL69" s="28">
        <f t="shared" si="14"/>
        <v>806</v>
      </c>
      <c r="BM69" s="28">
        <f t="shared" si="14"/>
        <v>0</v>
      </c>
      <c r="BN69" s="28">
        <f t="shared" si="14"/>
        <v>14988690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4394</v>
      </c>
      <c r="BR69" s="28">
        <f t="shared" si="15"/>
        <v>125715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17762</v>
      </c>
      <c r="BW69" s="28">
        <f t="shared" si="15"/>
        <v>0</v>
      </c>
      <c r="BX69" s="28">
        <f t="shared" si="15"/>
        <v>0</v>
      </c>
      <c r="BY69" s="28">
        <f t="shared" si="15"/>
        <v>178262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1396400</v>
      </c>
      <c r="CD69" s="28">
        <f t="shared" si="15"/>
        <v>6241200</v>
      </c>
      <c r="CE69" s="28">
        <f t="shared" si="15"/>
        <v>30909417</v>
      </c>
    </row>
    <row r="70" spans="1:83" x14ac:dyDescent="0.35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392517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392517</v>
      </c>
    </row>
    <row r="71" spans="1:83" x14ac:dyDescent="0.35">
      <c r="A71" s="29" t="s">
        <v>271</v>
      </c>
      <c r="B71" s="30"/>
      <c r="C71" s="327">
        <v>423156</v>
      </c>
      <c r="D71" s="327">
        <v>0</v>
      </c>
      <c r="E71" s="327">
        <f>1554234+635148</f>
        <v>2189382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812093</v>
      </c>
      <c r="Q71" s="327">
        <v>128328</v>
      </c>
      <c r="R71" s="327">
        <v>0</v>
      </c>
      <c r="S71" s="327">
        <v>0</v>
      </c>
      <c r="T71" s="327">
        <v>0</v>
      </c>
      <c r="U71" s="327">
        <v>219463</v>
      </c>
      <c r="V71" s="327">
        <v>0</v>
      </c>
      <c r="W71" s="327">
        <v>0</v>
      </c>
      <c r="X71" s="327">
        <v>0</v>
      </c>
      <c r="Y71" s="327">
        <v>0</v>
      </c>
      <c r="Z71" s="327">
        <v>0</v>
      </c>
      <c r="AA71" s="327">
        <v>0</v>
      </c>
      <c r="AB71" s="327">
        <v>0</v>
      </c>
      <c r="AC71" s="327">
        <v>0</v>
      </c>
      <c r="AD71" s="327">
        <v>0</v>
      </c>
      <c r="AE71" s="327">
        <v>55169</v>
      </c>
      <c r="AF71" s="327">
        <v>0</v>
      </c>
      <c r="AG71" s="327">
        <v>784417</v>
      </c>
      <c r="AH71" s="327">
        <v>0</v>
      </c>
      <c r="AI71" s="327">
        <v>127004</v>
      </c>
      <c r="AJ71" s="327">
        <v>0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57300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0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85242</v>
      </c>
      <c r="BZ71" s="327">
        <v>0</v>
      </c>
      <c r="CA71" s="327">
        <v>0</v>
      </c>
      <c r="CB71" s="327">
        <v>0</v>
      </c>
      <c r="CC71" s="327">
        <v>0</v>
      </c>
      <c r="CD71" s="327">
        <v>0</v>
      </c>
      <c r="CE71" s="28">
        <f t="shared" si="16"/>
        <v>4881554</v>
      </c>
    </row>
    <row r="72" spans="1:83" x14ac:dyDescent="0.3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1769435</v>
      </c>
      <c r="CE73" s="28">
        <f t="shared" si="16"/>
        <v>1769435</v>
      </c>
    </row>
    <row r="74" spans="1:83" x14ac:dyDescent="0.35">
      <c r="A74" s="29" t="s">
        <v>274</v>
      </c>
      <c r="B74" s="30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0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268721</v>
      </c>
      <c r="BB74" s="327">
        <v>0</v>
      </c>
      <c r="BC74" s="327">
        <v>0</v>
      </c>
      <c r="BD74" s="327">
        <v>0</v>
      </c>
      <c r="BE74" s="327">
        <v>0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268721</v>
      </c>
    </row>
    <row r="75" spans="1:83" x14ac:dyDescent="0.3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59150</v>
      </c>
      <c r="BK75" s="327">
        <v>0</v>
      </c>
      <c r="BL75" s="327">
        <v>0</v>
      </c>
      <c r="BM75" s="327">
        <v>0</v>
      </c>
      <c r="BN75" s="327">
        <v>16624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f>161902+15225</f>
        <v>177127</v>
      </c>
      <c r="CD75" s="327">
        <v>0</v>
      </c>
      <c r="CE75" s="28">
        <f t="shared" si="16"/>
        <v>252901</v>
      </c>
    </row>
    <row r="76" spans="1:83" x14ac:dyDescent="0.35">
      <c r="A76" s="29" t="s">
        <v>276</v>
      </c>
      <c r="B76" s="212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1299672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0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1299672</v>
      </c>
    </row>
    <row r="77" spans="1:83" x14ac:dyDescent="0.35">
      <c r="A77" s="29" t="s">
        <v>277</v>
      </c>
      <c r="B77" s="30"/>
      <c r="C77" s="327">
        <v>3063</v>
      </c>
      <c r="D77" s="327">
        <v>0</v>
      </c>
      <c r="E77" s="327">
        <f>7826+478+1790</f>
        <v>10094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51021</v>
      </c>
      <c r="Q77" s="327">
        <v>-847</v>
      </c>
      <c r="R77" s="327">
        <v>15078</v>
      </c>
      <c r="S77" s="327">
        <f>8042</f>
        <v>8042</v>
      </c>
      <c r="T77" s="327">
        <v>0</v>
      </c>
      <c r="U77" s="327">
        <v>19295</v>
      </c>
      <c r="V77" s="327">
        <v>-101</v>
      </c>
      <c r="W77" s="327">
        <v>0</v>
      </c>
      <c r="X77" s="327">
        <v>1655</v>
      </c>
      <c r="Y77" s="327">
        <f>2179+3532</f>
        <v>5711</v>
      </c>
      <c r="Z77" s="327">
        <v>0</v>
      </c>
      <c r="AA77" s="327">
        <v>0</v>
      </c>
      <c r="AB77" s="327">
        <v>-97</v>
      </c>
      <c r="AC77" s="327">
        <v>7346</v>
      </c>
      <c r="AD77" s="327">
        <v>0</v>
      </c>
      <c r="AE77" s="327">
        <v>6839</v>
      </c>
      <c r="AF77" s="327">
        <v>0</v>
      </c>
      <c r="AG77" s="327">
        <v>13763</v>
      </c>
      <c r="AH77" s="327">
        <v>0</v>
      </c>
      <c r="AI77" s="327">
        <v>790</v>
      </c>
      <c r="AJ77" s="327">
        <v>78276</v>
      </c>
      <c r="AK77" s="327">
        <v>0</v>
      </c>
      <c r="AL77" s="327">
        <v>3881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7487</v>
      </c>
      <c r="AW77" s="327">
        <v>0</v>
      </c>
      <c r="AX77" s="327">
        <v>0</v>
      </c>
      <c r="AY77" s="327">
        <f>2228+141</f>
        <v>2369</v>
      </c>
      <c r="AZ77" s="327">
        <v>0</v>
      </c>
      <c r="BA77" s="327">
        <v>0</v>
      </c>
      <c r="BB77" s="327">
        <v>0</v>
      </c>
      <c r="BC77" s="327">
        <v>0</v>
      </c>
      <c r="BD77" s="327">
        <v>228</v>
      </c>
      <c r="BE77" s="327">
        <v>203351</v>
      </c>
      <c r="BF77" s="327">
        <v>1049</v>
      </c>
      <c r="BG77" s="327">
        <v>0</v>
      </c>
      <c r="BH77" s="327">
        <v>17361</v>
      </c>
      <c r="BI77" s="327">
        <v>145</v>
      </c>
      <c r="BJ77" s="327">
        <v>0</v>
      </c>
      <c r="BK77" s="327">
        <v>0</v>
      </c>
      <c r="BL77" s="327">
        <v>0</v>
      </c>
      <c r="BM77" s="327">
        <v>0</v>
      </c>
      <c r="BN77" s="327">
        <v>0</v>
      </c>
      <c r="BO77" s="327">
        <v>0</v>
      </c>
      <c r="BP77" s="327">
        <v>0</v>
      </c>
      <c r="BQ77" s="327">
        <v>3062</v>
      </c>
      <c r="BR77" s="327">
        <v>0</v>
      </c>
      <c r="BS77" s="327">
        <v>0</v>
      </c>
      <c r="BT77" s="327">
        <v>0</v>
      </c>
      <c r="BU77" s="327">
        <v>0</v>
      </c>
      <c r="BV77" s="327">
        <v>2664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f>5833+303</f>
        <v>6136</v>
      </c>
      <c r="CD77" s="327">
        <v>0</v>
      </c>
      <c r="CE77" s="28">
        <f t="shared" si="16"/>
        <v>467661</v>
      </c>
    </row>
    <row r="78" spans="1:83" x14ac:dyDescent="0.3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0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14841774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0</v>
      </c>
      <c r="CD78" s="327">
        <v>0</v>
      </c>
      <c r="CE78" s="28">
        <f t="shared" si="16"/>
        <v>14841774</v>
      </c>
    </row>
    <row r="79" spans="1:83" x14ac:dyDescent="0.3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0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125402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125402</v>
      </c>
    </row>
    <row r="80" spans="1:83" x14ac:dyDescent="0.35">
      <c r="A80" s="29" t="s">
        <v>280</v>
      </c>
      <c r="B80" s="16"/>
      <c r="C80" s="327">
        <v>220</v>
      </c>
      <c r="D80" s="327">
        <v>0</v>
      </c>
      <c r="E80" s="327">
        <f>805+3304</f>
        <v>4109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0</v>
      </c>
      <c r="Q80" s="327">
        <v>0</v>
      </c>
      <c r="R80" s="327">
        <v>0</v>
      </c>
      <c r="S80" s="327">
        <v>0</v>
      </c>
      <c r="T80" s="327">
        <v>0</v>
      </c>
      <c r="U80" s="327">
        <v>4166</v>
      </c>
      <c r="V80" s="327">
        <v>155</v>
      </c>
      <c r="W80" s="327">
        <v>50</v>
      </c>
      <c r="X80" s="327">
        <v>0</v>
      </c>
      <c r="Y80" s="327">
        <f>835+1499+4328</f>
        <v>6662</v>
      </c>
      <c r="Z80" s="327">
        <v>0</v>
      </c>
      <c r="AA80" s="327">
        <v>0</v>
      </c>
      <c r="AB80" s="327">
        <v>508</v>
      </c>
      <c r="AC80" s="327">
        <v>0</v>
      </c>
      <c r="AD80" s="327">
        <v>0</v>
      </c>
      <c r="AE80" s="327">
        <v>0</v>
      </c>
      <c r="AF80" s="327">
        <v>0</v>
      </c>
      <c r="AG80" s="327">
        <v>9168</v>
      </c>
      <c r="AH80" s="327">
        <v>0</v>
      </c>
      <c r="AI80" s="327">
        <v>0</v>
      </c>
      <c r="AJ80" s="327">
        <v>38423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2584</v>
      </c>
      <c r="AW80" s="327">
        <v>0</v>
      </c>
      <c r="AX80" s="327">
        <v>0</v>
      </c>
      <c r="AY80" s="327">
        <v>138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0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0</v>
      </c>
      <c r="BO80" s="327">
        <v>0</v>
      </c>
      <c r="BP80" s="327">
        <v>0</v>
      </c>
      <c r="BQ80" s="327">
        <v>0</v>
      </c>
      <c r="BR80" s="327">
        <v>221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4182</v>
      </c>
      <c r="BZ80" s="327">
        <v>0</v>
      </c>
      <c r="CA80" s="327">
        <v>0</v>
      </c>
      <c r="CB80" s="327">
        <v>0</v>
      </c>
      <c r="CC80" s="327">
        <v>61963</v>
      </c>
      <c r="CD80" s="327">
        <v>0</v>
      </c>
      <c r="CE80" s="28">
        <f t="shared" si="16"/>
        <v>132549</v>
      </c>
    </row>
    <row r="81" spans="1:84" x14ac:dyDescent="0.35">
      <c r="A81" s="29" t="s">
        <v>281</v>
      </c>
      <c r="B81" s="16"/>
      <c r="C81" s="327">
        <v>280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49181</v>
      </c>
      <c r="Q81" s="327">
        <v>0</v>
      </c>
      <c r="R81" s="327">
        <v>0</v>
      </c>
      <c r="S81" s="327">
        <v>0</v>
      </c>
      <c r="T81" s="327">
        <v>0</v>
      </c>
      <c r="U81" s="327">
        <v>11186</v>
      </c>
      <c r="V81" s="327">
        <v>0</v>
      </c>
      <c r="W81" s="327">
        <v>0</v>
      </c>
      <c r="X81" s="327">
        <v>0</v>
      </c>
      <c r="Y81" s="327">
        <f>4720+1521</f>
        <v>6241</v>
      </c>
      <c r="Z81" s="327">
        <v>0</v>
      </c>
      <c r="AA81" s="327">
        <v>5780</v>
      </c>
      <c r="AB81" s="327">
        <v>8670</v>
      </c>
      <c r="AC81" s="327">
        <v>0</v>
      </c>
      <c r="AD81" s="327">
        <v>0</v>
      </c>
      <c r="AE81" s="327">
        <v>650</v>
      </c>
      <c r="AF81" s="327">
        <v>0</v>
      </c>
      <c r="AG81" s="327">
        <v>325</v>
      </c>
      <c r="AH81" s="327">
        <v>0</v>
      </c>
      <c r="AI81" s="327">
        <v>0</v>
      </c>
      <c r="AJ81" s="327">
        <v>43837</v>
      </c>
      <c r="AK81" s="327">
        <v>0</v>
      </c>
      <c r="AL81" s="327">
        <v>2229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1421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1094</v>
      </c>
      <c r="BF81" s="327">
        <v>0</v>
      </c>
      <c r="BG81" s="327">
        <v>0</v>
      </c>
      <c r="BH81" s="327">
        <v>10755</v>
      </c>
      <c r="BI81" s="327">
        <v>0</v>
      </c>
      <c r="BJ81" s="327">
        <v>736</v>
      </c>
      <c r="BK81" s="327">
        <v>0</v>
      </c>
      <c r="BL81" s="327">
        <v>0</v>
      </c>
      <c r="BM81" s="327">
        <v>0</v>
      </c>
      <c r="BN81" s="327">
        <v>10974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f>1054793+13100-1</f>
        <v>1067892</v>
      </c>
      <c r="CD81" s="327">
        <v>0</v>
      </c>
      <c r="CE81" s="28">
        <f t="shared" si="16"/>
        <v>1221251</v>
      </c>
    </row>
    <row r="82" spans="1:84" x14ac:dyDescent="0.3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35">
      <c r="A83" s="29" t="s">
        <v>283</v>
      </c>
      <c r="B83" s="16"/>
      <c r="C83" s="317">
        <f>599-220</f>
        <v>379</v>
      </c>
      <c r="D83" s="317">
        <v>0</v>
      </c>
      <c r="E83" s="319">
        <f>2477+3363-4109</f>
        <v>1731</v>
      </c>
      <c r="F83" s="319">
        <v>0</v>
      </c>
      <c r="G83" s="317">
        <v>0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127826</v>
      </c>
      <c r="Q83" s="319">
        <v>0</v>
      </c>
      <c r="R83" s="320">
        <v>35</v>
      </c>
      <c r="S83" s="319">
        <v>0</v>
      </c>
      <c r="T83" s="317">
        <v>0</v>
      </c>
      <c r="U83" s="319">
        <f>17714-4166</f>
        <v>13548</v>
      </c>
      <c r="V83" s="319">
        <f>2412-155</f>
        <v>2257</v>
      </c>
      <c r="W83" s="317">
        <f>403-50</f>
        <v>353</v>
      </c>
      <c r="X83" s="319">
        <v>260</v>
      </c>
      <c r="Y83" s="319">
        <f>884+2694+2412+621-6662</f>
        <v>-51</v>
      </c>
      <c r="Z83" s="319">
        <v>0</v>
      </c>
      <c r="AA83" s="319">
        <v>0</v>
      </c>
      <c r="AB83" s="319">
        <f>47360-508</f>
        <v>46852</v>
      </c>
      <c r="AC83" s="319">
        <v>126</v>
      </c>
      <c r="AD83" s="319">
        <v>0</v>
      </c>
      <c r="AE83" s="319">
        <v>86686</v>
      </c>
      <c r="AF83" s="319">
        <v>0</v>
      </c>
      <c r="AG83" s="319">
        <f>17484-9168</f>
        <v>8316</v>
      </c>
      <c r="AH83" s="319">
        <v>0</v>
      </c>
      <c r="AI83" s="319">
        <v>6036</v>
      </c>
      <c r="AJ83" s="319">
        <f>109103-38423</f>
        <v>70680</v>
      </c>
      <c r="AK83" s="319">
        <v>0</v>
      </c>
      <c r="AL83" s="319">
        <v>5539</v>
      </c>
      <c r="AM83" s="319">
        <v>0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f>4962-2584</f>
        <v>2378</v>
      </c>
      <c r="AW83" s="319">
        <v>0</v>
      </c>
      <c r="AX83" s="319">
        <v>0</v>
      </c>
      <c r="AY83" s="319">
        <f>423-138</f>
        <v>285</v>
      </c>
      <c r="AZ83" s="319">
        <v>0</v>
      </c>
      <c r="BA83" s="319">
        <v>0</v>
      </c>
      <c r="BB83" s="319">
        <v>0</v>
      </c>
      <c r="BC83" s="319">
        <v>0</v>
      </c>
      <c r="BD83" s="319">
        <v>66882</v>
      </c>
      <c r="BE83" s="319">
        <v>450</v>
      </c>
      <c r="BF83" s="319">
        <v>11648</v>
      </c>
      <c r="BG83" s="319">
        <v>0</v>
      </c>
      <c r="BH83" s="320">
        <f>18013</f>
        <v>18013</v>
      </c>
      <c r="BI83" s="319">
        <v>4071</v>
      </c>
      <c r="BJ83" s="319">
        <f>1149</f>
        <v>1149</v>
      </c>
      <c r="BK83" s="319">
        <v>0</v>
      </c>
      <c r="BL83" s="319">
        <v>806</v>
      </c>
      <c r="BM83" s="319">
        <v>0</v>
      </c>
      <c r="BN83" s="319">
        <f>119335-17</f>
        <v>119318</v>
      </c>
      <c r="BO83" s="319">
        <v>0</v>
      </c>
      <c r="BP83" s="319">
        <v>0</v>
      </c>
      <c r="BQ83" s="319">
        <v>1332</v>
      </c>
      <c r="BR83" s="319">
        <v>92</v>
      </c>
      <c r="BS83" s="319">
        <v>0</v>
      </c>
      <c r="BT83" s="319">
        <v>0</v>
      </c>
      <c r="BU83" s="319">
        <v>0</v>
      </c>
      <c r="BV83" s="319">
        <v>15098</v>
      </c>
      <c r="BW83" s="319">
        <v>0</v>
      </c>
      <c r="BX83" s="319">
        <v>0</v>
      </c>
      <c r="BY83" s="319">
        <f>93020-4182</f>
        <v>88838</v>
      </c>
      <c r="BZ83" s="319">
        <v>0</v>
      </c>
      <c r="CA83" s="319">
        <v>0</v>
      </c>
      <c r="CB83" s="319">
        <v>0</v>
      </c>
      <c r="CC83" s="319">
        <f>1941+63599+18+205306+4-125402-61963-221</f>
        <v>83282</v>
      </c>
      <c r="CD83" s="327">
        <v>4471765</v>
      </c>
      <c r="CE83" s="28">
        <f t="shared" si="16"/>
        <v>5255980</v>
      </c>
    </row>
    <row r="84" spans="1:84" x14ac:dyDescent="0.3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0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0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0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0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0</v>
      </c>
      <c r="CD84" s="327"/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2488536</v>
      </c>
      <c r="D85" s="28">
        <f t="shared" si="17"/>
        <v>0</v>
      </c>
      <c r="E85" s="28">
        <f t="shared" si="17"/>
        <v>8712943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5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7417690</v>
      </c>
      <c r="Q85" s="28">
        <f t="shared" si="17"/>
        <v>823606</v>
      </c>
      <c r="R85" s="28">
        <f t="shared" si="17"/>
        <v>1184987</v>
      </c>
      <c r="S85" s="28">
        <f t="shared" si="17"/>
        <v>222297</v>
      </c>
      <c r="T85" s="28">
        <f t="shared" si="17"/>
        <v>138467</v>
      </c>
      <c r="U85" s="28">
        <f t="shared" si="17"/>
        <v>5246015</v>
      </c>
      <c r="V85" s="28">
        <f t="shared" si="17"/>
        <v>220808</v>
      </c>
      <c r="W85" s="28">
        <f t="shared" si="17"/>
        <v>310078</v>
      </c>
      <c r="X85" s="28">
        <f t="shared" si="17"/>
        <v>391369</v>
      </c>
      <c r="Y85" s="28">
        <f t="shared" si="17"/>
        <v>5231769</v>
      </c>
      <c r="Z85" s="28">
        <f t="shared" si="17"/>
        <v>0</v>
      </c>
      <c r="AA85" s="28">
        <f t="shared" si="17"/>
        <v>234322</v>
      </c>
      <c r="AB85" s="28">
        <f t="shared" si="17"/>
        <v>8217573</v>
      </c>
      <c r="AC85" s="28">
        <f t="shared" si="17"/>
        <v>981487</v>
      </c>
      <c r="AD85" s="28">
        <f t="shared" si="17"/>
        <v>486192</v>
      </c>
      <c r="AE85" s="28">
        <f t="shared" si="17"/>
        <v>834728</v>
      </c>
      <c r="AF85" s="28">
        <f t="shared" si="17"/>
        <v>0</v>
      </c>
      <c r="AG85" s="28">
        <f t="shared" si="17"/>
        <v>7386288</v>
      </c>
      <c r="AH85" s="28">
        <f t="shared" si="17"/>
        <v>0</v>
      </c>
      <c r="AI85" s="28">
        <f t="shared" ref="AI85:BN85" si="18">SUM(AI61:AI69)-AI84</f>
        <v>937922</v>
      </c>
      <c r="AJ85" s="28">
        <f t="shared" si="18"/>
        <v>17165670</v>
      </c>
      <c r="AK85" s="28">
        <f t="shared" si="18"/>
        <v>0</v>
      </c>
      <c r="AL85" s="28">
        <f t="shared" si="18"/>
        <v>476794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3466226</v>
      </c>
      <c r="AW85" s="28">
        <f t="shared" si="18"/>
        <v>0</v>
      </c>
      <c r="AX85" s="28">
        <f t="shared" si="18"/>
        <v>0</v>
      </c>
      <c r="AY85" s="28">
        <f t="shared" si="18"/>
        <v>1201786</v>
      </c>
      <c r="AZ85" s="28">
        <f t="shared" si="18"/>
        <v>0</v>
      </c>
      <c r="BA85" s="28">
        <f t="shared" si="18"/>
        <v>273226</v>
      </c>
      <c r="BB85" s="28">
        <f t="shared" si="18"/>
        <v>155525</v>
      </c>
      <c r="BC85" s="28">
        <f t="shared" si="18"/>
        <v>0</v>
      </c>
      <c r="BD85" s="28">
        <f t="shared" si="18"/>
        <v>242282</v>
      </c>
      <c r="BE85" s="28">
        <f t="shared" si="18"/>
        <v>1928188</v>
      </c>
      <c r="BF85" s="28">
        <f t="shared" si="18"/>
        <v>1316767</v>
      </c>
      <c r="BG85" s="28">
        <f t="shared" si="18"/>
        <v>0</v>
      </c>
      <c r="BH85" s="28">
        <f t="shared" si="18"/>
        <v>2129916</v>
      </c>
      <c r="BI85" s="28">
        <f t="shared" si="18"/>
        <v>312113</v>
      </c>
      <c r="BJ85" s="28">
        <f t="shared" si="18"/>
        <v>423482</v>
      </c>
      <c r="BK85" s="28">
        <f t="shared" si="18"/>
        <v>0</v>
      </c>
      <c r="BL85" s="28">
        <f t="shared" si="18"/>
        <v>1184681</v>
      </c>
      <c r="BM85" s="28">
        <f t="shared" si="18"/>
        <v>0</v>
      </c>
      <c r="BN85" s="28">
        <f t="shared" si="18"/>
        <v>15278539</v>
      </c>
      <c r="BO85" s="28">
        <f t="shared" ref="BO85:CD85" si="19">SUM(BO61:BO69)-BO84</f>
        <v>5043</v>
      </c>
      <c r="BP85" s="28">
        <f t="shared" si="19"/>
        <v>0</v>
      </c>
      <c r="BQ85" s="28">
        <f t="shared" si="19"/>
        <v>346834</v>
      </c>
      <c r="BR85" s="28">
        <f t="shared" si="19"/>
        <v>172452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516555</v>
      </c>
      <c r="BW85" s="28">
        <f t="shared" si="19"/>
        <v>0</v>
      </c>
      <c r="BX85" s="28">
        <f t="shared" si="19"/>
        <v>0</v>
      </c>
      <c r="BY85" s="28">
        <f t="shared" si="19"/>
        <v>1234589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1789851</v>
      </c>
      <c r="CD85" s="28">
        <f t="shared" si="19"/>
        <v>6241200</v>
      </c>
      <c r="CE85" s="28">
        <f t="shared" si="16"/>
        <v>107328801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287</v>
      </c>
      <c r="B87" s="16"/>
      <c r="C87" s="317">
        <v>5166513</v>
      </c>
      <c r="D87" s="317">
        <v>0</v>
      </c>
      <c r="E87" s="317">
        <f>11442729+2236653+1515464+1651383</f>
        <v>16846229</v>
      </c>
      <c r="F87" s="317">
        <v>0</v>
      </c>
      <c r="G87" s="317">
        <v>0</v>
      </c>
      <c r="H87" s="317">
        <v>0</v>
      </c>
      <c r="I87" s="317">
        <v>0</v>
      </c>
      <c r="J87" s="317">
        <v>795719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11058919</v>
      </c>
      <c r="Q87" s="317">
        <v>1485598</v>
      </c>
      <c r="R87" s="317">
        <v>2594502</v>
      </c>
      <c r="S87" s="317">
        <f>2874837+6401123</f>
        <v>9275960</v>
      </c>
      <c r="T87" s="317">
        <v>961247</v>
      </c>
      <c r="U87" s="317">
        <f>8558765+330713</f>
        <v>8889478</v>
      </c>
      <c r="V87" s="317">
        <v>637841</v>
      </c>
      <c r="W87" s="317">
        <v>399588</v>
      </c>
      <c r="X87" s="317">
        <v>3783499</v>
      </c>
      <c r="Y87" s="317">
        <f>845448+309721+353643+70287</f>
        <v>1579099</v>
      </c>
      <c r="Z87" s="317">
        <v>0</v>
      </c>
      <c r="AA87" s="317">
        <v>33659</v>
      </c>
      <c r="AB87" s="317">
        <f>6178123</f>
        <v>6178123</v>
      </c>
      <c r="AC87" s="317">
        <v>1356986</v>
      </c>
      <c r="AD87" s="317">
        <f>1860754</f>
        <v>1860754</v>
      </c>
      <c r="AE87" s="317">
        <f>598099</f>
        <v>598099</v>
      </c>
      <c r="AF87" s="317">
        <v>0</v>
      </c>
      <c r="AG87" s="317">
        <v>1633933</v>
      </c>
      <c r="AH87" s="317">
        <v>0</v>
      </c>
      <c r="AI87" s="317">
        <v>4711</v>
      </c>
      <c r="AJ87" s="317">
        <v>83546</v>
      </c>
      <c r="AK87" s="317">
        <v>0</v>
      </c>
      <c r="AL87" s="317">
        <v>110219</v>
      </c>
      <c r="AM87" s="317">
        <v>0</v>
      </c>
      <c r="AN87" s="317">
        <v>0</v>
      </c>
      <c r="AO87" s="317">
        <v>3052758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f>-23436+551359+3</f>
        <v>527926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78914906</v>
      </c>
    </row>
    <row r="88" spans="1:84" x14ac:dyDescent="0.35">
      <c r="A88" s="22" t="s">
        <v>288</v>
      </c>
      <c r="B88" s="16"/>
      <c r="C88" s="317">
        <v>1500</v>
      </c>
      <c r="D88" s="317">
        <v>0</v>
      </c>
      <c r="E88" s="317">
        <f>909564+125568+2080+3462231</f>
        <v>4499443</v>
      </c>
      <c r="F88" s="317">
        <v>0</v>
      </c>
      <c r="G88" s="317">
        <v>0</v>
      </c>
      <c r="H88" s="317">
        <v>0</v>
      </c>
      <c r="I88" s="317">
        <v>0</v>
      </c>
      <c r="J88" s="317">
        <v>75816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28227211</v>
      </c>
      <c r="Q88" s="317">
        <v>3679126</v>
      </c>
      <c r="R88" s="317">
        <v>7392481</v>
      </c>
      <c r="S88" s="317">
        <f>5685117+7679282</f>
        <v>13364399</v>
      </c>
      <c r="T88" s="317">
        <v>408063</v>
      </c>
      <c r="U88" s="317">
        <f>40828818+284912</f>
        <v>41113730</v>
      </c>
      <c r="V88" s="317">
        <f>987948+97630</f>
        <v>1085578</v>
      </c>
      <c r="W88" s="317">
        <v>4595478</v>
      </c>
      <c r="X88" s="317">
        <v>17669215</v>
      </c>
      <c r="Y88" s="317">
        <f>13405466+2604952+6188351+28130+21689+1469934</f>
        <v>23718522</v>
      </c>
      <c r="Z88" s="317">
        <v>0</v>
      </c>
      <c r="AA88" s="317">
        <v>797196</v>
      </c>
      <c r="AB88" s="317">
        <f>34620299+2085</f>
        <v>34622384</v>
      </c>
      <c r="AC88" s="317">
        <v>1587555</v>
      </c>
      <c r="AD88" s="317">
        <v>137844</v>
      </c>
      <c r="AE88" s="317">
        <v>2647603</v>
      </c>
      <c r="AF88" s="317">
        <v>0</v>
      </c>
      <c r="AG88" s="317">
        <v>21892006</v>
      </c>
      <c r="AH88" s="317">
        <v>0</v>
      </c>
      <c r="AI88" s="317">
        <v>1456134</v>
      </c>
      <c r="AJ88" s="317">
        <v>15265738</v>
      </c>
      <c r="AK88" s="317">
        <v>0</v>
      </c>
      <c r="AL88" s="317">
        <v>2273349</v>
      </c>
      <c r="AM88" s="317">
        <v>0</v>
      </c>
      <c r="AN88" s="317">
        <v>0</v>
      </c>
      <c r="AO88" s="317">
        <v>369076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f>7218996+2</f>
        <v>7218998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234098445</v>
      </c>
    </row>
    <row r="89" spans="1:84" x14ac:dyDescent="0.35">
      <c r="A89" s="22" t="s">
        <v>289</v>
      </c>
      <c r="B89" s="16"/>
      <c r="C89" s="28">
        <f t="shared" ref="C89:AV89" si="21">C87+C88</f>
        <v>5168013</v>
      </c>
      <c r="D89" s="28">
        <f t="shared" si="21"/>
        <v>0</v>
      </c>
      <c r="E89" s="28">
        <f t="shared" si="21"/>
        <v>21345672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871535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39286130</v>
      </c>
      <c r="Q89" s="28">
        <f t="shared" si="21"/>
        <v>5164724</v>
      </c>
      <c r="R89" s="28">
        <f t="shared" si="21"/>
        <v>9986983</v>
      </c>
      <c r="S89" s="28">
        <f t="shared" si="21"/>
        <v>22640359</v>
      </c>
      <c r="T89" s="28">
        <f t="shared" si="21"/>
        <v>1369310</v>
      </c>
      <c r="U89" s="28">
        <f t="shared" si="21"/>
        <v>50003208</v>
      </c>
      <c r="V89" s="28">
        <f t="shared" si="21"/>
        <v>1723419</v>
      </c>
      <c r="W89" s="28">
        <f t="shared" si="21"/>
        <v>4995066</v>
      </c>
      <c r="X89" s="28">
        <f t="shared" si="21"/>
        <v>21452714</v>
      </c>
      <c r="Y89" s="28">
        <f t="shared" si="21"/>
        <v>25297621</v>
      </c>
      <c r="Z89" s="28">
        <f t="shared" si="21"/>
        <v>0</v>
      </c>
      <c r="AA89" s="28">
        <f t="shared" si="21"/>
        <v>830855</v>
      </c>
      <c r="AB89" s="28">
        <f t="shared" si="21"/>
        <v>40800507</v>
      </c>
      <c r="AC89" s="28">
        <f t="shared" si="21"/>
        <v>2944541</v>
      </c>
      <c r="AD89" s="28">
        <f t="shared" si="21"/>
        <v>1998598</v>
      </c>
      <c r="AE89" s="28">
        <f t="shared" si="21"/>
        <v>3245702</v>
      </c>
      <c r="AF89" s="28">
        <f t="shared" si="21"/>
        <v>0</v>
      </c>
      <c r="AG89" s="28">
        <f t="shared" si="21"/>
        <v>23525939</v>
      </c>
      <c r="AH89" s="28">
        <f t="shared" si="21"/>
        <v>0</v>
      </c>
      <c r="AI89" s="28">
        <f t="shared" si="21"/>
        <v>1460845</v>
      </c>
      <c r="AJ89" s="28">
        <f t="shared" si="21"/>
        <v>15349284</v>
      </c>
      <c r="AK89" s="28">
        <f t="shared" si="21"/>
        <v>0</v>
      </c>
      <c r="AL89" s="28">
        <f t="shared" si="21"/>
        <v>2383568</v>
      </c>
      <c r="AM89" s="28">
        <f t="shared" si="21"/>
        <v>0</v>
      </c>
      <c r="AN89" s="28">
        <f t="shared" si="21"/>
        <v>0</v>
      </c>
      <c r="AO89" s="28">
        <f t="shared" si="21"/>
        <v>3421834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7746924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313013351</v>
      </c>
    </row>
    <row r="90" spans="1:84" x14ac:dyDescent="0.35">
      <c r="A90" s="35" t="s">
        <v>290</v>
      </c>
      <c r="B90" s="28"/>
      <c r="C90" s="317">
        <v>2901</v>
      </c>
      <c r="D90" s="317"/>
      <c r="E90" s="317">
        <f>8145+4682+4338+444</f>
        <v>17609</v>
      </c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>
        <v>4345</v>
      </c>
      <c r="Q90" s="317">
        <v>1191</v>
      </c>
      <c r="R90" s="317">
        <v>95</v>
      </c>
      <c r="S90" s="317">
        <v>523</v>
      </c>
      <c r="T90" s="317">
        <v>187</v>
      </c>
      <c r="U90" s="317">
        <v>2575</v>
      </c>
      <c r="V90" s="317">
        <v>154</v>
      </c>
      <c r="W90" s="317">
        <v>926</v>
      </c>
      <c r="X90" s="317">
        <v>436</v>
      </c>
      <c r="Y90" s="317">
        <f>1354+2383</f>
        <v>3737</v>
      </c>
      <c r="Z90" s="317"/>
      <c r="AA90" s="317">
        <v>407</v>
      </c>
      <c r="AB90" s="317">
        <v>874</v>
      </c>
      <c r="AC90" s="317">
        <v>323</v>
      </c>
      <c r="AD90" s="317">
        <v>266</v>
      </c>
      <c r="AE90" s="317">
        <v>292</v>
      </c>
      <c r="AF90" s="317"/>
      <c r="AG90" s="317">
        <v>7142</v>
      </c>
      <c r="AH90" s="317"/>
      <c r="AI90" s="317">
        <v>1909</v>
      </c>
      <c r="AJ90" s="317">
        <f>29384+1926</f>
        <v>31310</v>
      </c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>
        <f>988+397</f>
        <v>1385</v>
      </c>
      <c r="AW90" s="317"/>
      <c r="AX90" s="317"/>
      <c r="AY90" s="317">
        <v>2589</v>
      </c>
      <c r="AZ90" s="317"/>
      <c r="BA90" s="317"/>
      <c r="BB90" s="317"/>
      <c r="BC90" s="317"/>
      <c r="BD90" s="317">
        <v>846</v>
      </c>
      <c r="BE90" s="317">
        <f>12411+125</f>
        <v>12536</v>
      </c>
      <c r="BF90" s="317">
        <v>1019</v>
      </c>
      <c r="BG90" s="317"/>
      <c r="BH90" s="317">
        <v>112</v>
      </c>
      <c r="BI90" s="317"/>
      <c r="BJ90" s="317"/>
      <c r="BK90" s="317"/>
      <c r="BL90" s="317">
        <v>166</v>
      </c>
      <c r="BM90" s="317"/>
      <c r="BN90" s="317">
        <v>2305</v>
      </c>
      <c r="BO90" s="317"/>
      <c r="BP90" s="317"/>
      <c r="BQ90" s="317"/>
      <c r="BR90" s="317"/>
      <c r="BS90" s="317"/>
      <c r="BT90" s="317"/>
      <c r="BU90" s="317"/>
      <c r="BV90" s="317">
        <v>1734</v>
      </c>
      <c r="BW90" s="317"/>
      <c r="BX90" s="317"/>
      <c r="BY90" s="317">
        <f>213+1278</f>
        <v>1491</v>
      </c>
      <c r="BZ90" s="317"/>
      <c r="CA90" s="317"/>
      <c r="CB90" s="317"/>
      <c r="CC90" s="317">
        <v>166</v>
      </c>
      <c r="CD90" s="234" t="s">
        <v>248</v>
      </c>
      <c r="CE90" s="28">
        <f t="shared" si="20"/>
        <v>101551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2863</v>
      </c>
      <c r="D91" s="317">
        <v>0</v>
      </c>
      <c r="E91" s="317">
        <f>15304+4669</f>
        <v>19973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2125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24961</v>
      </c>
      <c r="CF91" s="28">
        <f>AY59-CE91</f>
        <v>0</v>
      </c>
    </row>
    <row r="92" spans="1:84" x14ac:dyDescent="0.35">
      <c r="A92" s="22" t="s">
        <v>292</v>
      </c>
      <c r="B92" s="16"/>
      <c r="C92" s="317">
        <v>2232</v>
      </c>
      <c r="D92" s="317">
        <v>0</v>
      </c>
      <c r="E92" s="317">
        <v>8772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3348</v>
      </c>
      <c r="Q92" s="317">
        <v>526</v>
      </c>
      <c r="R92" s="317">
        <v>0</v>
      </c>
      <c r="S92" s="317">
        <v>422</v>
      </c>
      <c r="T92" s="317">
        <v>0</v>
      </c>
      <c r="U92" s="317">
        <v>861</v>
      </c>
      <c r="V92" s="317">
        <v>150</v>
      </c>
      <c r="W92" s="317">
        <v>168</v>
      </c>
      <c r="X92" s="317">
        <v>0</v>
      </c>
      <c r="Y92" s="317">
        <v>1567</v>
      </c>
      <c r="Z92" s="317">
        <v>0</v>
      </c>
      <c r="AA92" s="317">
        <v>0</v>
      </c>
      <c r="AB92" s="317">
        <v>324</v>
      </c>
      <c r="AC92" s="317">
        <v>468</v>
      </c>
      <c r="AD92" s="317">
        <v>0</v>
      </c>
      <c r="AE92" s="317">
        <v>520</v>
      </c>
      <c r="AF92" s="317">
        <v>0</v>
      </c>
      <c r="AG92" s="317">
        <v>4094</v>
      </c>
      <c r="AH92" s="317">
        <v>0</v>
      </c>
      <c r="AI92" s="317">
        <v>1197</v>
      </c>
      <c r="AJ92" s="317">
        <v>9952</v>
      </c>
      <c r="AK92" s="317">
        <v>0</v>
      </c>
      <c r="AL92" s="317">
        <v>1423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1341</v>
      </c>
      <c r="AW92" s="317">
        <v>0</v>
      </c>
      <c r="AX92" s="251" t="s">
        <v>248</v>
      </c>
      <c r="AY92" s="251" t="s">
        <v>248</v>
      </c>
      <c r="AZ92" s="25"/>
      <c r="BA92" s="317">
        <v>0</v>
      </c>
      <c r="BB92" s="317">
        <v>0</v>
      </c>
      <c r="BC92" s="317">
        <v>0</v>
      </c>
      <c r="BD92" s="25" t="s">
        <v>248</v>
      </c>
      <c r="BE92" s="25" t="s">
        <v>248</v>
      </c>
      <c r="BF92" s="25"/>
      <c r="BG92" s="25"/>
      <c r="BH92" s="317">
        <v>0</v>
      </c>
      <c r="BI92" s="317">
        <v>0</v>
      </c>
      <c r="BJ92" s="25" t="s">
        <v>248</v>
      </c>
      <c r="BK92" s="317">
        <v>520</v>
      </c>
      <c r="BL92" s="317">
        <v>891</v>
      </c>
      <c r="BM92" s="317">
        <v>145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0</v>
      </c>
      <c r="BT92" s="317">
        <v>0</v>
      </c>
      <c r="BU92" s="317">
        <v>0</v>
      </c>
      <c r="BV92" s="317">
        <v>147</v>
      </c>
      <c r="BW92" s="317">
        <v>0</v>
      </c>
      <c r="BX92" s="317">
        <v>0</v>
      </c>
      <c r="BY92" s="317">
        <v>0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20"/>
        <v>39068</v>
      </c>
      <c r="CF92" s="16"/>
    </row>
    <row r="93" spans="1:84" x14ac:dyDescent="0.35">
      <c r="A93" s="22" t="s">
        <v>293</v>
      </c>
      <c r="B93" s="16"/>
      <c r="C93" s="317">
        <v>73917</v>
      </c>
      <c r="D93" s="317">
        <v>0</v>
      </c>
      <c r="E93" s="317">
        <f>122363+59251+2886</f>
        <v>184500</v>
      </c>
      <c r="F93" s="317">
        <v>0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37563</v>
      </c>
      <c r="Q93" s="317">
        <v>18489</v>
      </c>
      <c r="R93" s="317">
        <v>0</v>
      </c>
      <c r="S93" s="317">
        <v>468</v>
      </c>
      <c r="T93" s="317">
        <v>0</v>
      </c>
      <c r="U93" s="317">
        <v>195</v>
      </c>
      <c r="V93" s="317">
        <v>1287</v>
      </c>
      <c r="W93" s="317">
        <v>3784</v>
      </c>
      <c r="X93" s="317">
        <v>4876</v>
      </c>
      <c r="Y93" s="317">
        <f>1638+1326+12638+22741</f>
        <v>38343</v>
      </c>
      <c r="Z93" s="317">
        <v>0</v>
      </c>
      <c r="AA93" s="317">
        <v>0</v>
      </c>
      <c r="AB93" s="317">
        <v>0</v>
      </c>
      <c r="AC93" s="317">
        <v>0</v>
      </c>
      <c r="AD93" s="317">
        <v>0</v>
      </c>
      <c r="AE93" s="317">
        <v>0</v>
      </c>
      <c r="AF93" s="317">
        <v>0</v>
      </c>
      <c r="AG93" s="317">
        <v>117487</v>
      </c>
      <c r="AH93" s="317">
        <v>0</v>
      </c>
      <c r="AI93" s="317">
        <v>27773</v>
      </c>
      <c r="AJ93" s="317">
        <v>11702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0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f>1287.21+2028.33+6709-1</f>
        <v>10023.540000000001</v>
      </c>
      <c r="AW93" s="317">
        <v>0</v>
      </c>
      <c r="AX93" s="251" t="s">
        <v>248</v>
      </c>
      <c r="AY93" s="251" t="s">
        <v>248</v>
      </c>
      <c r="AZ93" s="25"/>
      <c r="BA93" s="25"/>
      <c r="BB93" s="317">
        <v>0</v>
      </c>
      <c r="BC93" s="317">
        <v>0</v>
      </c>
      <c r="BD93" s="25" t="s">
        <v>248</v>
      </c>
      <c r="BE93" s="25" t="s">
        <v>248</v>
      </c>
      <c r="BF93" s="25"/>
      <c r="BG93" s="25"/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530407.54</v>
      </c>
      <c r="CF93" s="28">
        <f>BA59</f>
        <v>0</v>
      </c>
    </row>
    <row r="94" spans="1:84" x14ac:dyDescent="0.35">
      <c r="A94" s="22" t="s">
        <v>294</v>
      </c>
      <c r="B94" s="16"/>
      <c r="C94" s="321">
        <v>12.18</v>
      </c>
      <c r="D94" s="321">
        <v>0</v>
      </c>
      <c r="E94" s="321">
        <v>32.65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12.59</v>
      </c>
      <c r="Q94" s="322">
        <v>3.19</v>
      </c>
      <c r="R94" s="322">
        <v>0</v>
      </c>
      <c r="S94" s="323">
        <v>0</v>
      </c>
      <c r="T94" s="323">
        <v>0</v>
      </c>
      <c r="U94" s="324">
        <v>0</v>
      </c>
      <c r="V94" s="322">
        <v>0</v>
      </c>
      <c r="W94" s="322">
        <v>0</v>
      </c>
      <c r="X94" s="322">
        <v>0</v>
      </c>
      <c r="Y94" s="322">
        <v>0</v>
      </c>
      <c r="Z94" s="322">
        <v>0</v>
      </c>
      <c r="AA94" s="322">
        <v>0</v>
      </c>
      <c r="AB94" s="323">
        <v>0</v>
      </c>
      <c r="AC94" s="322">
        <v>0</v>
      </c>
      <c r="AD94" s="322">
        <v>0</v>
      </c>
      <c r="AE94" s="322">
        <v>0</v>
      </c>
      <c r="AF94" s="322">
        <v>0</v>
      </c>
      <c r="AG94" s="322">
        <v>21.63</v>
      </c>
      <c r="AH94" s="322">
        <v>0</v>
      </c>
      <c r="AI94" s="322">
        <v>4.82</v>
      </c>
      <c r="AJ94" s="322">
        <v>0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87.06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8" t="s">
        <v>1365</v>
      </c>
      <c r="D96" s="329" t="s">
        <v>5</v>
      </c>
      <c r="E96" s="330" t="s">
        <v>5</v>
      </c>
      <c r="F96" s="12"/>
    </row>
    <row r="97" spans="1:6" x14ac:dyDescent="0.3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3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3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3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3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35">
      <c r="A102" s="28" t="s">
        <v>309</v>
      </c>
      <c r="B102" s="36" t="s">
        <v>299</v>
      </c>
      <c r="C102" s="333">
        <v>98944</v>
      </c>
      <c r="D102" s="329" t="s">
        <v>5</v>
      </c>
      <c r="E102" s="330" t="s">
        <v>5</v>
      </c>
      <c r="F102" s="12"/>
    </row>
    <row r="103" spans="1:6" x14ac:dyDescent="0.3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29" t="s">
        <v>5</v>
      </c>
      <c r="E104" s="330" t="s">
        <v>5</v>
      </c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29" t="s">
        <v>5</v>
      </c>
      <c r="E105" s="330" t="s">
        <v>5</v>
      </c>
      <c r="F105" s="12"/>
    </row>
    <row r="106" spans="1:6" x14ac:dyDescent="0.35">
      <c r="A106" s="28" t="s">
        <v>316</v>
      </c>
      <c r="B106" s="36" t="s">
        <v>299</v>
      </c>
      <c r="C106" s="332" t="s">
        <v>1366</v>
      </c>
      <c r="D106" s="329" t="s">
        <v>5</v>
      </c>
      <c r="E106" s="330" t="s">
        <v>5</v>
      </c>
      <c r="F106" s="12"/>
    </row>
    <row r="107" spans="1:6" x14ac:dyDescent="0.35">
      <c r="A107" s="28" t="s">
        <v>318</v>
      </c>
      <c r="B107" s="36" t="s">
        <v>299</v>
      </c>
      <c r="C107" s="334" t="s">
        <v>319</v>
      </c>
      <c r="D107" s="329" t="s">
        <v>5</v>
      </c>
      <c r="E107" s="330" t="s">
        <v>5</v>
      </c>
      <c r="F107" s="12"/>
    </row>
    <row r="108" spans="1:6" x14ac:dyDescent="0.35">
      <c r="A108" s="28" t="s">
        <v>320</v>
      </c>
      <c r="B108" s="36" t="s">
        <v>299</v>
      </c>
      <c r="C108" s="334" t="s">
        <v>321</v>
      </c>
      <c r="D108" s="329" t="s">
        <v>5</v>
      </c>
      <c r="E108" s="330" t="s">
        <v>5</v>
      </c>
      <c r="F108" s="12"/>
    </row>
    <row r="109" spans="1:6" x14ac:dyDescent="0.35">
      <c r="A109" s="40" t="s">
        <v>322</v>
      </c>
      <c r="B109" s="36" t="s">
        <v>299</v>
      </c>
      <c r="C109" s="332" t="s">
        <v>323</v>
      </c>
      <c r="D109" s="329" t="s">
        <v>5</v>
      </c>
      <c r="E109" s="330" t="s">
        <v>5</v>
      </c>
      <c r="F109" s="12"/>
    </row>
    <row r="110" spans="1:6" x14ac:dyDescent="0.35">
      <c r="A110" s="40" t="s">
        <v>324</v>
      </c>
      <c r="B110" s="36" t="s">
        <v>299</v>
      </c>
      <c r="C110" s="335" t="s">
        <v>325</v>
      </c>
      <c r="D110" s="329" t="s">
        <v>5</v>
      </c>
      <c r="E110" s="330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6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6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6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6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7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6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6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6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6">
        <v>1274</v>
      </c>
      <c r="D127" s="338">
        <v>6338</v>
      </c>
      <c r="E127" s="16"/>
    </row>
    <row r="128" spans="1:5" x14ac:dyDescent="0.35">
      <c r="A128" s="16" t="s">
        <v>339</v>
      </c>
      <c r="B128" s="42" t="s">
        <v>299</v>
      </c>
      <c r="C128" s="336">
        <v>1</v>
      </c>
      <c r="D128" s="338">
        <v>6</v>
      </c>
      <c r="E128" s="16"/>
    </row>
    <row r="129" spans="1:5" x14ac:dyDescent="0.35">
      <c r="A129" s="16" t="s">
        <v>340</v>
      </c>
      <c r="B129" s="42" t="s">
        <v>299</v>
      </c>
      <c r="C129" s="336">
        <v>0</v>
      </c>
      <c r="D129" s="338">
        <v>0</v>
      </c>
      <c r="E129" s="16"/>
    </row>
    <row r="130" spans="1:5" x14ac:dyDescent="0.35">
      <c r="A130" s="16" t="s">
        <v>341</v>
      </c>
      <c r="B130" s="42" t="s">
        <v>299</v>
      </c>
      <c r="C130" s="336">
        <v>223</v>
      </c>
      <c r="D130" s="338">
        <v>289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6">
        <v>7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6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36">
        <v>14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6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6">
        <v>4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6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6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6">
        <v>0</v>
      </c>
      <c r="D139" s="16"/>
      <c r="E139" s="16"/>
    </row>
    <row r="140" spans="1:5" x14ac:dyDescent="0.35">
      <c r="A140" s="16" t="s">
        <v>350</v>
      </c>
      <c r="B140" s="42"/>
      <c r="C140" s="336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6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6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353</v>
      </c>
      <c r="B144" s="42" t="s">
        <v>299</v>
      </c>
      <c r="C144" s="336">
        <v>38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6">
        <v>6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6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8">
        <v>666</v>
      </c>
      <c r="C154" s="338">
        <v>361</v>
      </c>
      <c r="D154" s="338">
        <v>247</v>
      </c>
      <c r="E154" s="28">
        <f>SUM(B154:D154)</f>
        <v>1274</v>
      </c>
    </row>
    <row r="155" spans="1:6" x14ac:dyDescent="0.35">
      <c r="A155" s="16" t="s">
        <v>242</v>
      </c>
      <c r="B155" s="338">
        <v>3323</v>
      </c>
      <c r="C155" s="338">
        <v>1787</v>
      </c>
      <c r="D155" s="338">
        <v>1228</v>
      </c>
      <c r="E155" s="28">
        <f>SUM(B155:D155)</f>
        <v>6338</v>
      </c>
    </row>
    <row r="156" spans="1:6" x14ac:dyDescent="0.35">
      <c r="A156" s="16" t="s">
        <v>360</v>
      </c>
      <c r="B156" s="338">
        <v>28064</v>
      </c>
      <c r="C156" s="338">
        <v>25544</v>
      </c>
      <c r="D156" s="338">
        <v>22441</v>
      </c>
      <c r="E156" s="28">
        <f>SUM(B156:D156)</f>
        <v>76049</v>
      </c>
    </row>
    <row r="157" spans="1:6" x14ac:dyDescent="0.35">
      <c r="A157" s="16" t="s">
        <v>287</v>
      </c>
      <c r="B157" s="338">
        <v>41351062</v>
      </c>
      <c r="C157" s="338">
        <v>22274144</v>
      </c>
      <c r="D157" s="338">
        <v>15289700</v>
      </c>
      <c r="E157" s="28">
        <f>SUM(B157:D157)</f>
        <v>78914906</v>
      </c>
      <c r="F157" s="14"/>
    </row>
    <row r="158" spans="1:6" x14ac:dyDescent="0.35">
      <c r="A158" s="16" t="s">
        <v>288</v>
      </c>
      <c r="B158" s="338">
        <v>86389408</v>
      </c>
      <c r="C158" s="338">
        <v>78630510</v>
      </c>
      <c r="D158" s="338">
        <v>69078527</v>
      </c>
      <c r="E158" s="28">
        <f>SUM(B158:D158)</f>
        <v>234098445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8">
        <v>1</v>
      </c>
      <c r="C160" s="338">
        <v>0</v>
      </c>
      <c r="D160" s="338">
        <v>0</v>
      </c>
      <c r="E160" s="28">
        <f>SUM(B160:D160)</f>
        <v>1</v>
      </c>
    </row>
    <row r="161" spans="1:5" x14ac:dyDescent="0.35">
      <c r="A161" s="16" t="s">
        <v>242</v>
      </c>
      <c r="B161" s="338">
        <v>6</v>
      </c>
      <c r="C161" s="338">
        <v>0</v>
      </c>
      <c r="D161" s="338">
        <v>0</v>
      </c>
      <c r="E161" s="28">
        <f>SUM(B161:D161)</f>
        <v>6</v>
      </c>
    </row>
    <row r="162" spans="1:5" x14ac:dyDescent="0.35">
      <c r="A162" s="16" t="s">
        <v>360</v>
      </c>
      <c r="B162" s="338">
        <v>0</v>
      </c>
      <c r="C162" s="338">
        <v>0</v>
      </c>
      <c r="D162" s="338">
        <v>0</v>
      </c>
      <c r="E162" s="28">
        <f>SUM(B162:D162)</f>
        <v>0</v>
      </c>
    </row>
    <row r="163" spans="1:5" x14ac:dyDescent="0.35">
      <c r="A163" s="16" t="s">
        <v>287</v>
      </c>
      <c r="B163" s="338">
        <v>13782</v>
      </c>
      <c r="C163" s="338">
        <v>0</v>
      </c>
      <c r="D163" s="338">
        <v>0</v>
      </c>
      <c r="E163" s="28">
        <f>SUM(B163:D163)</f>
        <v>13782</v>
      </c>
    </row>
    <row r="164" spans="1:5" x14ac:dyDescent="0.35">
      <c r="A164" s="16" t="s">
        <v>288</v>
      </c>
      <c r="B164" s="338">
        <v>0</v>
      </c>
      <c r="C164" s="338">
        <v>0</v>
      </c>
      <c r="D164" s="338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8">
        <v>0</v>
      </c>
      <c r="C166" s="338">
        <v>0</v>
      </c>
      <c r="D166" s="338">
        <v>0</v>
      </c>
      <c r="E166" s="28">
        <f>SUM(B166:D166)</f>
        <v>0</v>
      </c>
    </row>
    <row r="167" spans="1:5" x14ac:dyDescent="0.35">
      <c r="A167" s="16" t="s">
        <v>242</v>
      </c>
      <c r="B167" s="338">
        <v>0</v>
      </c>
      <c r="C167" s="338">
        <v>0</v>
      </c>
      <c r="D167" s="338">
        <v>0</v>
      </c>
      <c r="E167" s="28">
        <f>SUM(B167:D167)</f>
        <v>0</v>
      </c>
    </row>
    <row r="168" spans="1:5" x14ac:dyDescent="0.35">
      <c r="A168" s="16" t="s">
        <v>360</v>
      </c>
      <c r="B168" s="338">
        <v>0</v>
      </c>
      <c r="C168" s="338">
        <v>0</v>
      </c>
      <c r="D168" s="338">
        <v>0</v>
      </c>
      <c r="E168" s="28">
        <f>SUM(B168:D168)</f>
        <v>0</v>
      </c>
    </row>
    <row r="169" spans="1:5" x14ac:dyDescent="0.35">
      <c r="A169" s="16" t="s">
        <v>287</v>
      </c>
      <c r="B169" s="338">
        <v>0</v>
      </c>
      <c r="C169" s="338">
        <v>0</v>
      </c>
      <c r="D169" s="338">
        <v>0</v>
      </c>
      <c r="E169" s="28">
        <f>SUM(B169:D169)</f>
        <v>0</v>
      </c>
    </row>
    <row r="170" spans="1:5" x14ac:dyDescent="0.35">
      <c r="A170" s="16" t="s">
        <v>288</v>
      </c>
      <c r="B170" s="338">
        <v>0</v>
      </c>
      <c r="C170" s="338">
        <v>0</v>
      </c>
      <c r="D170" s="338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8">
        <v>0</v>
      </c>
      <c r="C173" s="338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6">
        <v>2149999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6">
        <v>129509</v>
      </c>
      <c r="D182" s="16"/>
      <c r="E182" s="16"/>
    </row>
    <row r="183" spans="1:5" x14ac:dyDescent="0.35">
      <c r="A183" s="21" t="s">
        <v>371</v>
      </c>
      <c r="B183" s="42" t="s">
        <v>299</v>
      </c>
      <c r="C183" s="336">
        <v>386501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6">
        <f>5793229-39063</f>
        <v>5754166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6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6">
        <v>984621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6">
        <f>53114+3</f>
        <v>53117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36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9457913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6">
        <v>779397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6">
        <v>400015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1179412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6">
        <v>1754537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6">
        <v>14898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1769435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6">
        <v>131613.97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36">
        <v>1089637.1499999999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6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1221251.1199999999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6">
        <v>4371676.3899999997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6">
        <f>100087.16+1</f>
        <v>100088.16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4471764.55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38">
        <v>5072349</v>
      </c>
      <c r="C211" s="336">
        <v>0</v>
      </c>
      <c r="D211" s="338">
        <v>0</v>
      </c>
      <c r="E211" s="28">
        <f t="shared" ref="E211:E219" si="22">SUM(B211:C211)-D211</f>
        <v>5072349</v>
      </c>
    </row>
    <row r="212" spans="1:5" x14ac:dyDescent="0.35">
      <c r="A212" s="16" t="s">
        <v>395</v>
      </c>
      <c r="B212" s="338">
        <v>1430910</v>
      </c>
      <c r="C212" s="336">
        <v>0</v>
      </c>
      <c r="D212" s="338">
        <v>0</v>
      </c>
      <c r="E212" s="28">
        <f t="shared" si="22"/>
        <v>1430910</v>
      </c>
    </row>
    <row r="213" spans="1:5" x14ac:dyDescent="0.35">
      <c r="A213" s="16" t="s">
        <v>396</v>
      </c>
      <c r="B213" s="338">
        <v>24903609</v>
      </c>
      <c r="C213" s="336">
        <v>252889</v>
      </c>
      <c r="D213" s="338">
        <v>0</v>
      </c>
      <c r="E213" s="28">
        <f t="shared" si="22"/>
        <v>25156498</v>
      </c>
    </row>
    <row r="214" spans="1:5" x14ac:dyDescent="0.35">
      <c r="A214" s="16" t="s">
        <v>397</v>
      </c>
      <c r="B214" s="338">
        <v>2858222</v>
      </c>
      <c r="C214" s="336">
        <v>30711</v>
      </c>
      <c r="D214" s="338">
        <v>0</v>
      </c>
      <c r="E214" s="28">
        <f t="shared" si="22"/>
        <v>2888933</v>
      </c>
    </row>
    <row r="215" spans="1:5" x14ac:dyDescent="0.35">
      <c r="A215" s="16" t="s">
        <v>398</v>
      </c>
      <c r="B215" s="338">
        <v>0</v>
      </c>
      <c r="C215" s="336">
        <v>0</v>
      </c>
      <c r="D215" s="338">
        <v>0</v>
      </c>
      <c r="E215" s="28">
        <f t="shared" si="22"/>
        <v>0</v>
      </c>
    </row>
    <row r="216" spans="1:5" x14ac:dyDescent="0.35">
      <c r="A216" s="16" t="s">
        <v>399</v>
      </c>
      <c r="B216" s="338">
        <v>27629337</v>
      </c>
      <c r="C216" s="336">
        <v>280473</v>
      </c>
      <c r="D216" s="338">
        <v>0</v>
      </c>
      <c r="E216" s="28">
        <f t="shared" si="22"/>
        <v>27909810</v>
      </c>
    </row>
    <row r="217" spans="1:5" x14ac:dyDescent="0.35">
      <c r="A217" s="16" t="s">
        <v>400</v>
      </c>
      <c r="B217" s="338">
        <v>0</v>
      </c>
      <c r="C217" s="336">
        <v>0</v>
      </c>
      <c r="D217" s="338">
        <v>0</v>
      </c>
      <c r="E217" s="28">
        <f t="shared" si="22"/>
        <v>0</v>
      </c>
    </row>
    <row r="218" spans="1:5" x14ac:dyDescent="0.35">
      <c r="A218" s="16" t="s">
        <v>401</v>
      </c>
      <c r="B218" s="338">
        <v>2658937</v>
      </c>
      <c r="C218" s="336">
        <v>628337</v>
      </c>
      <c r="D218" s="338">
        <v>0</v>
      </c>
      <c r="E218" s="28">
        <f t="shared" si="22"/>
        <v>3287274</v>
      </c>
    </row>
    <row r="219" spans="1:5" x14ac:dyDescent="0.35">
      <c r="A219" s="16" t="s">
        <v>402</v>
      </c>
      <c r="B219" s="338">
        <v>65582</v>
      </c>
      <c r="C219" s="336">
        <v>465444</v>
      </c>
      <c r="D219" s="338">
        <v>500908</v>
      </c>
      <c r="E219" s="28">
        <f t="shared" si="22"/>
        <v>30118</v>
      </c>
    </row>
    <row r="220" spans="1:5" x14ac:dyDescent="0.35">
      <c r="A220" s="16" t="s">
        <v>230</v>
      </c>
      <c r="B220" s="28">
        <f>SUM(B211:B219)</f>
        <v>64618946</v>
      </c>
      <c r="C220" s="235">
        <f>SUM(C211:C219)</f>
        <v>1657854</v>
      </c>
      <c r="D220" s="28">
        <f>SUM(D211:D219)</f>
        <v>500908</v>
      </c>
      <c r="E220" s="28">
        <f>SUM(E211:E219)</f>
        <v>65775892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38">
        <v>1083194</v>
      </c>
      <c r="C225" s="336">
        <v>16761</v>
      </c>
      <c r="D225" s="338">
        <v>0</v>
      </c>
      <c r="E225" s="28">
        <f t="shared" ref="E225:E232" si="23">SUM(B225:C225)-D225</f>
        <v>1099955</v>
      </c>
    </row>
    <row r="226" spans="1:6" x14ac:dyDescent="0.35">
      <c r="A226" s="16" t="s">
        <v>396</v>
      </c>
      <c r="B226" s="338">
        <v>17003852</v>
      </c>
      <c r="C226" s="336">
        <v>611527</v>
      </c>
      <c r="D226" s="338">
        <v>0</v>
      </c>
      <c r="E226" s="28">
        <f t="shared" si="23"/>
        <v>17615379</v>
      </c>
    </row>
    <row r="227" spans="1:6" x14ac:dyDescent="0.35">
      <c r="A227" s="16" t="s">
        <v>397</v>
      </c>
      <c r="B227" s="338">
        <v>2603288</v>
      </c>
      <c r="C227" s="336">
        <v>25700</v>
      </c>
      <c r="D227" s="338">
        <v>0</v>
      </c>
      <c r="E227" s="28">
        <f t="shared" si="23"/>
        <v>2628988</v>
      </c>
    </row>
    <row r="228" spans="1:6" x14ac:dyDescent="0.35">
      <c r="A228" s="16" t="s">
        <v>398</v>
      </c>
      <c r="B228" s="338">
        <v>0</v>
      </c>
      <c r="C228" s="336">
        <v>0</v>
      </c>
      <c r="D228" s="338">
        <v>0</v>
      </c>
      <c r="E228" s="28">
        <f t="shared" si="23"/>
        <v>0</v>
      </c>
    </row>
    <row r="229" spans="1:6" x14ac:dyDescent="0.35">
      <c r="A229" s="16" t="s">
        <v>399</v>
      </c>
      <c r="B229" s="338">
        <v>24365741</v>
      </c>
      <c r="C229" s="336">
        <v>1405410</v>
      </c>
      <c r="D229" s="338">
        <v>0</v>
      </c>
      <c r="E229" s="28">
        <f t="shared" si="23"/>
        <v>25771151</v>
      </c>
    </row>
    <row r="230" spans="1:6" x14ac:dyDescent="0.35">
      <c r="A230" s="16" t="s">
        <v>400</v>
      </c>
      <c r="B230" s="338">
        <v>0</v>
      </c>
      <c r="C230" s="336">
        <v>0</v>
      </c>
      <c r="D230" s="338">
        <v>0</v>
      </c>
      <c r="E230" s="28">
        <f t="shared" si="23"/>
        <v>0</v>
      </c>
    </row>
    <row r="231" spans="1:6" x14ac:dyDescent="0.35">
      <c r="A231" s="16" t="s">
        <v>404</v>
      </c>
      <c r="B231" s="338">
        <v>0</v>
      </c>
      <c r="C231" s="336">
        <v>0</v>
      </c>
      <c r="D231" s="338">
        <v>0</v>
      </c>
      <c r="E231" s="28">
        <f t="shared" si="23"/>
        <v>0</v>
      </c>
    </row>
    <row r="232" spans="1:6" x14ac:dyDescent="0.35">
      <c r="A232" s="16" t="s">
        <v>402</v>
      </c>
      <c r="B232" s="338">
        <v>0</v>
      </c>
      <c r="C232" s="336">
        <v>0</v>
      </c>
      <c r="D232" s="338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45056075</v>
      </c>
      <c r="C233" s="235">
        <f>SUM(C224:C232)</f>
        <v>2059398</v>
      </c>
      <c r="D233" s="28">
        <f>SUM(D224:D232)</f>
        <v>0</v>
      </c>
      <c r="E233" s="28">
        <f>SUM(E224:E232)</f>
        <v>47115473</v>
      </c>
    </row>
    <row r="234" spans="1:6" x14ac:dyDescent="0.35">
      <c r="A234" s="16"/>
      <c r="B234" s="16"/>
      <c r="C234" s="23"/>
      <c r="D234" s="16"/>
      <c r="E234" s="16"/>
      <c r="F234" s="11">
        <f>E220-E233</f>
        <v>18660419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2" t="s">
        <v>406</v>
      </c>
      <c r="C236" s="342"/>
      <c r="D236" s="34"/>
      <c r="E236" s="34"/>
    </row>
    <row r="237" spans="1:6" x14ac:dyDescent="0.35">
      <c r="A237" s="52" t="s">
        <v>406</v>
      </c>
      <c r="B237" s="34"/>
      <c r="C237" s="336">
        <v>10777901</v>
      </c>
      <c r="D237" s="36">
        <f>C237</f>
        <v>10777901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299</v>
      </c>
      <c r="C239" s="336">
        <v>82327975</v>
      </c>
      <c r="D239" s="16"/>
      <c r="E239" s="16"/>
    </row>
    <row r="240" spans="1:6" x14ac:dyDescent="0.35">
      <c r="A240" s="16" t="s">
        <v>409</v>
      </c>
      <c r="B240" s="42" t="s">
        <v>299</v>
      </c>
      <c r="C240" s="336">
        <v>70357024</v>
      </c>
      <c r="D240" s="16"/>
      <c r="E240" s="16"/>
    </row>
    <row r="241" spans="1:5" x14ac:dyDescent="0.35">
      <c r="A241" s="16" t="s">
        <v>410</v>
      </c>
      <c r="B241" s="42" t="s">
        <v>299</v>
      </c>
      <c r="C241" s="336"/>
      <c r="D241" s="16"/>
      <c r="E241" s="16"/>
    </row>
    <row r="242" spans="1:5" x14ac:dyDescent="0.35">
      <c r="A242" s="16" t="s">
        <v>411</v>
      </c>
      <c r="B242" s="42" t="s">
        <v>299</v>
      </c>
      <c r="C242" s="336"/>
      <c r="D242" s="16"/>
      <c r="E242" s="16"/>
    </row>
    <row r="243" spans="1:5" x14ac:dyDescent="0.35">
      <c r="A243" s="16" t="s">
        <v>412</v>
      </c>
      <c r="B243" s="42" t="s">
        <v>299</v>
      </c>
      <c r="C243" s="336">
        <v>16769342</v>
      </c>
      <c r="D243" s="16"/>
      <c r="E243" s="16"/>
    </row>
    <row r="244" spans="1:5" x14ac:dyDescent="0.35">
      <c r="A244" s="16" t="s">
        <v>413</v>
      </c>
      <c r="B244" s="42" t="s">
        <v>299</v>
      </c>
      <c r="C244" s="336">
        <v>11261274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f>SUM(C239:C244)</f>
        <v>180715615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299</v>
      </c>
      <c r="C247" s="336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299</v>
      </c>
      <c r="C249" s="336">
        <v>0</v>
      </c>
      <c r="D249" s="16"/>
      <c r="E249" s="16"/>
    </row>
    <row r="250" spans="1:5" x14ac:dyDescent="0.35">
      <c r="A250" s="22" t="s">
        <v>418</v>
      </c>
      <c r="B250" s="42" t="s">
        <v>299</v>
      </c>
      <c r="C250" s="336">
        <v>4005389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f>SUM(C249:C251)</f>
        <v>4005389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299</v>
      </c>
      <c r="C254" s="336">
        <v>0</v>
      </c>
      <c r="D254" s="16"/>
      <c r="E254" s="16"/>
    </row>
    <row r="255" spans="1:5" x14ac:dyDescent="0.35">
      <c r="A255" s="16" t="s">
        <v>420</v>
      </c>
      <c r="B255" s="42" t="s">
        <v>299</v>
      </c>
      <c r="C255" s="336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f>D237+D245+D252+D256</f>
        <v>195498905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299</v>
      </c>
      <c r="C266" s="336">
        <v>7667005</v>
      </c>
      <c r="D266" s="16"/>
      <c r="E266" s="16"/>
    </row>
    <row r="267" spans="1:5" x14ac:dyDescent="0.35">
      <c r="A267" s="16" t="s">
        <v>427</v>
      </c>
      <c r="B267" s="42" t="s">
        <v>299</v>
      </c>
      <c r="C267" s="336">
        <v>0</v>
      </c>
      <c r="D267" s="16"/>
      <c r="E267" s="16"/>
    </row>
    <row r="268" spans="1:5" x14ac:dyDescent="0.35">
      <c r="A268" s="16" t="s">
        <v>428</v>
      </c>
      <c r="B268" s="42" t="s">
        <v>299</v>
      </c>
      <c r="C268" s="336">
        <v>92963459</v>
      </c>
      <c r="D268" s="16"/>
      <c r="E268" s="16"/>
    </row>
    <row r="269" spans="1:5" x14ac:dyDescent="0.35">
      <c r="A269" s="16" t="s">
        <v>429</v>
      </c>
      <c r="B269" s="42" t="s">
        <v>299</v>
      </c>
      <c r="C269" s="336">
        <v>71627620</v>
      </c>
      <c r="D269" s="16"/>
      <c r="E269" s="16"/>
    </row>
    <row r="270" spans="1:5" x14ac:dyDescent="0.35">
      <c r="A270" s="16" t="s">
        <v>430</v>
      </c>
      <c r="B270" s="42" t="s">
        <v>299</v>
      </c>
      <c r="C270" s="336">
        <v>0</v>
      </c>
      <c r="D270" s="16"/>
      <c r="E270" s="16"/>
    </row>
    <row r="271" spans="1:5" x14ac:dyDescent="0.35">
      <c r="A271" s="16" t="s">
        <v>431</v>
      </c>
      <c r="B271" s="42" t="s">
        <v>299</v>
      </c>
      <c r="C271" s="336">
        <f>19764593+114128</f>
        <v>19878721</v>
      </c>
      <c r="D271" s="16"/>
      <c r="E271" s="16"/>
    </row>
    <row r="272" spans="1:5" x14ac:dyDescent="0.35">
      <c r="A272" s="16" t="s">
        <v>432</v>
      </c>
      <c r="B272" s="42" t="s">
        <v>299</v>
      </c>
      <c r="C272" s="336">
        <v>0</v>
      </c>
      <c r="D272" s="16"/>
      <c r="E272" s="16"/>
    </row>
    <row r="273" spans="1:5" x14ac:dyDescent="0.35">
      <c r="A273" s="16" t="s">
        <v>433</v>
      </c>
      <c r="B273" s="42" t="s">
        <v>299</v>
      </c>
      <c r="C273" s="336">
        <v>2982615</v>
      </c>
      <c r="D273" s="16"/>
      <c r="E273" s="16"/>
    </row>
    <row r="274" spans="1:5" x14ac:dyDescent="0.35">
      <c r="A274" s="16" t="s">
        <v>434</v>
      </c>
      <c r="B274" s="42" t="s">
        <v>299</v>
      </c>
      <c r="C274" s="336">
        <v>245610</v>
      </c>
      <c r="D274" s="16"/>
      <c r="E274" s="16"/>
    </row>
    <row r="275" spans="1:5" x14ac:dyDescent="0.35">
      <c r="A275" s="16" t="s">
        <v>435</v>
      </c>
      <c r="B275" s="42" t="s">
        <v>299</v>
      </c>
      <c r="C275" s="336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f>SUM(C266:C268)-C269+SUM(C270:C275)</f>
        <v>52109790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299</v>
      </c>
      <c r="C278" s="336">
        <v>0</v>
      </c>
      <c r="D278" s="16"/>
      <c r="E278" s="16"/>
    </row>
    <row r="279" spans="1:5" x14ac:dyDescent="0.35">
      <c r="A279" s="16" t="s">
        <v>427</v>
      </c>
      <c r="B279" s="42" t="s">
        <v>299</v>
      </c>
      <c r="C279" s="336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336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36">
        <v>5072349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36">
        <v>1430910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36">
        <v>25156498</v>
      </c>
      <c r="D285" s="16"/>
      <c r="E285" s="16"/>
    </row>
    <row r="286" spans="1:5" x14ac:dyDescent="0.35">
      <c r="A286" s="16" t="s">
        <v>441</v>
      </c>
      <c r="B286" s="42" t="s">
        <v>299</v>
      </c>
      <c r="C286" s="336">
        <v>2888933</v>
      </c>
      <c r="D286" s="16"/>
      <c r="E286" s="16"/>
    </row>
    <row r="287" spans="1:5" x14ac:dyDescent="0.35">
      <c r="A287" s="16" t="s">
        <v>442</v>
      </c>
      <c r="B287" s="42" t="s">
        <v>299</v>
      </c>
      <c r="C287" s="336">
        <v>0</v>
      </c>
      <c r="D287" s="16"/>
      <c r="E287" s="16"/>
    </row>
    <row r="288" spans="1:5" x14ac:dyDescent="0.35">
      <c r="A288" s="16" t="s">
        <v>443</v>
      </c>
      <c r="B288" s="42" t="s">
        <v>299</v>
      </c>
      <c r="C288" s="336">
        <v>27909810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36">
        <v>3287273</v>
      </c>
      <c r="D289" s="16"/>
      <c r="E289" s="16"/>
    </row>
    <row r="290" spans="1:5" x14ac:dyDescent="0.35">
      <c r="A290" s="16" t="s">
        <v>402</v>
      </c>
      <c r="B290" s="42" t="s">
        <v>299</v>
      </c>
      <c r="C290" s="336">
        <v>30117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f>SUM(C283:C290)</f>
        <v>65775890</v>
      </c>
      <c r="E291" s="16"/>
    </row>
    <row r="292" spans="1:5" x14ac:dyDescent="0.35">
      <c r="A292" s="16" t="s">
        <v>445</v>
      </c>
      <c r="B292" s="42" t="s">
        <v>299</v>
      </c>
      <c r="C292" s="336">
        <v>47223806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f>D291-C292</f>
        <v>18552084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336">
        <v>0</v>
      </c>
      <c r="D295" s="16"/>
      <c r="E295" s="16"/>
    </row>
    <row r="296" spans="1:5" x14ac:dyDescent="0.35">
      <c r="A296" s="16" t="s">
        <v>449</v>
      </c>
      <c r="B296" s="42" t="s">
        <v>299</v>
      </c>
      <c r="C296" s="336">
        <v>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336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336">
        <v>819512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f>C295-C296+C297+C298</f>
        <v>819512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336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336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336">
        <v>0</v>
      </c>
      <c r="D304" s="16"/>
      <c r="E304" s="16"/>
    </row>
    <row r="305" spans="1:6" x14ac:dyDescent="0.35">
      <c r="A305" s="16" t="s">
        <v>456</v>
      </c>
      <c r="B305" s="42" t="s">
        <v>299</v>
      </c>
      <c r="C305" s="336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f>D276+D281+D293+D299+D306</f>
        <v>71481386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71481386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299</v>
      </c>
      <c r="C314" s="336">
        <v>0</v>
      </c>
      <c r="D314" s="16"/>
      <c r="E314" s="16"/>
    </row>
    <row r="315" spans="1:6" x14ac:dyDescent="0.35">
      <c r="A315" s="16" t="s">
        <v>462</v>
      </c>
      <c r="B315" s="42" t="s">
        <v>299</v>
      </c>
      <c r="C315" s="336">
        <v>5773848</v>
      </c>
      <c r="D315" s="16"/>
      <c r="E315" s="16"/>
    </row>
    <row r="316" spans="1:6" x14ac:dyDescent="0.35">
      <c r="A316" s="16" t="s">
        <v>463</v>
      </c>
      <c r="B316" s="42" t="s">
        <v>299</v>
      </c>
      <c r="C316" s="336">
        <v>3433621</v>
      </c>
      <c r="D316" s="16"/>
      <c r="E316" s="16"/>
    </row>
    <row r="317" spans="1:6" x14ac:dyDescent="0.35">
      <c r="A317" s="16" t="s">
        <v>464</v>
      </c>
      <c r="B317" s="42" t="s">
        <v>299</v>
      </c>
      <c r="C317" s="336">
        <v>0</v>
      </c>
      <c r="D317" s="16"/>
      <c r="E317" s="16"/>
    </row>
    <row r="318" spans="1:6" x14ac:dyDescent="0.35">
      <c r="A318" s="16" t="s">
        <v>465</v>
      </c>
      <c r="B318" s="42" t="s">
        <v>299</v>
      </c>
      <c r="C318" s="336">
        <v>0</v>
      </c>
      <c r="D318" s="16"/>
      <c r="E318" s="16"/>
    </row>
    <row r="319" spans="1:6" x14ac:dyDescent="0.35">
      <c r="A319" s="16" t="s">
        <v>466</v>
      </c>
      <c r="B319" s="42" t="s">
        <v>299</v>
      </c>
      <c r="C319" s="336">
        <v>2034154</v>
      </c>
      <c r="D319" s="16"/>
      <c r="E319" s="16"/>
    </row>
    <row r="320" spans="1:6" x14ac:dyDescent="0.35">
      <c r="A320" s="16" t="s">
        <v>467</v>
      </c>
      <c r="B320" s="42" t="s">
        <v>299</v>
      </c>
      <c r="C320" s="336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336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336">
        <v>2089603</v>
      </c>
      <c r="D322" s="16"/>
      <c r="E322" s="16"/>
    </row>
    <row r="323" spans="1:5" x14ac:dyDescent="0.35">
      <c r="A323" s="16" t="s">
        <v>470</v>
      </c>
      <c r="B323" s="42" t="s">
        <v>299</v>
      </c>
      <c r="C323" s="336">
        <v>675576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f>SUM(C314:C323)</f>
        <v>14006802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336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336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336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336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336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336">
        <v>0</v>
      </c>
      <c r="D333" s="16"/>
      <c r="E333" s="16"/>
    </row>
    <row r="334" spans="1:5" x14ac:dyDescent="0.35">
      <c r="A334" s="22" t="s">
        <v>481</v>
      </c>
      <c r="B334" s="42" t="s">
        <v>299</v>
      </c>
      <c r="C334" s="336">
        <v>3324521</v>
      </c>
      <c r="D334" s="16"/>
      <c r="E334" s="16"/>
    </row>
    <row r="335" spans="1:5" x14ac:dyDescent="0.35">
      <c r="A335" s="16" t="s">
        <v>482</v>
      </c>
      <c r="B335" s="42" t="s">
        <v>299</v>
      </c>
      <c r="C335" s="336">
        <v>0</v>
      </c>
      <c r="D335" s="16"/>
      <c r="E335" s="16"/>
    </row>
    <row r="336" spans="1:5" x14ac:dyDescent="0.35">
      <c r="A336" s="22" t="s">
        <v>483</v>
      </c>
      <c r="B336" s="42" t="s">
        <v>299</v>
      </c>
      <c r="C336" s="336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339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336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3324521</v>
      </c>
      <c r="E339" s="16"/>
    </row>
    <row r="340" spans="1:5" x14ac:dyDescent="0.35">
      <c r="A340" s="16" t="s">
        <v>486</v>
      </c>
      <c r="B340" s="16"/>
      <c r="C340" s="23"/>
      <c r="D340" s="28">
        <f>C323</f>
        <v>675576</v>
      </c>
      <c r="E340" s="16"/>
    </row>
    <row r="341" spans="1:5" x14ac:dyDescent="0.35">
      <c r="A341" s="16" t="s">
        <v>487</v>
      </c>
      <c r="B341" s="16"/>
      <c r="C341" s="23"/>
      <c r="D341" s="28">
        <f>D339-D340</f>
        <v>2648945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340">
        <v>54825639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337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337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337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337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337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f>D324+D329+D341+C343+C347+C348</f>
        <v>71481386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f>D308</f>
        <v>71481386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337">
        <v>78914906</v>
      </c>
      <c r="D358" s="16"/>
      <c r="E358" s="16"/>
    </row>
    <row r="359" spans="1:5" x14ac:dyDescent="0.35">
      <c r="A359" s="16" t="s">
        <v>499</v>
      </c>
      <c r="B359" s="42" t="s">
        <v>299</v>
      </c>
      <c r="C359" s="337">
        <v>234098445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f>SUM(C358:C359)</f>
        <v>313013351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336">
        <v>10777901</v>
      </c>
      <c r="D362" s="16"/>
      <c r="E362" s="41"/>
    </row>
    <row r="363" spans="1:5" x14ac:dyDescent="0.35">
      <c r="A363" s="16" t="s">
        <v>502</v>
      </c>
      <c r="B363" s="42" t="s">
        <v>299</v>
      </c>
      <c r="C363" s="336">
        <v>180715615</v>
      </c>
      <c r="D363" s="16"/>
      <c r="E363" s="16"/>
    </row>
    <row r="364" spans="1:5" x14ac:dyDescent="0.35">
      <c r="A364" s="16" t="s">
        <v>503</v>
      </c>
      <c r="B364" s="42" t="s">
        <v>299</v>
      </c>
      <c r="C364" s="336">
        <v>4005389</v>
      </c>
      <c r="D364" s="16"/>
      <c r="E364" s="16"/>
    </row>
    <row r="365" spans="1:5" x14ac:dyDescent="0.35">
      <c r="A365" s="16" t="s">
        <v>504</v>
      </c>
      <c r="B365" s="42" t="s">
        <v>299</v>
      </c>
      <c r="C365" s="336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f>SUM(C362:C365)</f>
        <v>195498905</v>
      </c>
      <c r="E366" s="16"/>
    </row>
    <row r="367" spans="1:5" x14ac:dyDescent="0.35">
      <c r="A367" s="16" t="s">
        <v>505</v>
      </c>
      <c r="B367" s="16"/>
      <c r="C367" s="23"/>
      <c r="D367" s="28">
        <f>D360-D366</f>
        <v>117514446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336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336">
        <v>132175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336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336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336">
        <v>6569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336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336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336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336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336">
        <v>347269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341">
        <v>118573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519</v>
      </c>
      <c r="B381" s="42"/>
      <c r="C381" s="42"/>
      <c r="D381" s="28">
        <f>SUM(C370:C380)</f>
        <v>604586</v>
      </c>
      <c r="E381" s="28"/>
      <c r="F381" s="56"/>
    </row>
    <row r="382" spans="1:6" x14ac:dyDescent="0.35">
      <c r="A382" s="52" t="s">
        <v>520</v>
      </c>
      <c r="B382" s="42" t="s">
        <v>299</v>
      </c>
      <c r="C382" s="336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f>D381+C382</f>
        <v>604586</v>
      </c>
      <c r="E383" s="16"/>
    </row>
    <row r="384" spans="1:6" x14ac:dyDescent="0.35">
      <c r="A384" s="16" t="s">
        <v>522</v>
      </c>
      <c r="B384" s="16"/>
      <c r="C384" s="23"/>
      <c r="D384" s="28">
        <f>D367+D383</f>
        <v>118119032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336">
        <v>33676419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6">
        <v>9457913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6">
        <v>1997247</v>
      </c>
      <c r="D391" s="16"/>
      <c r="E391" s="16"/>
    </row>
    <row r="392" spans="1:5" x14ac:dyDescent="0.35">
      <c r="A392" s="16" t="s">
        <v>525</v>
      </c>
      <c r="B392" s="42" t="s">
        <v>299</v>
      </c>
      <c r="C392" s="336">
        <v>17314569</v>
      </c>
      <c r="D392" s="16"/>
      <c r="E392" s="16"/>
    </row>
    <row r="393" spans="1:5" x14ac:dyDescent="0.35">
      <c r="A393" s="16" t="s">
        <v>526</v>
      </c>
      <c r="B393" s="42" t="s">
        <v>299</v>
      </c>
      <c r="C393" s="336">
        <v>830096</v>
      </c>
      <c r="D393" s="16"/>
      <c r="E393" s="16"/>
    </row>
    <row r="394" spans="1:5" x14ac:dyDescent="0.35">
      <c r="A394" s="16" t="s">
        <v>527</v>
      </c>
      <c r="B394" s="42" t="s">
        <v>299</v>
      </c>
      <c r="C394" s="336">
        <v>9809131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6">
        <v>2154597</v>
      </c>
      <c r="D395" s="16"/>
      <c r="E395" s="16"/>
    </row>
    <row r="396" spans="1:5" x14ac:dyDescent="0.35">
      <c r="A396" s="16" t="s">
        <v>528</v>
      </c>
      <c r="B396" s="42" t="s">
        <v>299</v>
      </c>
      <c r="C396" s="336">
        <v>1179412</v>
      </c>
      <c r="D396" s="16"/>
      <c r="E396" s="16"/>
    </row>
    <row r="397" spans="1:5" x14ac:dyDescent="0.35">
      <c r="A397" s="16" t="s">
        <v>529</v>
      </c>
      <c r="B397" s="42" t="s">
        <v>299</v>
      </c>
      <c r="C397" s="336">
        <v>1769435</v>
      </c>
      <c r="D397" s="16"/>
      <c r="E397" s="16"/>
    </row>
    <row r="398" spans="1:5" x14ac:dyDescent="0.35">
      <c r="A398" s="16" t="s">
        <v>530</v>
      </c>
      <c r="B398" s="42" t="s">
        <v>299</v>
      </c>
      <c r="C398" s="336">
        <v>1221251</v>
      </c>
      <c r="D398" s="16"/>
      <c r="E398" s="16"/>
    </row>
    <row r="399" spans="1:5" x14ac:dyDescent="0.35">
      <c r="A399" s="16" t="s">
        <v>531</v>
      </c>
      <c r="B399" s="42" t="s">
        <v>299</v>
      </c>
      <c r="C399" s="336">
        <v>4471765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6">
        <v>392517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6">
        <v>4881554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336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6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6">
        <v>268721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6">
        <v>252901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6">
        <v>1299672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6">
        <v>467661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6">
        <v>14841774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6">
        <v>125402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6">
        <v>132549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6"/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6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1">
        <v>784215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23446966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107328801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10790231</v>
      </c>
      <c r="E417" s="28"/>
    </row>
    <row r="418" spans="1:13" x14ac:dyDescent="0.35">
      <c r="A418" s="28" t="s">
        <v>537</v>
      </c>
      <c r="B418" s="16"/>
      <c r="C418" s="341">
        <v>-31745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336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-31745</v>
      </c>
      <c r="E420" s="28"/>
      <c r="F420" s="11">
        <f>D420-C399</f>
        <v>-4503510</v>
      </c>
    </row>
    <row r="421" spans="1:13" x14ac:dyDescent="0.35">
      <c r="A421" s="28" t="s">
        <v>540</v>
      </c>
      <c r="B421" s="16"/>
      <c r="C421" s="23"/>
      <c r="D421" s="28">
        <f>D417+D420</f>
        <v>10758486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336">
        <v>-258650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336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10499836</v>
      </c>
      <c r="E424" s="16"/>
    </row>
    <row r="426" spans="1:13" ht="28.5" customHeight="1" x14ac:dyDescent="0.35">
      <c r="A426" s="345" t="s">
        <v>1370</v>
      </c>
      <c r="B426" s="345"/>
      <c r="C426" s="345"/>
      <c r="D426" s="345"/>
      <c r="E426" s="345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544</v>
      </c>
      <c r="D612" s="227">
        <f>CE90-(BE90+CD90)</f>
        <v>89015</v>
      </c>
      <c r="E612" s="229">
        <f>SUM(C624:D647)+SUM(C668:D713)</f>
        <v>89263317.96525304</v>
      </c>
      <c r="F612" s="229">
        <f>CE64-(AX64+BD64+BE64+BG64+BJ64+BN64+BP64+BQ64+CB64+CC64+CD64)</f>
        <v>17278368</v>
      </c>
      <c r="G612" s="227">
        <f>CE91-(AX91+AY91+BD91+BE91+BG91+BJ91+BN91+BP91+BQ91+CB91+CC91+CD91)</f>
        <v>24961</v>
      </c>
      <c r="H612" s="232">
        <f>CE60-(AX60+AY60+AZ60+BD60+BE60+BG60+BJ60+BN60+BO60+BP60+BQ60+BR60+CB60+CC60+CD60)</f>
        <v>312.27</v>
      </c>
      <c r="I612" s="227">
        <f>CE92-(AX92+AY92+AZ92+BD92+BE92+BF92+BG92+BJ92+BN92+BO92+BP92+BQ92+BR92+CB92+CC92+CD92)</f>
        <v>39068</v>
      </c>
      <c r="J612" s="227">
        <f>CE93-(AX93+AY93+AZ93+BA93+BD93+BE93+BF93+BG93+BJ93+BN93+BO93+BP93+BQ93+BR93+CB93+CC93+CD93)</f>
        <v>530407.54</v>
      </c>
      <c r="K612" s="227">
        <f>CE89-(AW89+AX89+AY89+AZ89+BA89+BB89+BC89+BD89+BE89+BF89+BG89+BH89+BI89+BJ89+BK89+BL89+BM89+BN89+BO89+BP89+BQ89+BR89+BS89+BT89+BU89+BV89+BW89+BX89+CB89+CC89+CD89)</f>
        <v>313013351</v>
      </c>
      <c r="L612" s="233">
        <f>CE94-(AW94+AX94+AY94+AZ94+BA94+BB94+BC94+BD94+BE94+BF94+BG94+BH94+BI94+BJ94+BK94+BL94+BM94+BN94+BO94+BP94+BQ94+BR94+BS94+BT94+BU94+BV94+BW94+BX94+BY94+BZ94+CA94+CB94+CC94+CD94)</f>
        <v>87.06</v>
      </c>
    </row>
    <row r="613" spans="1:14" s="211" customFormat="1" ht="12.65" customHeight="1" x14ac:dyDescent="0.3">
      <c r="A613" s="222"/>
      <c r="C613" s="220" t="s">
        <v>545</v>
      </c>
      <c r="D613" s="228" t="s">
        <v>546</v>
      </c>
      <c r="E613" s="230" t="s">
        <v>547</v>
      </c>
      <c r="F613" s="231" t="s">
        <v>548</v>
      </c>
      <c r="G613" s="228" t="s">
        <v>549</v>
      </c>
      <c r="H613" s="231" t="s">
        <v>550</v>
      </c>
      <c r="I613" s="228" t="s">
        <v>551</v>
      </c>
      <c r="J613" s="228" t="s">
        <v>552</v>
      </c>
      <c r="K613" s="220" t="s">
        <v>553</v>
      </c>
      <c r="L613" s="221" t="s">
        <v>554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1928188</v>
      </c>
      <c r="D614" s="227"/>
      <c r="E614" s="229"/>
      <c r="F614" s="229"/>
      <c r="G614" s="227"/>
      <c r="H614" s="229"/>
      <c r="I614" s="227"/>
      <c r="J614" s="227"/>
      <c r="N614" s="223" t="s">
        <v>555</v>
      </c>
    </row>
    <row r="615" spans="1:14" s="211" customFormat="1" ht="12.65" customHeight="1" x14ac:dyDescent="0.3">
      <c r="A615" s="222"/>
      <c r="B615" s="221" t="s">
        <v>556</v>
      </c>
      <c r="C615" s="227">
        <f>CD69-CD84</f>
        <v>6241200</v>
      </c>
      <c r="D615" s="227">
        <f>SUM(C614:C615)</f>
        <v>8169388</v>
      </c>
      <c r="E615" s="229"/>
      <c r="F615" s="229"/>
      <c r="G615" s="227"/>
      <c r="H615" s="229"/>
      <c r="I615" s="227"/>
      <c r="J615" s="227"/>
      <c r="N615" s="223" t="s">
        <v>557</v>
      </c>
    </row>
    <row r="616" spans="1:14" s="211" customFormat="1" ht="12.65" customHeight="1" x14ac:dyDescent="0.3">
      <c r="A616" s="222">
        <v>8310</v>
      </c>
      <c r="B616" s="226" t="s">
        <v>558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559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423482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560</v>
      </c>
    </row>
    <row r="618" spans="1:14" s="211" customFormat="1" ht="12.65" customHeight="1" x14ac:dyDescent="0.3">
      <c r="A618" s="222">
        <v>8470</v>
      </c>
      <c r="B618" s="226" t="s">
        <v>561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562</v>
      </c>
    </row>
    <row r="619" spans="1:14" s="211" customFormat="1" ht="12.65" customHeight="1" x14ac:dyDescent="0.3">
      <c r="A619" s="222">
        <v>8610</v>
      </c>
      <c r="B619" s="226" t="s">
        <v>563</v>
      </c>
      <c r="C619" s="227">
        <f>BN85</f>
        <v>15278539</v>
      </c>
      <c r="D619" s="227">
        <f>(D615/D612)*BN90</f>
        <v>211542.31691287985</v>
      </c>
      <c r="E619" s="229"/>
      <c r="F619" s="229"/>
      <c r="G619" s="227"/>
      <c r="H619" s="229"/>
      <c r="I619" s="227"/>
      <c r="J619" s="227"/>
      <c r="N619" s="223" t="s">
        <v>564</v>
      </c>
    </row>
    <row r="620" spans="1:14" s="211" customFormat="1" ht="12.65" customHeight="1" x14ac:dyDescent="0.3">
      <c r="A620" s="222">
        <v>8790</v>
      </c>
      <c r="B620" s="226" t="s">
        <v>565</v>
      </c>
      <c r="C620" s="227">
        <f>CC85</f>
        <v>1789851</v>
      </c>
      <c r="D620" s="227">
        <f>(D615/D612)*CC90</f>
        <v>15234.717834072908</v>
      </c>
      <c r="E620" s="229"/>
      <c r="F620" s="229"/>
      <c r="G620" s="227"/>
      <c r="H620" s="229"/>
      <c r="I620" s="227"/>
      <c r="J620" s="227"/>
      <c r="N620" s="223" t="s">
        <v>566</v>
      </c>
    </row>
    <row r="621" spans="1:14" s="211" customFormat="1" ht="12.65" customHeight="1" x14ac:dyDescent="0.3">
      <c r="A621" s="222">
        <v>8630</v>
      </c>
      <c r="B621" s="226" t="s">
        <v>567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568</v>
      </c>
    </row>
    <row r="622" spans="1:14" s="211" customFormat="1" ht="12.65" customHeight="1" x14ac:dyDescent="0.3">
      <c r="A622" s="222">
        <v>8770</v>
      </c>
      <c r="B622" s="221" t="s">
        <v>569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570</v>
      </c>
    </row>
    <row r="623" spans="1:14" s="211" customFormat="1" ht="12.65" customHeight="1" x14ac:dyDescent="0.3">
      <c r="A623" s="222">
        <v>8640</v>
      </c>
      <c r="B623" s="226" t="s">
        <v>571</v>
      </c>
      <c r="C623" s="227">
        <f>BQ85</f>
        <v>346834</v>
      </c>
      <c r="D623" s="227">
        <f>(D615/D612)*BQ90</f>
        <v>0</v>
      </c>
      <c r="E623" s="229">
        <f>SUM(C616:D623)</f>
        <v>18065483.034746956</v>
      </c>
      <c r="F623" s="229"/>
      <c r="G623" s="227"/>
      <c r="H623" s="229"/>
      <c r="I623" s="227"/>
      <c r="J623" s="227"/>
      <c r="N623" s="223" t="s">
        <v>572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242282</v>
      </c>
      <c r="D624" s="227">
        <f>(D615/D612)*BD90</f>
        <v>77641.995708588438</v>
      </c>
      <c r="E624" s="229">
        <f>(E623/E612)*SUM(C624:D624)</f>
        <v>64747.554187171751</v>
      </c>
      <c r="F624" s="229">
        <f>SUM(C624:E624)</f>
        <v>384671.5498957602</v>
      </c>
      <c r="G624" s="227"/>
      <c r="H624" s="229"/>
      <c r="I624" s="227"/>
      <c r="J624" s="227"/>
      <c r="N624" s="223" t="s">
        <v>573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1201786</v>
      </c>
      <c r="D625" s="227">
        <f>(D615/D612)*AY90</f>
        <v>237606.53296635399</v>
      </c>
      <c r="E625" s="229">
        <f>(E623/E612)*SUM(C625:D625)</f>
        <v>291310.27142378082</v>
      </c>
      <c r="F625" s="229">
        <f>(F624/F612)*AY64</f>
        <v>11842.969485410851</v>
      </c>
      <c r="G625" s="227">
        <f>SUM(C625:F625)</f>
        <v>1742545.7738755457</v>
      </c>
      <c r="H625" s="229"/>
      <c r="I625" s="227"/>
      <c r="J625" s="227"/>
      <c r="N625" s="223" t="s">
        <v>574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172452</v>
      </c>
      <c r="D626" s="227">
        <f>(D615/D612)*BR90</f>
        <v>0</v>
      </c>
      <c r="E626" s="229">
        <f>(E623/E612)*SUM(C626:D626)</f>
        <v>34901.55588346946</v>
      </c>
      <c r="F626" s="229">
        <f>(F624/F612)*BR64</f>
        <v>152.14662472680436</v>
      </c>
      <c r="G626" s="227">
        <f>(G625/G612)*BR91</f>
        <v>0</v>
      </c>
      <c r="H626" s="229"/>
      <c r="I626" s="227"/>
      <c r="J626" s="227"/>
      <c r="N626" s="223" t="s">
        <v>575</v>
      </c>
    </row>
    <row r="627" spans="1:14" s="211" customFormat="1" ht="12.65" customHeight="1" x14ac:dyDescent="0.3">
      <c r="A627" s="222">
        <v>8620</v>
      </c>
      <c r="B627" s="221" t="s">
        <v>576</v>
      </c>
      <c r="C627" s="227">
        <f>BO85</f>
        <v>5043</v>
      </c>
      <c r="D627" s="227">
        <f>(D615/D612)*BO90</f>
        <v>0</v>
      </c>
      <c r="E627" s="229">
        <f>(E623/E612)*SUM(C627:D627)</f>
        <v>1020.623398512841</v>
      </c>
      <c r="F627" s="229">
        <f>(F624/F612)*BO64</f>
        <v>110.04693679025372</v>
      </c>
      <c r="G627" s="227">
        <f>(G625/G612)*BO91</f>
        <v>0</v>
      </c>
      <c r="H627" s="229"/>
      <c r="I627" s="227"/>
      <c r="J627" s="227"/>
      <c r="N627" s="223" t="s">
        <v>577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213679.37284349935</v>
      </c>
      <c r="I628" s="227"/>
      <c r="J628" s="227"/>
      <c r="N628" s="223" t="s">
        <v>578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1316767</v>
      </c>
      <c r="D629" s="227">
        <f>(D615/D612)*BF90</f>
        <v>93519.141403134301</v>
      </c>
      <c r="E629" s="229">
        <f>(E623/E612)*SUM(C629:D629)</f>
        <v>285419.59835701529</v>
      </c>
      <c r="F629" s="229">
        <f>(F624/F612)*BF64</f>
        <v>2268.7969319079862</v>
      </c>
      <c r="G629" s="227">
        <f>(G625/G612)*BF91</f>
        <v>0</v>
      </c>
      <c r="H629" s="229">
        <f>(H628/H612)*BF60</f>
        <v>12850.733730428534</v>
      </c>
      <c r="I629" s="227">
        <f>SUM(C629:H629)</f>
        <v>1710825.2704224861</v>
      </c>
      <c r="J629" s="227"/>
      <c r="N629" s="223" t="s">
        <v>579</v>
      </c>
    </row>
    <row r="630" spans="1:14" s="211" customFormat="1" ht="12.65" customHeight="1" x14ac:dyDescent="0.3">
      <c r="A630" s="222">
        <v>8350</v>
      </c>
      <c r="B630" s="226" t="s">
        <v>580</v>
      </c>
      <c r="C630" s="227">
        <f>BA85</f>
        <v>273226</v>
      </c>
      <c r="D630" s="227">
        <f>(D615/D612)*BA90</f>
        <v>0</v>
      </c>
      <c r="E630" s="229">
        <f>(E623/E612)*SUM(C630:D630)</f>
        <v>55296.618814608271</v>
      </c>
      <c r="F630" s="229">
        <f>(F624/F612)*BA64</f>
        <v>100.29566057861481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328622.91447518684</v>
      </c>
      <c r="N630" s="223" t="s">
        <v>581</v>
      </c>
    </row>
    <row r="631" spans="1:14" s="211" customFormat="1" ht="12.65" customHeight="1" x14ac:dyDescent="0.3">
      <c r="A631" s="222">
        <v>8200</v>
      </c>
      <c r="B631" s="226" t="s">
        <v>582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583</v>
      </c>
    </row>
    <row r="632" spans="1:14" s="211" customFormat="1" ht="12.65" customHeight="1" x14ac:dyDescent="0.3">
      <c r="A632" s="222">
        <v>8360</v>
      </c>
      <c r="B632" s="226" t="s">
        <v>584</v>
      </c>
      <c r="C632" s="227">
        <f>BB85</f>
        <v>155525</v>
      </c>
      <c r="D632" s="227">
        <f>(D615/D612)*BB90</f>
        <v>0</v>
      </c>
      <c r="E632" s="229">
        <f>(E623/E612)*SUM(C632:D632)</f>
        <v>31475.798939859134</v>
      </c>
      <c r="F632" s="229">
        <f>(F624/F612)*BB64</f>
        <v>5.1650595458909292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585</v>
      </c>
    </row>
    <row r="633" spans="1:14" s="211" customFormat="1" ht="12.65" customHeight="1" x14ac:dyDescent="0.3">
      <c r="A633" s="222">
        <v>8370</v>
      </c>
      <c r="B633" s="226" t="s">
        <v>586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587</v>
      </c>
    </row>
    <row r="634" spans="1:14" s="211" customFormat="1" ht="12.65" customHeight="1" x14ac:dyDescent="0.3">
      <c r="A634" s="222">
        <v>8490</v>
      </c>
      <c r="B634" s="226" t="s">
        <v>588</v>
      </c>
      <c r="C634" s="227">
        <f>BI85</f>
        <v>312113</v>
      </c>
      <c r="D634" s="227">
        <f>(D615/D612)*BI90</f>
        <v>0</v>
      </c>
      <c r="E634" s="229">
        <f>(E623/E612)*SUM(C634:D634)</f>
        <v>63166.732258583856</v>
      </c>
      <c r="F634" s="229">
        <f>(F624/F612)*BI64</f>
        <v>981.76205109783712</v>
      </c>
      <c r="G634" s="227">
        <f>(G625/G612)*BI91</f>
        <v>0</v>
      </c>
      <c r="H634" s="229">
        <f>(H628/H612)*BI60</f>
        <v>1491.7252147142815</v>
      </c>
      <c r="I634" s="227">
        <f>(I629/I612)*BI92</f>
        <v>0</v>
      </c>
      <c r="J634" s="227">
        <f>(J630/J612)*BI93</f>
        <v>0</v>
      </c>
      <c r="N634" s="223" t="s">
        <v>589</v>
      </c>
    </row>
    <row r="635" spans="1:14" s="211" customFormat="1" ht="12.65" customHeight="1" x14ac:dyDescent="0.3">
      <c r="A635" s="222">
        <v>8530</v>
      </c>
      <c r="B635" s="226" t="s">
        <v>590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22771.299800852175</v>
      </c>
      <c r="J635" s="227">
        <f>(J630/J612)*BK93</f>
        <v>0</v>
      </c>
      <c r="N635" s="223" t="s">
        <v>591</v>
      </c>
    </row>
    <row r="636" spans="1:14" s="211" customFormat="1" ht="12.65" customHeight="1" x14ac:dyDescent="0.3">
      <c r="A636" s="222">
        <v>8480</v>
      </c>
      <c r="B636" s="226" t="s">
        <v>592</v>
      </c>
      <c r="C636" s="227">
        <f>BH85</f>
        <v>2129916</v>
      </c>
      <c r="D636" s="227">
        <f>(D615/D612)*BH90</f>
        <v>10278.845767567263</v>
      </c>
      <c r="E636" s="229">
        <f>(E623/E612)*SUM(C636:D636)</f>
        <v>433141.56989231816</v>
      </c>
      <c r="F636" s="229">
        <f>(F624/F612)*BH64</f>
        <v>12760.969766942173</v>
      </c>
      <c r="G636" s="227">
        <f>(G625/G612)*BH91</f>
        <v>0</v>
      </c>
      <c r="H636" s="229">
        <f>(H628/H612)*BH60</f>
        <v>10353.120412214255</v>
      </c>
      <c r="I636" s="227">
        <f>(I629/I612)*BH92</f>
        <v>0</v>
      </c>
      <c r="J636" s="227">
        <f>(J630/J612)*BH93</f>
        <v>0</v>
      </c>
      <c r="N636" s="223" t="s">
        <v>593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1184681</v>
      </c>
      <c r="D637" s="227">
        <f>(D615/D612)*BL90</f>
        <v>15234.717834072908</v>
      </c>
      <c r="E637" s="229">
        <f>(E623/E612)*SUM(C637:D637)</f>
        <v>242843.95357223612</v>
      </c>
      <c r="F637" s="229">
        <f>(F624/F612)*BL64</f>
        <v>449.53828599409331</v>
      </c>
      <c r="G637" s="227">
        <f>(G625/G612)*BL91</f>
        <v>0</v>
      </c>
      <c r="H637" s="229">
        <f>(H628/H612)*BL60</f>
        <v>13760.82296692853</v>
      </c>
      <c r="I637" s="227">
        <f>(I629/I612)*BL92</f>
        <v>39017.746389537089</v>
      </c>
      <c r="J637" s="227">
        <f>(J630/J612)*BL93</f>
        <v>0</v>
      </c>
      <c r="N637" s="223" t="s">
        <v>594</v>
      </c>
    </row>
    <row r="638" spans="1:14" s="211" customFormat="1" ht="12.65" customHeight="1" x14ac:dyDescent="0.3">
      <c r="A638" s="222">
        <v>8590</v>
      </c>
      <c r="B638" s="226" t="s">
        <v>595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6349.6893675453175</v>
      </c>
      <c r="J638" s="227">
        <f>(J630/J612)*BM93</f>
        <v>0</v>
      </c>
      <c r="N638" s="223" t="s">
        <v>596</v>
      </c>
    </row>
    <row r="639" spans="1:14" s="211" customFormat="1" ht="12.65" customHeight="1" x14ac:dyDescent="0.3">
      <c r="A639" s="222">
        <v>8660</v>
      </c>
      <c r="B639" s="226" t="s">
        <v>597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598</v>
      </c>
    </row>
    <row r="640" spans="1:14" s="211" customFormat="1" ht="12.65" customHeight="1" x14ac:dyDescent="0.3">
      <c r="A640" s="222">
        <v>8670</v>
      </c>
      <c r="B640" s="226" t="s">
        <v>599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600</v>
      </c>
    </row>
    <row r="641" spans="1:14" s="211" customFormat="1" ht="12.65" customHeight="1" x14ac:dyDescent="0.3">
      <c r="A641" s="222">
        <v>8680</v>
      </c>
      <c r="B641" s="226" t="s">
        <v>601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602</v>
      </c>
    </row>
    <row r="642" spans="1:14" s="211" customFormat="1" ht="12.65" customHeight="1" x14ac:dyDescent="0.3">
      <c r="A642" s="222">
        <v>8690</v>
      </c>
      <c r="B642" s="226" t="s">
        <v>603</v>
      </c>
      <c r="C642" s="227">
        <f>BV85</f>
        <v>516555</v>
      </c>
      <c r="D642" s="227">
        <f>(D615/D612)*BV90</f>
        <v>159138.55858001459</v>
      </c>
      <c r="E642" s="229">
        <f>(E623/E612)*SUM(C642:D642)</f>
        <v>136749.68394034702</v>
      </c>
      <c r="F642" s="229">
        <f>(F624/F612)*BV64</f>
        <v>1217.1729978144349</v>
      </c>
      <c r="G642" s="227">
        <f>(G625/G612)*BV91</f>
        <v>0</v>
      </c>
      <c r="H642" s="229">
        <f>(H628/H612)*BV60</f>
        <v>3510.3441979285612</v>
      </c>
      <c r="I642" s="227">
        <f>(I629/I612)*BV92</f>
        <v>6437.2712898562877</v>
      </c>
      <c r="J642" s="227">
        <f>(J630/J612)*BV93</f>
        <v>0</v>
      </c>
      <c r="N642" s="223" t="s">
        <v>604</v>
      </c>
    </row>
    <row r="643" spans="1:14" s="211" customFormat="1" ht="12.65" customHeight="1" x14ac:dyDescent="0.3">
      <c r="A643" s="222">
        <v>8700</v>
      </c>
      <c r="B643" s="226" t="s">
        <v>605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606</v>
      </c>
    </row>
    <row r="644" spans="1:14" s="211" customFormat="1" ht="12.65" customHeight="1" x14ac:dyDescent="0.3">
      <c r="A644" s="222">
        <v>8710</v>
      </c>
      <c r="B644" s="226" t="s">
        <v>607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>
        <f>(G625/G612)*BX91</f>
        <v>0</v>
      </c>
      <c r="H644" s="229">
        <f>(H628/H612)*BX60</f>
        <v>0</v>
      </c>
      <c r="I644" s="227">
        <f>(I629/I612)*BX92</f>
        <v>0</v>
      </c>
      <c r="J644" s="227">
        <f>(J630/J612)*BX93</f>
        <v>0</v>
      </c>
      <c r="K644" s="229">
        <f>SUM(C631:J644)</f>
        <v>5509926.4885859713</v>
      </c>
      <c r="L644" s="229"/>
      <c r="N644" s="223" t="s">
        <v>608</v>
      </c>
    </row>
    <row r="645" spans="1:14" s="211" customFormat="1" ht="12.65" customHeight="1" x14ac:dyDescent="0.3">
      <c r="A645" s="222">
        <v>8720</v>
      </c>
      <c r="B645" s="226" t="s">
        <v>609</v>
      </c>
      <c r="C645" s="227">
        <f>BY85</f>
        <v>1234589</v>
      </c>
      <c r="D645" s="227">
        <f>(D615/D612)*BY90</f>
        <v>136837.13428073921</v>
      </c>
      <c r="E645" s="229">
        <f>(E623/E612)*SUM(C645:D645)</f>
        <v>277554.94784432597</v>
      </c>
      <c r="F645" s="229">
        <f>(F624/F612)*BY64</f>
        <v>346.77141158102205</v>
      </c>
      <c r="G645" s="227">
        <f>(G625/G612)*BY91</f>
        <v>0</v>
      </c>
      <c r="H645" s="229">
        <f>(H628/H612)*BY60</f>
        <v>3195.5764920714191</v>
      </c>
      <c r="I645" s="227">
        <f>(I629/I612)*BY92</f>
        <v>0</v>
      </c>
      <c r="J645" s="227">
        <f>(J630/J612)*BY93</f>
        <v>0</v>
      </c>
      <c r="K645" s="229">
        <v>0</v>
      </c>
      <c r="L645" s="229"/>
      <c r="N645" s="223" t="s">
        <v>610</v>
      </c>
    </row>
    <row r="646" spans="1:14" s="211" customFormat="1" ht="12.65" customHeight="1" x14ac:dyDescent="0.3">
      <c r="A646" s="222">
        <v>8730</v>
      </c>
      <c r="B646" s="226" t="s">
        <v>611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612</v>
      </c>
    </row>
    <row r="647" spans="1:14" s="211" customFormat="1" ht="12.65" customHeight="1" x14ac:dyDescent="0.3">
      <c r="A647" s="222">
        <v>8740</v>
      </c>
      <c r="B647" s="226" t="s">
        <v>613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1652523.4300287175</v>
      </c>
      <c r="N647" s="223" t="s">
        <v>614</v>
      </c>
    </row>
    <row r="648" spans="1:14" s="211" customFormat="1" ht="12.65" customHeight="1" x14ac:dyDescent="0.3">
      <c r="A648" s="222"/>
      <c r="B648" s="222"/>
      <c r="C648" s="211">
        <f>SUM(C614:C647)</f>
        <v>34753029</v>
      </c>
      <c r="L648" s="225"/>
    </row>
    <row r="666" spans="1:14" s="211" customFormat="1" ht="12.65" customHeight="1" x14ac:dyDescent="0.3">
      <c r="C666" s="220" t="s">
        <v>615</v>
      </c>
      <c r="M666" s="220" t="s">
        <v>616</v>
      </c>
    </row>
    <row r="667" spans="1:14" s="211" customFormat="1" ht="12.65" customHeight="1" x14ac:dyDescent="0.3">
      <c r="C667" s="220" t="s">
        <v>545</v>
      </c>
      <c r="D667" s="220" t="s">
        <v>546</v>
      </c>
      <c r="E667" s="221" t="s">
        <v>547</v>
      </c>
      <c r="F667" s="220" t="s">
        <v>548</v>
      </c>
      <c r="G667" s="220" t="s">
        <v>549</v>
      </c>
      <c r="H667" s="220" t="s">
        <v>550</v>
      </c>
      <c r="I667" s="220" t="s">
        <v>551</v>
      </c>
      <c r="J667" s="220" t="s">
        <v>552</v>
      </c>
      <c r="K667" s="220" t="s">
        <v>553</v>
      </c>
      <c r="L667" s="221" t="s">
        <v>554</v>
      </c>
      <c r="M667" s="220" t="s">
        <v>617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2488536</v>
      </c>
      <c r="D668" s="227">
        <f>(D615/D612)*C90</f>
        <v>266240.46046171995</v>
      </c>
      <c r="E668" s="229">
        <f>(E623/E612)*SUM(C668:D668)</f>
        <v>557523.16343835334</v>
      </c>
      <c r="F668" s="229">
        <f>(F624/F612)*C64</f>
        <v>2868.7007876130597</v>
      </c>
      <c r="G668" s="227">
        <f>(G625/G612)*C91</f>
        <v>199868.13631688181</v>
      </c>
      <c r="H668" s="229">
        <f>(H628/H612)*C60</f>
        <v>8334.5014289999763</v>
      </c>
      <c r="I668" s="227">
        <f>(I629/I612)*C92</f>
        <v>97741.425299042414</v>
      </c>
      <c r="J668" s="227">
        <f>(J630/J612)*C93</f>
        <v>45796.520858776603</v>
      </c>
      <c r="K668" s="227">
        <f>(K644/K612)*C89</f>
        <v>90971.748109417385</v>
      </c>
      <c r="L668" s="227">
        <f>(L647/L612)*C94</f>
        <v>231193.83617906936</v>
      </c>
      <c r="M668" s="211">
        <f t="shared" ref="M668:M713" si="24">ROUND(SUM(D668:L668),0)</f>
        <v>1500538</v>
      </c>
      <c r="N668" s="221" t="s">
        <v>618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619</v>
      </c>
    </row>
    <row r="670" spans="1:14" s="211" customFormat="1" ht="12.65" customHeight="1" x14ac:dyDescent="0.3">
      <c r="A670" s="222">
        <v>6070</v>
      </c>
      <c r="B670" s="221" t="s">
        <v>620</v>
      </c>
      <c r="C670" s="227">
        <f>E85</f>
        <v>8712943</v>
      </c>
      <c r="D670" s="227">
        <f>(D615/D612)*E90</f>
        <v>1616073.1707240352</v>
      </c>
      <c r="E670" s="229">
        <f>(E623/E612)*SUM(C670:D670)</f>
        <v>2090429.4244414943</v>
      </c>
      <c r="F670" s="229">
        <f>(F624/F612)*E64</f>
        <v>7684.8071295285818</v>
      </c>
      <c r="G670" s="227">
        <f>(G625/G612)*E91</f>
        <v>1394329.824190388</v>
      </c>
      <c r="H670" s="229">
        <f>(H628/H612)*E60</f>
        <v>22341.66433964279</v>
      </c>
      <c r="I670" s="227">
        <f>(I629/I612)*E92</f>
        <v>384134.31125591398</v>
      </c>
      <c r="J670" s="227">
        <f>(J630/J612)*E93</f>
        <v>114310.07885120179</v>
      </c>
      <c r="K670" s="227">
        <f>(K644/K612)*E89</f>
        <v>375744.6230127989</v>
      </c>
      <c r="L670" s="227">
        <f>(L647/L612)*E94</f>
        <v>619743.73983962357</v>
      </c>
      <c r="M670" s="211">
        <f t="shared" si="24"/>
        <v>6624792</v>
      </c>
      <c r="N670" s="221" t="s">
        <v>621</v>
      </c>
    </row>
    <row r="671" spans="1:14" s="211" customFormat="1" ht="12.65" customHeight="1" x14ac:dyDescent="0.3">
      <c r="A671" s="222">
        <v>6100</v>
      </c>
      <c r="B671" s="221" t="s">
        <v>622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623</v>
      </c>
    </row>
    <row r="672" spans="1:14" s="211" customFormat="1" ht="12.65" customHeight="1" x14ac:dyDescent="0.3">
      <c r="A672" s="222">
        <v>6120</v>
      </c>
      <c r="B672" s="221" t="s">
        <v>624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625</v>
      </c>
    </row>
    <row r="673" spans="1:14" s="211" customFormat="1" ht="12.65" customHeight="1" x14ac:dyDescent="0.3">
      <c r="A673" s="222">
        <v>6140</v>
      </c>
      <c r="B673" s="221" t="s">
        <v>626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627</v>
      </c>
    </row>
    <row r="674" spans="1:14" s="211" customFormat="1" ht="12.65" customHeight="1" x14ac:dyDescent="0.3">
      <c r="A674" s="222">
        <v>6150</v>
      </c>
      <c r="B674" s="221" t="s">
        <v>628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629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5</v>
      </c>
      <c r="D675" s="227">
        <f>(D615/D612)*J90</f>
        <v>0</v>
      </c>
      <c r="E675" s="229">
        <f>(E623/E612)*SUM(C675:D675)</f>
        <v>1.0119208789538381</v>
      </c>
      <c r="F675" s="229">
        <f>(F624/F612)*J64</f>
        <v>0.11131593848902865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15341.498268007663</v>
      </c>
      <c r="L675" s="227">
        <f>(L647/L612)*J94</f>
        <v>0</v>
      </c>
      <c r="M675" s="211">
        <f t="shared" si="24"/>
        <v>15343</v>
      </c>
      <c r="N675" s="221" t="s">
        <v>630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631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632</v>
      </c>
    </row>
    <row r="678" spans="1:14" s="211" customFormat="1" ht="12.65" customHeight="1" x14ac:dyDescent="0.3">
      <c r="A678" s="222">
        <v>6330</v>
      </c>
      <c r="B678" s="221" t="s">
        <v>633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634</v>
      </c>
    </row>
    <row r="679" spans="1:14" s="211" customFormat="1" ht="12.65" customHeight="1" x14ac:dyDescent="0.3">
      <c r="A679" s="222">
        <v>6400</v>
      </c>
      <c r="B679" s="221" t="s">
        <v>635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636</v>
      </c>
    </row>
    <row r="680" spans="1:14" s="211" customFormat="1" ht="12.65" customHeight="1" x14ac:dyDescent="0.3">
      <c r="A680" s="222">
        <v>7010</v>
      </c>
      <c r="B680" s="221" t="s">
        <v>637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638</v>
      </c>
    </row>
    <row r="681" spans="1:14" s="211" customFormat="1" ht="12.65" customHeight="1" x14ac:dyDescent="0.3">
      <c r="A681" s="222">
        <v>7020</v>
      </c>
      <c r="B681" s="221" t="s">
        <v>639</v>
      </c>
      <c r="C681" s="227">
        <f>P85</f>
        <v>7417690</v>
      </c>
      <c r="D681" s="227">
        <f>(D615/D612)*P90</f>
        <v>398764.15053642646</v>
      </c>
      <c r="E681" s="229">
        <f>(E623/E612)*SUM(C681:D681)</f>
        <v>1581926.6308626393</v>
      </c>
      <c r="F681" s="229">
        <f>(F624/F612)*P64</f>
        <v>95713.339970713947</v>
      </c>
      <c r="G681" s="227">
        <f>(G625/G612)*P91</f>
        <v>0</v>
      </c>
      <c r="H681" s="229">
        <f>(H628/H612)*P60</f>
        <v>8615.0552537856893</v>
      </c>
      <c r="I681" s="227">
        <f>(I629/I612)*P92</f>
        <v>146612.13794856361</v>
      </c>
      <c r="J681" s="227">
        <f>(J630/J612)*P93</f>
        <v>23272.788573917034</v>
      </c>
      <c r="K681" s="227">
        <f>(K644/K612)*P89</f>
        <v>691547.78104347375</v>
      </c>
      <c r="L681" s="227">
        <f>(L647/L612)*P94</f>
        <v>238976.22311120553</v>
      </c>
      <c r="M681" s="211">
        <f t="shared" si="24"/>
        <v>3185428</v>
      </c>
      <c r="N681" s="221" t="s">
        <v>640</v>
      </c>
    </row>
    <row r="682" spans="1:14" s="211" customFormat="1" ht="12.65" customHeight="1" x14ac:dyDescent="0.3">
      <c r="A682" s="222">
        <v>7030</v>
      </c>
      <c r="B682" s="221" t="s">
        <v>641</v>
      </c>
      <c r="C682" s="227">
        <f>Q85</f>
        <v>823606</v>
      </c>
      <c r="D682" s="227">
        <f>(D615/D612)*Q90</f>
        <v>109304.51168904117</v>
      </c>
      <c r="E682" s="229">
        <f>(E623/E612)*SUM(C682:D682)</f>
        <v>188806.32499472986</v>
      </c>
      <c r="F682" s="229">
        <f>(F624/F612)*Q64</f>
        <v>730.4997147404016</v>
      </c>
      <c r="G682" s="227">
        <f>(G625/G612)*Q91</f>
        <v>0</v>
      </c>
      <c r="H682" s="229">
        <f>(H628/H612)*Q60</f>
        <v>2182.8456123571364</v>
      </c>
      <c r="I682" s="227">
        <f>(I629/I612)*Q92</f>
        <v>23034.045567785084</v>
      </c>
      <c r="J682" s="227">
        <f>(J630/J612)*Q93</f>
        <v>11455.170991218807</v>
      </c>
      <c r="K682" s="227">
        <f>(K644/K612)*Q89</f>
        <v>90913.85234183092</v>
      </c>
      <c r="L682" s="227">
        <f>(L647/L612)*Q94</f>
        <v>60550.766618327689</v>
      </c>
      <c r="M682" s="211">
        <f t="shared" si="24"/>
        <v>486978</v>
      </c>
      <c r="N682" s="221" t="s">
        <v>642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1184987</v>
      </c>
      <c r="D683" s="227">
        <f>(D615/D612)*R90</f>
        <v>8718.6638207043761</v>
      </c>
      <c r="E683" s="229">
        <f>(E623/E612)*SUM(C683:D683)</f>
        <v>241587.13690912441</v>
      </c>
      <c r="F683" s="229">
        <f>(F624/F612)*R64</f>
        <v>2551.4948892947236</v>
      </c>
      <c r="G683" s="227">
        <f>(G625/G612)*R91</f>
        <v>0</v>
      </c>
      <c r="H683" s="229">
        <f>(H628/H612)*R60</f>
        <v>0</v>
      </c>
      <c r="I683" s="227">
        <f>(I629/I612)*R92</f>
        <v>0</v>
      </c>
      <c r="J683" s="227">
        <f>(J630/J612)*R93</f>
        <v>0</v>
      </c>
      <c r="K683" s="227">
        <f>(K644/K612)*R89</f>
        <v>175799.34528977261</v>
      </c>
      <c r="L683" s="227">
        <f>(L647/L612)*R94</f>
        <v>0</v>
      </c>
      <c r="M683" s="211">
        <f t="shared" si="24"/>
        <v>428657</v>
      </c>
      <c r="N683" s="221" t="s">
        <v>643</v>
      </c>
    </row>
    <row r="684" spans="1:14" s="211" customFormat="1" ht="12.65" customHeight="1" x14ac:dyDescent="0.3">
      <c r="A684" s="222">
        <v>7050</v>
      </c>
      <c r="B684" s="221" t="s">
        <v>644</v>
      </c>
      <c r="C684" s="227">
        <f>S85</f>
        <v>222297</v>
      </c>
      <c r="D684" s="227">
        <f>(D615/D612)*S90</f>
        <v>47998.538718193558</v>
      </c>
      <c r="E684" s="229">
        <f>(E623/E612)*SUM(C684:D684)</f>
        <v>54703.539823403116</v>
      </c>
      <c r="F684" s="229">
        <f>(F624/F612)*S64</f>
        <v>2289.9469602209019</v>
      </c>
      <c r="G684" s="227">
        <f>(G625/G612)*S91</f>
        <v>0</v>
      </c>
      <c r="H684" s="229">
        <f>(H628/H612)*S60</f>
        <v>1300.1274807142818</v>
      </c>
      <c r="I684" s="227">
        <f>(I629/I612)*S92</f>
        <v>18479.785607614649</v>
      </c>
      <c r="J684" s="227">
        <f>(J630/J612)*S93</f>
        <v>289.95727318353624</v>
      </c>
      <c r="K684" s="227">
        <f>(K644/K612)*S89</f>
        <v>398534.80168389302</v>
      </c>
      <c r="L684" s="227">
        <f>(L647/L612)*S94</f>
        <v>0</v>
      </c>
      <c r="M684" s="211">
        <f t="shared" si="24"/>
        <v>523597</v>
      </c>
      <c r="N684" s="221" t="s">
        <v>645</v>
      </c>
    </row>
    <row r="685" spans="1:14" s="211" customFormat="1" ht="12.65" customHeight="1" x14ac:dyDescent="0.3">
      <c r="A685" s="222">
        <v>7060</v>
      </c>
      <c r="B685" s="221" t="s">
        <v>646</v>
      </c>
      <c r="C685" s="227">
        <f>T85</f>
        <v>138467</v>
      </c>
      <c r="D685" s="227">
        <f>(D615/D612)*T90</f>
        <v>17162.00141549177</v>
      </c>
      <c r="E685" s="229">
        <f>(E623/E612)*SUM(C685:D685)</f>
        <v>31496.84718061451</v>
      </c>
      <c r="F685" s="229">
        <f>(F624/F612)*T64</f>
        <v>2994.376482167173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24103.756009070861</v>
      </c>
      <c r="L685" s="227">
        <f>(L647/L612)*T94</f>
        <v>0</v>
      </c>
      <c r="M685" s="211">
        <f t="shared" si="24"/>
        <v>75757</v>
      </c>
      <c r="N685" s="221" t="s">
        <v>647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5246015</v>
      </c>
      <c r="D686" s="227">
        <f>(D615/D612)*U90</f>
        <v>236321.67724540806</v>
      </c>
      <c r="E686" s="229">
        <f>(E623/E612)*SUM(C686:D686)</f>
        <v>1109538.1898318075</v>
      </c>
      <c r="F686" s="229">
        <f>(F624/F612)*U64</f>
        <v>29048.205833339794</v>
      </c>
      <c r="G686" s="227">
        <f>(G625/G612)*U91</f>
        <v>0</v>
      </c>
      <c r="H686" s="229">
        <f>(H628/H612)*U60</f>
        <v>14629.855546142813</v>
      </c>
      <c r="I686" s="227">
        <f>(I629/I612)*U92</f>
        <v>37704.017554872546</v>
      </c>
      <c r="J686" s="227">
        <f>(J630/J612)*U93</f>
        <v>120.81553049314012</v>
      </c>
      <c r="K686" s="227">
        <f>(K644/K612)*U89</f>
        <v>880198.87775800959</v>
      </c>
      <c r="L686" s="227">
        <f>(L647/L612)*U94</f>
        <v>0</v>
      </c>
      <c r="M686" s="211">
        <f t="shared" si="24"/>
        <v>2307562</v>
      </c>
      <c r="N686" s="221" t="s">
        <v>648</v>
      </c>
    </row>
    <row r="687" spans="1:14" s="211" customFormat="1" ht="12.65" customHeight="1" x14ac:dyDescent="0.3">
      <c r="A687" s="222">
        <v>7110</v>
      </c>
      <c r="B687" s="221" t="s">
        <v>649</v>
      </c>
      <c r="C687" s="227">
        <f>V85</f>
        <v>220808</v>
      </c>
      <c r="D687" s="227">
        <f>(D615/D612)*V90</f>
        <v>14133.412930404987</v>
      </c>
      <c r="E687" s="229">
        <f>(E623/E612)*SUM(C687:D687)</f>
        <v>47548.424215038409</v>
      </c>
      <c r="F687" s="229">
        <f>(F624/F612)*V64</f>
        <v>171.40428208540632</v>
      </c>
      <c r="G687" s="227">
        <f>(G625/G612)*V91</f>
        <v>0</v>
      </c>
      <c r="H687" s="229">
        <f>(H628/H612)*V60</f>
        <v>869.03257921428315</v>
      </c>
      <c r="I687" s="227">
        <f>(I629/I612)*V92</f>
        <v>6568.644173322743</v>
      </c>
      <c r="J687" s="227">
        <f>(J630/J612)*V93</f>
        <v>797.38250125472473</v>
      </c>
      <c r="K687" s="227">
        <f>(K644/K612)*V89</f>
        <v>30337.082966893468</v>
      </c>
      <c r="L687" s="227">
        <f>(L647/L612)*V94</f>
        <v>0</v>
      </c>
      <c r="M687" s="211">
        <f t="shared" si="24"/>
        <v>100425</v>
      </c>
      <c r="N687" s="221" t="s">
        <v>650</v>
      </c>
    </row>
    <row r="688" spans="1:14" s="211" customFormat="1" ht="12.65" customHeight="1" x14ac:dyDescent="0.3">
      <c r="A688" s="222">
        <v>7120</v>
      </c>
      <c r="B688" s="221" t="s">
        <v>651</v>
      </c>
      <c r="C688" s="227">
        <f>W85</f>
        <v>310078</v>
      </c>
      <c r="D688" s="227">
        <f>(D615/D612)*W90</f>
        <v>84984.02839970791</v>
      </c>
      <c r="E688" s="229">
        <f>(E623/E612)*SUM(C688:D688)</f>
        <v>79954.303003903711</v>
      </c>
      <c r="F688" s="229">
        <f>(F624/F612)*W64</f>
        <v>56.726602254009002</v>
      </c>
      <c r="G688" s="227">
        <f>(G625/G612)*W91</f>
        <v>0</v>
      </c>
      <c r="H688" s="229">
        <f>(H628/H612)*W60</f>
        <v>978.51699864285422</v>
      </c>
      <c r="I688" s="227">
        <f>(I629/I612)*W92</f>
        <v>7356.8814741214719</v>
      </c>
      <c r="J688" s="227">
        <f>(J630/J612)*W93</f>
        <v>2344.4408583899599</v>
      </c>
      <c r="K688" s="227">
        <f>(K644/K612)*W89</f>
        <v>87927.388329308596</v>
      </c>
      <c r="L688" s="227">
        <f>(L647/L612)*W94</f>
        <v>0</v>
      </c>
      <c r="M688" s="211">
        <f t="shared" si="24"/>
        <v>263602</v>
      </c>
      <c r="N688" s="221" t="s">
        <v>652</v>
      </c>
    </row>
    <row r="689" spans="1:14" s="211" customFormat="1" ht="12.65" customHeight="1" x14ac:dyDescent="0.3">
      <c r="A689" s="222">
        <v>7130</v>
      </c>
      <c r="B689" s="221" t="s">
        <v>653</v>
      </c>
      <c r="C689" s="227">
        <f>X85</f>
        <v>391369</v>
      </c>
      <c r="D689" s="227">
        <f>(D615/D612)*X90</f>
        <v>40014.078166601132</v>
      </c>
      <c r="E689" s="229">
        <f>(E623/E612)*SUM(C689:D689)</f>
        <v>87305.108724831851</v>
      </c>
      <c r="F689" s="229">
        <f>(F624/F612)*X64</f>
        <v>876.10096228405109</v>
      </c>
      <c r="G689" s="227">
        <f>(G625/G612)*X91</f>
        <v>0</v>
      </c>
      <c r="H689" s="229">
        <f>(H628/H612)*X60</f>
        <v>1382.2407952857102</v>
      </c>
      <c r="I689" s="227">
        <f>(I629/I612)*X92</f>
        <v>0</v>
      </c>
      <c r="J689" s="227">
        <f>(J630/J612)*X93</f>
        <v>3021.0078291515447</v>
      </c>
      <c r="K689" s="227">
        <f>(K644/K612)*X89</f>
        <v>377628.86708515865</v>
      </c>
      <c r="L689" s="227">
        <f>(L647/L612)*X94</f>
        <v>0</v>
      </c>
      <c r="M689" s="211">
        <f t="shared" si="24"/>
        <v>510227</v>
      </c>
      <c r="N689" s="221" t="s">
        <v>654</v>
      </c>
    </row>
    <row r="690" spans="1:14" s="211" customFormat="1" ht="12.65" customHeight="1" x14ac:dyDescent="0.3">
      <c r="A690" s="222">
        <v>7140</v>
      </c>
      <c r="B690" s="221" t="s">
        <v>655</v>
      </c>
      <c r="C690" s="227">
        <f>Y85</f>
        <v>5231769</v>
      </c>
      <c r="D690" s="227">
        <f>(D615/D612)*Y90</f>
        <v>342964.70208391844</v>
      </c>
      <c r="E690" s="229">
        <f>(E623/E612)*SUM(C690:D690)</f>
        <v>1128237.8855492685</v>
      </c>
      <c r="F690" s="229">
        <f>(F624/F612)*Y64</f>
        <v>12894.949630507568</v>
      </c>
      <c r="G690" s="227">
        <f>(G625/G612)*Y91</f>
        <v>0</v>
      </c>
      <c r="H690" s="229">
        <f>(H628/H612)*Y60</f>
        <v>13719.766309642817</v>
      </c>
      <c r="I690" s="227">
        <f>(I629/I612)*Y92</f>
        <v>68620.436130644914</v>
      </c>
      <c r="J690" s="227">
        <f>(J630/J612)*Y93</f>
        <v>23756.050695889597</v>
      </c>
      <c r="K690" s="227">
        <f>(K644/K612)*Y89</f>
        <v>445310.18118172453</v>
      </c>
      <c r="L690" s="227">
        <f>(L647/L612)*Y94</f>
        <v>0</v>
      </c>
      <c r="M690" s="211">
        <f t="shared" si="24"/>
        <v>2035504</v>
      </c>
      <c r="N690" s="221" t="s">
        <v>656</v>
      </c>
    </row>
    <row r="691" spans="1:14" s="211" customFormat="1" ht="12.65" customHeight="1" x14ac:dyDescent="0.3">
      <c r="A691" s="222">
        <v>7150</v>
      </c>
      <c r="B691" s="221" t="s">
        <v>657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24"/>
        <v>0</v>
      </c>
      <c r="N691" s="221" t="s">
        <v>658</v>
      </c>
    </row>
    <row r="692" spans="1:14" s="211" customFormat="1" ht="12.65" customHeight="1" x14ac:dyDescent="0.3">
      <c r="A692" s="222">
        <v>7160</v>
      </c>
      <c r="B692" s="221" t="s">
        <v>659</v>
      </c>
      <c r="C692" s="227">
        <f>AA85</f>
        <v>234322</v>
      </c>
      <c r="D692" s="227">
        <f>(D615/D612)*AA90</f>
        <v>37352.591316070328</v>
      </c>
      <c r="E692" s="229">
        <f>(E623/E612)*SUM(C692:D692)</f>
        <v>54982.63824679653</v>
      </c>
      <c r="F692" s="229">
        <f>(F624/F612)*AA64</f>
        <v>1805.3886799781601</v>
      </c>
      <c r="G692" s="227">
        <f>(G625/G612)*AA91</f>
        <v>0</v>
      </c>
      <c r="H692" s="229">
        <f>(H628/H612)*AA60</f>
        <v>328.45325828571333</v>
      </c>
      <c r="I692" s="227">
        <f>(I629/I612)*AA92</f>
        <v>0</v>
      </c>
      <c r="J692" s="227">
        <f>(J630/J612)*AA93</f>
        <v>0</v>
      </c>
      <c r="K692" s="227">
        <f>(K644/K612)*AA89</f>
        <v>14625.414405004396</v>
      </c>
      <c r="L692" s="227">
        <f>(L647/L612)*AA94</f>
        <v>0</v>
      </c>
      <c r="M692" s="211">
        <f t="shared" si="24"/>
        <v>109094</v>
      </c>
      <c r="N692" s="221" t="s">
        <v>660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8217573</v>
      </c>
      <c r="D693" s="227">
        <f>(D615/D612)*AB90</f>
        <v>80211.707150480259</v>
      </c>
      <c r="E693" s="229">
        <f>(E623/E612)*SUM(C693:D693)</f>
        <v>1679340.318845886</v>
      </c>
      <c r="F693" s="229">
        <f>(F624/F612)*AB64</f>
        <v>152647.01213350025</v>
      </c>
      <c r="G693" s="227">
        <f>(G625/G612)*AB91</f>
        <v>0</v>
      </c>
      <c r="H693" s="229">
        <f>(H628/H612)*AB60</f>
        <v>5255.2521325714133</v>
      </c>
      <c r="I693" s="227">
        <f>(I629/I612)*AB92</f>
        <v>14188.271414377125</v>
      </c>
      <c r="J693" s="227">
        <f>(J630/J612)*AB93</f>
        <v>0</v>
      </c>
      <c r="K693" s="227">
        <f>(K644/K612)*AB89</f>
        <v>718205.12942605233</v>
      </c>
      <c r="L693" s="227">
        <f>(L647/L612)*AB94</f>
        <v>0</v>
      </c>
      <c r="M693" s="211">
        <f t="shared" si="24"/>
        <v>2649848</v>
      </c>
      <c r="N693" s="221" t="s">
        <v>661</v>
      </c>
    </row>
    <row r="694" spans="1:14" s="211" customFormat="1" ht="12.65" customHeight="1" x14ac:dyDescent="0.3">
      <c r="A694" s="222">
        <v>7180</v>
      </c>
      <c r="B694" s="221" t="s">
        <v>662</v>
      </c>
      <c r="C694" s="227">
        <f>AC85</f>
        <v>981487</v>
      </c>
      <c r="D694" s="227">
        <f>(D615/D612)*AC90</f>
        <v>29643.456990394876</v>
      </c>
      <c r="E694" s="229">
        <f>(E623/E612)*SUM(C694:D694)</f>
        <v>204636.80415494327</v>
      </c>
      <c r="F694" s="229">
        <f>(F624/F612)*AC64</f>
        <v>2354.5992572953296</v>
      </c>
      <c r="G694" s="227">
        <f>(G625/G612)*AC91</f>
        <v>0</v>
      </c>
      <c r="H694" s="229">
        <f>(H628/H612)*AC60</f>
        <v>0</v>
      </c>
      <c r="I694" s="227">
        <f>(I629/I612)*AC92</f>
        <v>20494.169820766958</v>
      </c>
      <c r="J694" s="227">
        <f>(J630/J612)*AC93</f>
        <v>0</v>
      </c>
      <c r="K694" s="227">
        <f>(K644/K612)*AC89</f>
        <v>51832.308113360392</v>
      </c>
      <c r="L694" s="227">
        <f>(L647/L612)*AC94</f>
        <v>0</v>
      </c>
      <c r="M694" s="211">
        <f t="shared" si="24"/>
        <v>308961</v>
      </c>
      <c r="N694" s="221" t="s">
        <v>663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486192</v>
      </c>
      <c r="D695" s="227">
        <f>(D615/D612)*AD90</f>
        <v>24412.258697972251</v>
      </c>
      <c r="E695" s="229">
        <f>(E623/E612)*SUM(C695:D695)</f>
        <v>103338.22205184499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35181.017119729651</v>
      </c>
      <c r="L695" s="227">
        <f>(L647/L612)*AD94</f>
        <v>0</v>
      </c>
      <c r="M695" s="211">
        <f t="shared" si="24"/>
        <v>162931</v>
      </c>
      <c r="N695" s="221" t="s">
        <v>664</v>
      </c>
    </row>
    <row r="696" spans="1:14" s="211" customFormat="1" ht="12.65" customHeight="1" x14ac:dyDescent="0.3">
      <c r="A696" s="222">
        <v>7200</v>
      </c>
      <c r="B696" s="221" t="s">
        <v>665</v>
      </c>
      <c r="C696" s="227">
        <f>AE85</f>
        <v>834728</v>
      </c>
      <c r="D696" s="227">
        <f>(D615/D612)*AE90</f>
        <v>26798.41932258608</v>
      </c>
      <c r="E696" s="229">
        <f>(E623/E612)*SUM(C696:D696)</f>
        <v>174359.31429657282</v>
      </c>
      <c r="F696" s="229">
        <f>(F624/F612)*AE64</f>
        <v>1075.8908086841598</v>
      </c>
      <c r="G696" s="227">
        <f>(G625/G612)*AE91</f>
        <v>0</v>
      </c>
      <c r="H696" s="229">
        <f>(H628/H612)*AE60</f>
        <v>4406.7478819999878</v>
      </c>
      <c r="I696" s="227">
        <f>(I629/I612)*AE92</f>
        <v>22771.299800852175</v>
      </c>
      <c r="J696" s="227">
        <f>(J630/J612)*AE93</f>
        <v>0</v>
      </c>
      <c r="K696" s="227">
        <f>(K644/K612)*AE89</f>
        <v>57133.599466996748</v>
      </c>
      <c r="L696" s="227">
        <f>(L647/L612)*AE94</f>
        <v>0</v>
      </c>
      <c r="M696" s="211">
        <f t="shared" si="24"/>
        <v>286545</v>
      </c>
      <c r="N696" s="221" t="s">
        <v>666</v>
      </c>
    </row>
    <row r="697" spans="1:14" s="211" customFormat="1" ht="12.65" customHeight="1" x14ac:dyDescent="0.3">
      <c r="A697" s="222">
        <v>7220</v>
      </c>
      <c r="B697" s="221" t="s">
        <v>667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668</v>
      </c>
    </row>
    <row r="698" spans="1:14" s="211" customFormat="1" ht="12.65" customHeight="1" x14ac:dyDescent="0.3">
      <c r="A698" s="222">
        <v>7230</v>
      </c>
      <c r="B698" s="221" t="s">
        <v>669</v>
      </c>
      <c r="C698" s="227">
        <f>AG85</f>
        <v>7386288</v>
      </c>
      <c r="D698" s="227">
        <f>(D615/D612)*AG90</f>
        <v>655459.96849969099</v>
      </c>
      <c r="E698" s="229">
        <f>(E623/E612)*SUM(C698:D698)</f>
        <v>1627522.5345218899</v>
      </c>
      <c r="F698" s="229">
        <f>(F624/F612)*AG64</f>
        <v>10835.003662392697</v>
      </c>
      <c r="G698" s="227">
        <f>(G625/G612)*AG91</f>
        <v>0</v>
      </c>
      <c r="H698" s="229">
        <f>(H628/H612)*AG60</f>
        <v>14800.924951499956</v>
      </c>
      <c r="I698" s="227">
        <f>(I629/I612)*AG92</f>
        <v>179280.1949705554</v>
      </c>
      <c r="J698" s="227">
        <f>(J630/J612)*AG93</f>
        <v>72791.047338705393</v>
      </c>
      <c r="K698" s="227">
        <f>(K644/K612)*AG89</f>
        <v>414123.53195425763</v>
      </c>
      <c r="L698" s="227">
        <f>(L647/L612)*AG94</f>
        <v>410568.364249037</v>
      </c>
      <c r="M698" s="211">
        <f t="shared" si="24"/>
        <v>3385382</v>
      </c>
      <c r="N698" s="221" t="s">
        <v>670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671</v>
      </c>
    </row>
    <row r="700" spans="1:14" s="211" customFormat="1" ht="12.65" customHeight="1" x14ac:dyDescent="0.3">
      <c r="A700" s="222">
        <v>7250</v>
      </c>
      <c r="B700" s="221" t="s">
        <v>672</v>
      </c>
      <c r="C700" s="227">
        <f>AI85</f>
        <v>937922</v>
      </c>
      <c r="D700" s="227">
        <f>(D615/D612)*AI90</f>
        <v>175199.25509183845</v>
      </c>
      <c r="E700" s="229">
        <f>(E623/E612)*SUM(C700:D700)</f>
        <v>225278.12776694653</v>
      </c>
      <c r="F700" s="229">
        <f>(F624/F612)*AI64</f>
        <v>2743.8265678160674</v>
      </c>
      <c r="G700" s="227">
        <f>(G625/G612)*AI91</f>
        <v>148347.81336827588</v>
      </c>
      <c r="H700" s="229">
        <f>(H628/H612)*AI60</f>
        <v>3298.2181352857046</v>
      </c>
      <c r="I700" s="227">
        <f>(I629/I612)*AI92</f>
        <v>52417.780503115486</v>
      </c>
      <c r="J700" s="227">
        <f>(J630/J612)*AI93</f>
        <v>17207.22937633836</v>
      </c>
      <c r="K700" s="227">
        <f>(K644/K612)*AI89</f>
        <v>25715.032715068992</v>
      </c>
      <c r="L700" s="227">
        <f>(L647/L612)*AI94</f>
        <v>91490.500031454387</v>
      </c>
      <c r="M700" s="211">
        <f t="shared" si="24"/>
        <v>741698</v>
      </c>
      <c r="N700" s="221" t="s">
        <v>673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17165670</v>
      </c>
      <c r="D701" s="227">
        <f>(D615/D612)*AJ90</f>
        <v>2873488.044486884</v>
      </c>
      <c r="E701" s="229">
        <f>(E623/E612)*SUM(C701:D701)</f>
        <v>4055608.4843744086</v>
      </c>
      <c r="F701" s="229">
        <f>(F624/F612)*AJ64</f>
        <v>13550.244297204781</v>
      </c>
      <c r="G701" s="227">
        <f>(G625/G612)*AJ91</f>
        <v>0</v>
      </c>
      <c r="H701" s="229">
        <f>(H628/H612)*AJ60</f>
        <v>55364.902349785552</v>
      </c>
      <c r="I701" s="227">
        <f>(I629/I612)*AJ92</f>
        <v>435807.64541938622</v>
      </c>
      <c r="J701" s="227">
        <f>(J630/J612)*AJ93</f>
        <v>7250.17096323449</v>
      </c>
      <c r="K701" s="227">
        <f>(K644/K612)*AJ89</f>
        <v>270191.11556180503</v>
      </c>
      <c r="L701" s="227">
        <f>(L647/L612)*AJ94</f>
        <v>0</v>
      </c>
      <c r="M701" s="211">
        <f t="shared" si="24"/>
        <v>7711261</v>
      </c>
      <c r="N701" s="221" t="s">
        <v>674</v>
      </c>
    </row>
    <row r="702" spans="1:14" s="211" customFormat="1" ht="12.65" customHeight="1" x14ac:dyDescent="0.3">
      <c r="A702" s="222">
        <v>7310</v>
      </c>
      <c r="B702" s="221" t="s">
        <v>675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676</v>
      </c>
    </row>
    <row r="703" spans="1:14" s="211" customFormat="1" ht="12.65" customHeight="1" x14ac:dyDescent="0.3">
      <c r="A703" s="222">
        <v>7320</v>
      </c>
      <c r="B703" s="221" t="s">
        <v>677</v>
      </c>
      <c r="C703" s="227">
        <f>AL85</f>
        <v>476794</v>
      </c>
      <c r="D703" s="227">
        <f>(D615/D612)*AL90</f>
        <v>0</v>
      </c>
      <c r="E703" s="229">
        <f>(E623/E612)*SUM(C703:D703)</f>
        <v>96495.560711983257</v>
      </c>
      <c r="F703" s="229">
        <f>(F624/F612)*AL64</f>
        <v>1313.5948637336314</v>
      </c>
      <c r="G703" s="227">
        <f>(G625/G612)*AL91</f>
        <v>0</v>
      </c>
      <c r="H703" s="229">
        <f>(H628/H612)*AL60</f>
        <v>1827.0212492142803</v>
      </c>
      <c r="I703" s="227">
        <f>(I629/I612)*AL92</f>
        <v>62314.537724255082</v>
      </c>
      <c r="J703" s="227">
        <f>(J630/J612)*AL93</f>
        <v>0</v>
      </c>
      <c r="K703" s="227">
        <f>(K644/K612)*AL89</f>
        <v>41957.585574507611</v>
      </c>
      <c r="L703" s="227">
        <f>(L647/L612)*AL94</f>
        <v>0</v>
      </c>
      <c r="M703" s="211">
        <f t="shared" si="24"/>
        <v>203908</v>
      </c>
      <c r="N703" s="221" t="s">
        <v>678</v>
      </c>
    </row>
    <row r="704" spans="1:14" s="211" customFormat="1" ht="12.65" customHeight="1" x14ac:dyDescent="0.3">
      <c r="A704" s="222">
        <v>7330</v>
      </c>
      <c r="B704" s="221" t="s">
        <v>679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680</v>
      </c>
    </row>
    <row r="705" spans="1:14" s="211" customFormat="1" ht="12.65" customHeight="1" x14ac:dyDescent="0.3">
      <c r="A705" s="222">
        <v>7340</v>
      </c>
      <c r="B705" s="221" t="s">
        <v>681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682</v>
      </c>
    </row>
    <row r="706" spans="1:14" s="211" customFormat="1" ht="12.65" customHeight="1" x14ac:dyDescent="0.3">
      <c r="A706" s="222">
        <v>7350</v>
      </c>
      <c r="B706" s="221" t="s">
        <v>683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60234.024318483745</v>
      </c>
      <c r="L706" s="227">
        <f>(L647/L612)*AO94</f>
        <v>0</v>
      </c>
      <c r="M706" s="211">
        <f t="shared" si="24"/>
        <v>60234</v>
      </c>
      <c r="N706" s="221" t="s">
        <v>684</v>
      </c>
    </row>
    <row r="707" spans="1:14" s="211" customFormat="1" ht="12.65" customHeight="1" x14ac:dyDescent="0.3">
      <c r="A707" s="222">
        <v>7380</v>
      </c>
      <c r="B707" s="221" t="s">
        <v>685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24"/>
        <v>0</v>
      </c>
      <c r="N707" s="221" t="s">
        <v>686</v>
      </c>
    </row>
    <row r="708" spans="1:14" s="211" customFormat="1" ht="12.65" customHeight="1" x14ac:dyDescent="0.3">
      <c r="A708" s="222">
        <v>7390</v>
      </c>
      <c r="B708" s="221" t="s">
        <v>687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688</v>
      </c>
    </row>
    <row r="709" spans="1:14" s="211" customFormat="1" ht="12.65" customHeight="1" x14ac:dyDescent="0.3">
      <c r="A709" s="222">
        <v>7400</v>
      </c>
      <c r="B709" s="221" t="s">
        <v>689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690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691</v>
      </c>
    </row>
    <row r="711" spans="1:14" s="211" customFormat="1" ht="12.65" customHeight="1" x14ac:dyDescent="0.3">
      <c r="A711" s="222">
        <v>7420</v>
      </c>
      <c r="B711" s="221" t="s">
        <v>692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693</v>
      </c>
    </row>
    <row r="712" spans="1:14" s="211" customFormat="1" ht="12.65" customHeight="1" x14ac:dyDescent="0.3">
      <c r="A712" s="222">
        <v>7430</v>
      </c>
      <c r="B712" s="221" t="s">
        <v>694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695</v>
      </c>
    </row>
    <row r="713" spans="1:14" s="211" customFormat="1" ht="12.65" customHeight="1" x14ac:dyDescent="0.3">
      <c r="A713" s="222">
        <v>7490</v>
      </c>
      <c r="B713" s="221" t="s">
        <v>696</v>
      </c>
      <c r="C713" s="227">
        <f>AV85</f>
        <v>3466226</v>
      </c>
      <c r="D713" s="227">
        <f>(D615/D612)*AV90</f>
        <v>127108.9409650059</v>
      </c>
      <c r="E713" s="229">
        <f>(E623/E612)*SUM(C713:D713)</f>
        <v>727234.13036736939</v>
      </c>
      <c r="F713" s="229">
        <f>(F624/F612)*AV64</f>
        <v>10229.689852077057</v>
      </c>
      <c r="G713" s="227">
        <f>(G625/G612)*AV91</f>
        <v>0</v>
      </c>
      <c r="H713" s="229">
        <f>(H628/H612)*AV60</f>
        <v>8881.9235261428312</v>
      </c>
      <c r="I713" s="227">
        <f>(I629/I612)*AV92</f>
        <v>58723.678909505317</v>
      </c>
      <c r="J713" s="227">
        <f>(J630/J612)*AV93</f>
        <v>6210.2528334318449</v>
      </c>
      <c r="K713" s="227">
        <f>(K644/K612)*AV89</f>
        <v>136367.92685134505</v>
      </c>
      <c r="L713" s="227">
        <f>(L647/L612)*AV94</f>
        <v>0</v>
      </c>
      <c r="M713" s="211">
        <f t="shared" si="24"/>
        <v>1074757</v>
      </c>
      <c r="N713" s="223" t="s">
        <v>697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107328801</v>
      </c>
      <c r="D715" s="211">
        <f>SUM(D616:D647)+SUM(D668:D713)</f>
        <v>8169388</v>
      </c>
      <c r="E715" s="211">
        <f>SUM(E624:E647)+SUM(E668:E713)</f>
        <v>18065483.034746956</v>
      </c>
      <c r="F715" s="211">
        <f>SUM(F625:F648)+SUM(F668:F713)</f>
        <v>384671.54989576014</v>
      </c>
      <c r="G715" s="211">
        <f>SUM(G626:G647)+SUM(G668:G713)</f>
        <v>1742545.7738755457</v>
      </c>
      <c r="H715" s="211">
        <f>SUM(H629:H647)+SUM(H668:H713)</f>
        <v>213679.37284349938</v>
      </c>
      <c r="I715" s="211">
        <f>SUM(I630:I647)+SUM(I668:I713)</f>
        <v>1710825.2704224861</v>
      </c>
      <c r="J715" s="211">
        <f>SUM(J631:J647)+SUM(J668:J713)</f>
        <v>328622.91447518679</v>
      </c>
      <c r="K715" s="211">
        <f>SUM(K668:K713)</f>
        <v>5509926.4885859732</v>
      </c>
      <c r="L715" s="211">
        <f>SUM(L668:L713)</f>
        <v>1652523.4300287175</v>
      </c>
      <c r="M715" s="211">
        <f>SUM(M668:M713)</f>
        <v>34753029</v>
      </c>
      <c r="N715" s="221" t="s">
        <v>698</v>
      </c>
    </row>
    <row r="716" spans="1:14" s="211" customFormat="1" ht="12.65" customHeight="1" x14ac:dyDescent="0.3">
      <c r="C716" s="224">
        <f>CE85</f>
        <v>107328801</v>
      </c>
      <c r="D716" s="211">
        <f>D615</f>
        <v>8169388</v>
      </c>
      <c r="E716" s="211">
        <f>E623</f>
        <v>18065483.034746956</v>
      </c>
      <c r="F716" s="211">
        <f>F624</f>
        <v>384671.5498957602</v>
      </c>
      <c r="G716" s="211">
        <f>G625</f>
        <v>1742545.7738755457</v>
      </c>
      <c r="H716" s="211">
        <f>H628</f>
        <v>213679.37284349935</v>
      </c>
      <c r="I716" s="211">
        <f>I629</f>
        <v>1710825.2704224861</v>
      </c>
      <c r="J716" s="211">
        <f>J630</f>
        <v>328622.91447518684</v>
      </c>
      <c r="K716" s="211">
        <f>K644</f>
        <v>5509926.4885859713</v>
      </c>
      <c r="L716" s="211">
        <f>L647</f>
        <v>1652523.4300287175</v>
      </c>
      <c r="M716" s="211">
        <f>C648</f>
        <v>34753029</v>
      </c>
      <c r="N716" s="221" t="s">
        <v>699</v>
      </c>
    </row>
  </sheetData>
  <sheetProtection algorithmName="SHA-512" hashValue="xxT+IRlFEAKfBHDrlEvwXDC1VuxezlhQyi9RhF169mONagpaByV0XzSUKU2N3bPCavSDxsLOXR/MYqV2E3bTYg==" saltValue="OzgL+J9akBRn/0MCEIo7M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EC51-70C3-48F1-9C67-1749AB64AF1C}">
  <sheetPr codeName="Sheet2">
    <tabColor rgb="FF92D050"/>
    <pageSetUpPr fitToPage="1"/>
  </sheetPr>
  <dimension ref="B1:J42"/>
  <sheetViews>
    <sheetView topLeftCell="A28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Astria Sunnyside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H-198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PO Box 719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+data!C100</f>
        <v xml:space="preserve">Sunnyside 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 xml:space="preserve">WA 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1189-FBD4-4795-86AB-CD9934B975F4}">
  <sheetPr codeName="Sheet9">
    <tabColor rgb="FF92D050"/>
  </sheetPr>
  <dimension ref="A2:M94"/>
  <sheetViews>
    <sheetView topLeftCell="A58"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198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727</v>
      </c>
      <c r="C13" s="240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0" t="s">
        <v>365</v>
      </c>
      <c r="C14" s="240" t="s">
        <v>365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0">
        <f>ROUND(N('Prior Year'!C85), 0)</f>
        <v>3729352</v>
      </c>
      <c r="C15" s="240">
        <f>data!C85</f>
        <v>2488536</v>
      </c>
      <c r="D15" s="240">
        <f>ROUND(N('Prior Year'!C59), 0)</f>
        <v>1806</v>
      </c>
      <c r="E15" s="1">
        <f>data!C59</f>
        <v>0</v>
      </c>
      <c r="F15" s="216">
        <f t="shared" ref="F15:F59" si="0">IF(B15=0,"",IF(D15=0,"",B15/D15))</f>
        <v>2064.9789590254704</v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738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739</v>
      </c>
      <c r="B17" s="240">
        <f>ROUND(N('Prior Year'!E85), 0)</f>
        <v>8036296</v>
      </c>
      <c r="C17" s="240">
        <f>data!E85</f>
        <v>8712943</v>
      </c>
      <c r="D17" s="240">
        <f>ROUND(N('Prior Year'!E59), 0)</f>
        <v>4444</v>
      </c>
      <c r="E17" s="1">
        <f>data!E59</f>
        <v>0</v>
      </c>
      <c r="F17" s="216">
        <f t="shared" si="0"/>
        <v>1808.3474347434744</v>
      </c>
      <c r="G17" s="216" t="str">
        <f t="shared" si="1"/>
        <v/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740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741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742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743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744</v>
      </c>
      <c r="B22" s="240">
        <f>ROUND(N('Prior Year'!J85), 0)</f>
        <v>0</v>
      </c>
      <c r="C22" s="240">
        <f>data!J85</f>
        <v>5</v>
      </c>
      <c r="D22" s="240">
        <f>ROUND(N('Prior Year'!J59), 0)</f>
        <v>322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745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746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747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749</v>
      </c>
      <c r="B27" s="240">
        <f>ROUND(N('Prior Year'!O85), 0)</f>
        <v>75674</v>
      </c>
      <c r="C27" s="240">
        <f>data!O85</f>
        <v>0</v>
      </c>
      <c r="D27" s="240">
        <f>ROUND(N('Prior Year'!O59), 0)</f>
        <v>235</v>
      </c>
      <c r="E27" s="1">
        <f>data!O59</f>
        <v>0</v>
      </c>
      <c r="F27" s="216">
        <f t="shared" si="0"/>
        <v>322.01702127659576</v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750</v>
      </c>
      <c r="B28" s="240">
        <f>ROUND(N('Prior Year'!P85), 0)</f>
        <v>5571323</v>
      </c>
      <c r="C28" s="240">
        <f>data!P85</f>
        <v>7417690</v>
      </c>
      <c r="D28" s="240">
        <f>ROUND(N('Prior Year'!P59), 0)</f>
        <v>155238</v>
      </c>
      <c r="E28" s="1">
        <f>data!P59</f>
        <v>0</v>
      </c>
      <c r="F28" s="216">
        <f t="shared" si="0"/>
        <v>35.888912508535284</v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751</v>
      </c>
      <c r="B29" s="240">
        <f>ROUND(N('Prior Year'!Q85), 0)</f>
        <v>693708</v>
      </c>
      <c r="C29" s="240">
        <f>data!Q85</f>
        <v>823606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752</v>
      </c>
      <c r="B30" s="240">
        <f>ROUND(N('Prior Year'!R85), 0)</f>
        <v>1299462</v>
      </c>
      <c r="C30" s="240">
        <f>data!R85</f>
        <v>1184987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753</v>
      </c>
      <c r="B31" s="240">
        <f>ROUND(N('Prior Year'!S85), 0)</f>
        <v>95748</v>
      </c>
      <c r="C31" s="240">
        <f>data!S85</f>
        <v>222297</v>
      </c>
      <c r="D31" s="240" t="s">
        <v>754</v>
      </c>
      <c r="E31" s="4" t="s">
        <v>754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755</v>
      </c>
      <c r="B32" s="240">
        <f>ROUND(N('Prior Year'!T85), 0)</f>
        <v>137828</v>
      </c>
      <c r="C32" s="240">
        <f>data!T85</f>
        <v>138467</v>
      </c>
      <c r="D32" s="240" t="s">
        <v>754</v>
      </c>
      <c r="E32" s="4" t="s">
        <v>754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756</v>
      </c>
      <c r="B33" s="240">
        <f>ROUND(N('Prior Year'!U85), 0)</f>
        <v>4530984</v>
      </c>
      <c r="C33" s="240">
        <f>data!U85</f>
        <v>5246015</v>
      </c>
      <c r="D33" s="240">
        <f>ROUND(N('Prior Year'!U59), 0)</f>
        <v>171757</v>
      </c>
      <c r="E33" s="1">
        <f>data!U59</f>
        <v>0</v>
      </c>
      <c r="F33" s="216">
        <f t="shared" si="0"/>
        <v>26.380199933627161</v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757</v>
      </c>
      <c r="B34" s="240">
        <f>ROUND(N('Prior Year'!V85), 0)</f>
        <v>249504</v>
      </c>
      <c r="C34" s="240">
        <f>data!V85</f>
        <v>220808</v>
      </c>
      <c r="D34" s="240">
        <f>ROUND(N('Prior Year'!V59), 0)</f>
        <v>1033</v>
      </c>
      <c r="E34" s="1">
        <f>data!V59</f>
        <v>0</v>
      </c>
      <c r="F34" s="216">
        <f t="shared" si="0"/>
        <v>241.53339787028074</v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758</v>
      </c>
      <c r="B35" s="240">
        <f>ROUND(N('Prior Year'!W85), 0)</f>
        <v>342717</v>
      </c>
      <c r="C35" s="240">
        <f>data!W85</f>
        <v>310078</v>
      </c>
      <c r="D35" s="240">
        <f>ROUND(N('Prior Year'!W59), 0)</f>
        <v>1341</v>
      </c>
      <c r="E35" s="1">
        <f>data!W59</f>
        <v>0</v>
      </c>
      <c r="F35" s="216">
        <f t="shared" si="0"/>
        <v>255.5682326621924</v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759</v>
      </c>
      <c r="B36" s="240">
        <f>ROUND(N('Prior Year'!X85), 0)</f>
        <v>339281</v>
      </c>
      <c r="C36" s="240">
        <f>data!X85</f>
        <v>391369</v>
      </c>
      <c r="D36" s="240">
        <f>ROUND(N('Prior Year'!X59), 0)</f>
        <v>8769</v>
      </c>
      <c r="E36" s="1">
        <f>data!X59</f>
        <v>0</v>
      </c>
      <c r="F36" s="216">
        <f t="shared" si="0"/>
        <v>38.690956779564374</v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760</v>
      </c>
      <c r="B37" s="240">
        <f>ROUND(N('Prior Year'!Y85), 0)</f>
        <v>5877566</v>
      </c>
      <c r="C37" s="240">
        <f>data!Y85</f>
        <v>5231769</v>
      </c>
      <c r="D37" s="240">
        <f>ROUND(N('Prior Year'!Y59), 0)</f>
        <v>20835</v>
      </c>
      <c r="E37" s="1">
        <f>data!Y59</f>
        <v>0</v>
      </c>
      <c r="F37" s="216">
        <f t="shared" si="0"/>
        <v>282.10059995200385</v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761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762</v>
      </c>
      <c r="B39" s="240">
        <f>ROUND(N('Prior Year'!AA85), 0)</f>
        <v>186674</v>
      </c>
      <c r="C39" s="240">
        <f>data!AA85</f>
        <v>234322</v>
      </c>
      <c r="D39" s="240">
        <f>ROUND(N('Prior Year'!AA59), 0)</f>
        <v>539</v>
      </c>
      <c r="E39" s="1">
        <f>data!AA59</f>
        <v>0</v>
      </c>
      <c r="F39" s="216">
        <f t="shared" si="0"/>
        <v>346.33395176252321</v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763</v>
      </c>
      <c r="B40" s="240">
        <f>ROUND(N('Prior Year'!AB85), 0)</f>
        <v>6458210</v>
      </c>
      <c r="C40" s="240">
        <f>data!AB85</f>
        <v>8217573</v>
      </c>
      <c r="D40" s="240" t="s">
        <v>754</v>
      </c>
      <c r="E40" s="4" t="s">
        <v>754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764</v>
      </c>
      <c r="B41" s="240">
        <f>ROUND(N('Prior Year'!AC85), 0)</f>
        <v>1013871</v>
      </c>
      <c r="C41" s="240">
        <f>data!AC85</f>
        <v>981487</v>
      </c>
      <c r="D41" s="240">
        <f>ROUND(N('Prior Year'!AC59), 0)</f>
        <v>16502</v>
      </c>
      <c r="E41" s="1">
        <f>data!AC59</f>
        <v>0</v>
      </c>
      <c r="F41" s="216">
        <f t="shared" si="0"/>
        <v>61.439280087262148</v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765</v>
      </c>
      <c r="B42" s="240">
        <f>ROUND(N('Prior Year'!AD85), 0)</f>
        <v>405757</v>
      </c>
      <c r="C42" s="240">
        <f>data!AD85</f>
        <v>486192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766</v>
      </c>
      <c r="B43" s="240">
        <f>ROUND(N('Prior Year'!AE85), 0)</f>
        <v>665598</v>
      </c>
      <c r="C43" s="240">
        <f>data!AE85</f>
        <v>834728</v>
      </c>
      <c r="D43" s="240">
        <f>ROUND(N('Prior Year'!AE59), 0)</f>
        <v>14005</v>
      </c>
      <c r="E43" s="1">
        <f>data!AE59</f>
        <v>0</v>
      </c>
      <c r="F43" s="216">
        <f t="shared" si="0"/>
        <v>47.525740806854692</v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767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768</v>
      </c>
      <c r="B45" s="240">
        <f>ROUND(N('Prior Year'!AG85), 0)</f>
        <v>6692075</v>
      </c>
      <c r="C45" s="240">
        <f>data!AG85</f>
        <v>7386288</v>
      </c>
      <c r="D45" s="240">
        <f>ROUND(N('Prior Year'!AG59), 0)</f>
        <v>15437</v>
      </c>
      <c r="E45" s="1">
        <f>data!AG59</f>
        <v>0</v>
      </c>
      <c r="F45" s="216">
        <f t="shared" si="0"/>
        <v>433.50877761223035</v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769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770</v>
      </c>
      <c r="B47" s="240">
        <f>ROUND(N('Prior Year'!AI85), 0)</f>
        <v>831752</v>
      </c>
      <c r="C47" s="240">
        <f>data!AI85</f>
        <v>937922</v>
      </c>
      <c r="D47" s="240">
        <f>ROUND(N('Prior Year'!AI59), 0)</f>
        <v>3121</v>
      </c>
      <c r="E47" s="1">
        <f>data!AI59</f>
        <v>0</v>
      </c>
      <c r="F47" s="216">
        <f t="shared" si="0"/>
        <v>266.50176225568725</v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40">
        <f>ROUND(N('Prior Year'!AJ85), 0)</f>
        <v>16991467</v>
      </c>
      <c r="C48" s="240">
        <f>data!AJ85</f>
        <v>17165670</v>
      </c>
      <c r="D48" s="240">
        <f>ROUND(N('Prior Year'!AJ59), 0)</f>
        <v>48164</v>
      </c>
      <c r="E48" s="1">
        <f>data!AJ59</f>
        <v>0</v>
      </c>
      <c r="F48" s="216">
        <f t="shared" si="0"/>
        <v>352.78355203056225</v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772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773</v>
      </c>
      <c r="B50" s="240">
        <f>ROUND(N('Prior Year'!AL85), 0)</f>
        <v>318324</v>
      </c>
      <c r="C50" s="240">
        <f>data!AL85</f>
        <v>476794</v>
      </c>
      <c r="D50" s="240">
        <f>ROUND(N('Prior Year'!AL59), 0)</f>
        <v>7165</v>
      </c>
      <c r="E50" s="1">
        <f>data!AL59</f>
        <v>0</v>
      </c>
      <c r="F50" s="216">
        <f t="shared" si="0"/>
        <v>44.427634333565948</v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774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775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776</v>
      </c>
      <c r="B53" s="240">
        <f>ROUND(N('Prior Year'!AO85), 0)</f>
        <v>0</v>
      </c>
      <c r="C53" s="240">
        <f>data!AO85</f>
        <v>0</v>
      </c>
      <c r="D53" s="240">
        <f>ROUND(N('Prior Year'!AO59), 0)</f>
        <v>10224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777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778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779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780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781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782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783</v>
      </c>
      <c r="B60" s="240">
        <f>ROUND(N('Prior Year'!AV85), 0)</f>
        <v>1923538</v>
      </c>
      <c r="C60" s="240">
        <f>data!AV85</f>
        <v>3466226</v>
      </c>
      <c r="D60" s="240" t="s">
        <v>754</v>
      </c>
      <c r="E60" s="4" t="s">
        <v>754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784</v>
      </c>
      <c r="B61" s="240">
        <f>ROUND(N('Prior Year'!AW85), 0)</f>
        <v>0</v>
      </c>
      <c r="C61" s="240">
        <f>data!AW85</f>
        <v>0</v>
      </c>
      <c r="D61" s="240" t="s">
        <v>754</v>
      </c>
      <c r="E61" s="4" t="s">
        <v>754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785</v>
      </c>
      <c r="B62" s="240">
        <f>ROUND(N('Prior Year'!AX85), 0)</f>
        <v>0</v>
      </c>
      <c r="C62" s="240">
        <f>data!AX85</f>
        <v>0</v>
      </c>
      <c r="D62" s="240" t="s">
        <v>754</v>
      </c>
      <c r="E62" s="4" t="s">
        <v>754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786</v>
      </c>
      <c r="B63" s="240">
        <f>ROUND(N('Prior Year'!AY85), 0)</f>
        <v>996694</v>
      </c>
      <c r="C63" s="240">
        <f>data!AY85</f>
        <v>1201786</v>
      </c>
      <c r="D63" s="240">
        <f>ROUND(N('Prior Year'!AY59), 0)</f>
        <v>25513</v>
      </c>
      <c r="E63" s="1">
        <f>data!AY59</f>
        <v>24961</v>
      </c>
      <c r="F63" s="216">
        <f>IF(B63=0,"",IF(D63=0,"",B63/D63))</f>
        <v>39.066123152902442</v>
      </c>
      <c r="G63" s="216">
        <f t="shared" si="5"/>
        <v>48.146548615840715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787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788</v>
      </c>
      <c r="B65" s="240">
        <f>ROUND(N('Prior Year'!BA85), 0)</f>
        <v>275037</v>
      </c>
      <c r="C65" s="240">
        <f>data!BA85</f>
        <v>273226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789</v>
      </c>
      <c r="B66" s="240">
        <f>ROUND(N('Prior Year'!BB85), 0)</f>
        <v>125104</v>
      </c>
      <c r="C66" s="240">
        <f>data!BB85</f>
        <v>155525</v>
      </c>
      <c r="D66" s="240" t="s">
        <v>754</v>
      </c>
      <c r="E66" s="4" t="s">
        <v>754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790</v>
      </c>
      <c r="B67" s="240">
        <f>ROUND(N('Prior Year'!BC85), 0)</f>
        <v>0</v>
      </c>
      <c r="C67" s="240">
        <f>data!BC85</f>
        <v>0</v>
      </c>
      <c r="D67" s="240" t="s">
        <v>754</v>
      </c>
      <c r="E67" s="4" t="s">
        <v>754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791</v>
      </c>
      <c r="B68" s="240">
        <f>ROUND(N('Prior Year'!BD85), 0)</f>
        <v>-32633</v>
      </c>
      <c r="C68" s="240">
        <f>data!BD85</f>
        <v>242282</v>
      </c>
      <c r="D68" s="240" t="s">
        <v>754</v>
      </c>
      <c r="E68" s="4" t="s">
        <v>754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792</v>
      </c>
      <c r="B69" s="240">
        <f>ROUND(N('Prior Year'!BE85), 0)</f>
        <v>1599462</v>
      </c>
      <c r="C69" s="240">
        <f>data!BE85</f>
        <v>1928188</v>
      </c>
      <c r="D69" s="240">
        <f>ROUND(N('Prior Year'!BE59), 0)</f>
        <v>112246</v>
      </c>
      <c r="E69" s="1">
        <f>data!BE59</f>
        <v>101551</v>
      </c>
      <c r="F69" s="216">
        <f>IF(B69=0,"",IF(D69=0,"",B69/D69))</f>
        <v>14.249612458350409</v>
      </c>
      <c r="G69" s="216">
        <f t="shared" si="5"/>
        <v>18.987385648590365</v>
      </c>
      <c r="H69" s="6">
        <f>IF(B69 = 0, "", IF(C69 = 0, "", IF(D69 = 0, "", IF(E69 = 0, "", IF(G69 / F69 - 1 &lt; -0.25, G69 / F69 - 1, IF(G69 / F69 - 1 &gt; 0.25, G69 / F69 - 1, ""))))))</f>
        <v>0.33248435380876451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793</v>
      </c>
      <c r="B70" s="240">
        <f>ROUND(N('Prior Year'!BF85), 0)</f>
        <v>1245384</v>
      </c>
      <c r="C70" s="240">
        <f>data!BF85</f>
        <v>1316767</v>
      </c>
      <c r="D70" s="240" t="s">
        <v>754</v>
      </c>
      <c r="E70" s="4" t="s">
        <v>754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794</v>
      </c>
      <c r="B71" s="240">
        <f>ROUND(N('Prior Year'!BG85), 0)</f>
        <v>0</v>
      </c>
      <c r="C71" s="240">
        <f>data!BG85</f>
        <v>0</v>
      </c>
      <c r="D71" s="240" t="s">
        <v>754</v>
      </c>
      <c r="E71" s="4" t="s">
        <v>754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795</v>
      </c>
      <c r="B72" s="240">
        <f>ROUND(N('Prior Year'!BH85), 0)</f>
        <v>1616473</v>
      </c>
      <c r="C72" s="240">
        <f>data!BH85</f>
        <v>2129916</v>
      </c>
      <c r="D72" s="240" t="s">
        <v>754</v>
      </c>
      <c r="E72" s="4" t="s">
        <v>754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796</v>
      </c>
      <c r="B73" s="240">
        <f>ROUND(N('Prior Year'!BI85), 0)</f>
        <v>212935</v>
      </c>
      <c r="C73" s="240">
        <f>data!BI85</f>
        <v>312113</v>
      </c>
      <c r="D73" s="240" t="s">
        <v>754</v>
      </c>
      <c r="E73" s="4" t="s">
        <v>754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797</v>
      </c>
      <c r="B74" s="240">
        <f>ROUND(N('Prior Year'!BJ85), 0)</f>
        <v>419705</v>
      </c>
      <c r="C74" s="240">
        <f>data!BJ85</f>
        <v>423482</v>
      </c>
      <c r="D74" s="240" t="s">
        <v>754</v>
      </c>
      <c r="E74" s="4" t="s">
        <v>754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798</v>
      </c>
      <c r="B75" s="240">
        <f>ROUND(N('Prior Year'!BK85), 0)</f>
        <v>42458</v>
      </c>
      <c r="C75" s="240">
        <f>data!BK85</f>
        <v>0</v>
      </c>
      <c r="D75" s="240" t="s">
        <v>754</v>
      </c>
      <c r="E75" s="4" t="s">
        <v>754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799</v>
      </c>
      <c r="B76" s="240">
        <f>ROUND(N('Prior Year'!BL85), 0)</f>
        <v>1139789</v>
      </c>
      <c r="C76" s="240">
        <f>data!BL85</f>
        <v>1184681</v>
      </c>
      <c r="D76" s="240" t="s">
        <v>754</v>
      </c>
      <c r="E76" s="4" t="s">
        <v>754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800</v>
      </c>
      <c r="B77" s="240">
        <f>ROUND(N('Prior Year'!BM85), 0)</f>
        <v>0</v>
      </c>
      <c r="C77" s="240">
        <f>data!BM85</f>
        <v>0</v>
      </c>
      <c r="D77" s="240" t="s">
        <v>754</v>
      </c>
      <c r="E77" s="4" t="s">
        <v>754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801</v>
      </c>
      <c r="B78" s="240">
        <f>ROUND(N('Prior Year'!BN85), 0)</f>
        <v>15571367</v>
      </c>
      <c r="C78" s="240">
        <f>data!BN85</f>
        <v>15278539</v>
      </c>
      <c r="D78" s="240" t="s">
        <v>754</v>
      </c>
      <c r="E78" s="4" t="s">
        <v>754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802</v>
      </c>
      <c r="B79" s="240">
        <f>ROUND(N('Prior Year'!BO85), 0)</f>
        <v>0</v>
      </c>
      <c r="C79" s="240">
        <f>data!BO85</f>
        <v>5043</v>
      </c>
      <c r="D79" s="240" t="s">
        <v>754</v>
      </c>
      <c r="E79" s="4" t="s">
        <v>754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0">
        <f>ROUND(N('Prior Year'!BP85), 0)</f>
        <v>0</v>
      </c>
      <c r="C80" s="240">
        <f>data!BP85</f>
        <v>0</v>
      </c>
      <c r="D80" s="240" t="s">
        <v>754</v>
      </c>
      <c r="E80" s="4" t="s">
        <v>754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804</v>
      </c>
      <c r="B81" s="240">
        <f>ROUND(N('Prior Year'!BQ85), 0)</f>
        <v>303962</v>
      </c>
      <c r="C81" s="240">
        <f>data!BQ85</f>
        <v>346834</v>
      </c>
      <c r="D81" s="240" t="s">
        <v>754</v>
      </c>
      <c r="E81" s="4" t="s">
        <v>754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805</v>
      </c>
      <c r="B82" s="240">
        <f>ROUND(N('Prior Year'!BR85), 0)</f>
        <v>65212</v>
      </c>
      <c r="C82" s="240">
        <f>data!BR85</f>
        <v>172452</v>
      </c>
      <c r="D82" s="240" t="s">
        <v>754</v>
      </c>
      <c r="E82" s="4" t="s">
        <v>754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806</v>
      </c>
      <c r="B83" s="240">
        <f>ROUND(N('Prior Year'!BS85), 0)</f>
        <v>0</v>
      </c>
      <c r="C83" s="240">
        <f>data!BS85</f>
        <v>0</v>
      </c>
      <c r="D83" s="240" t="s">
        <v>754</v>
      </c>
      <c r="E83" s="4" t="s">
        <v>754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807</v>
      </c>
      <c r="B84" s="240">
        <f>ROUND(N('Prior Year'!BT85), 0)</f>
        <v>0</v>
      </c>
      <c r="C84" s="240">
        <f>data!BT85</f>
        <v>0</v>
      </c>
      <c r="D84" s="240" t="s">
        <v>754</v>
      </c>
      <c r="E84" s="4" t="s">
        <v>754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808</v>
      </c>
      <c r="B85" s="240">
        <f>ROUND(N('Prior Year'!BU85), 0)</f>
        <v>0</v>
      </c>
      <c r="C85" s="240">
        <f>data!BU85</f>
        <v>0</v>
      </c>
      <c r="D85" s="240" t="s">
        <v>754</v>
      </c>
      <c r="E85" s="4" t="s">
        <v>754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809</v>
      </c>
      <c r="B86" s="240">
        <f>ROUND(N('Prior Year'!BV85), 0)</f>
        <v>669875</v>
      </c>
      <c r="C86" s="240">
        <f>data!BV85</f>
        <v>516555</v>
      </c>
      <c r="D86" s="240" t="s">
        <v>754</v>
      </c>
      <c r="E86" s="4" t="s">
        <v>754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810</v>
      </c>
      <c r="B87" s="240">
        <f>ROUND(N('Prior Year'!BW85), 0)</f>
        <v>0</v>
      </c>
      <c r="C87" s="240">
        <f>data!BW85</f>
        <v>0</v>
      </c>
      <c r="D87" s="240" t="s">
        <v>754</v>
      </c>
      <c r="E87" s="4" t="s">
        <v>754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811</v>
      </c>
      <c r="B88" s="240">
        <f>ROUND(N('Prior Year'!BX85), 0)</f>
        <v>0</v>
      </c>
      <c r="C88" s="240">
        <f>data!BX85</f>
        <v>0</v>
      </c>
      <c r="D88" s="240" t="s">
        <v>754</v>
      </c>
      <c r="E88" s="4" t="s">
        <v>754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812</v>
      </c>
      <c r="B89" s="240">
        <f>ROUND(N('Prior Year'!BY85), 0)</f>
        <v>1397367</v>
      </c>
      <c r="C89" s="240">
        <f>data!BY85</f>
        <v>1234589</v>
      </c>
      <c r="D89" s="240" t="s">
        <v>754</v>
      </c>
      <c r="E89" s="4" t="s">
        <v>754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813</v>
      </c>
      <c r="B90" s="240">
        <f>ROUND(N('Prior Year'!BZ85), 0)</f>
        <v>0</v>
      </c>
      <c r="C90" s="240">
        <f>data!BZ85</f>
        <v>0</v>
      </c>
      <c r="D90" s="240" t="s">
        <v>754</v>
      </c>
      <c r="E90" s="4" t="s">
        <v>754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814</v>
      </c>
      <c r="B91" s="240">
        <f>ROUND(N('Prior Year'!CA85), 0)</f>
        <v>0</v>
      </c>
      <c r="C91" s="240">
        <f>data!CA85</f>
        <v>0</v>
      </c>
      <c r="D91" s="240" t="s">
        <v>754</v>
      </c>
      <c r="E91" s="4" t="s">
        <v>754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815</v>
      </c>
      <c r="B92" s="240">
        <f>ROUND(N('Prior Year'!CB85), 0)</f>
        <v>0</v>
      </c>
      <c r="C92" s="240">
        <f>data!CB85</f>
        <v>0</v>
      </c>
      <c r="D92" s="240" t="s">
        <v>754</v>
      </c>
      <c r="E92" s="4" t="s">
        <v>754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816</v>
      </c>
      <c r="B93" s="240">
        <f>ROUND(N('Prior Year'!CC85), 0)</f>
        <v>1786707</v>
      </c>
      <c r="C93" s="240">
        <f>data!CC85</f>
        <v>1789851</v>
      </c>
      <c r="D93" s="240" t="s">
        <v>754</v>
      </c>
      <c r="E93" s="4" t="s">
        <v>754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817</v>
      </c>
      <c r="B94" s="240">
        <f>ROUND(N('Prior Year'!CD85), 0)</f>
        <v>0</v>
      </c>
      <c r="C94" s="240">
        <f>data!CD85</f>
        <v>6241200</v>
      </c>
      <c r="D94" s="240" t="s">
        <v>754</v>
      </c>
      <c r="E94" s="4" t="s">
        <v>754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4824-B07E-4367-B889-3A29E9C63F8B}">
  <sheetPr>
    <tabColor rgb="FF92D050"/>
  </sheetPr>
  <dimension ref="A1:D36"/>
  <sheetViews>
    <sheetView workbookViewId="0">
      <selection activeCell="A30" sqref="A30"/>
    </sheetView>
  </sheetViews>
  <sheetFormatPr defaultRowHeight="12.5" x14ac:dyDescent="0.25"/>
  <sheetData>
    <row r="1" spans="1:4" ht="14.5" x14ac:dyDescent="0.35">
      <c r="A1" s="262" t="s">
        <v>818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819</v>
      </c>
      <c r="B3" s="261"/>
      <c r="C3" s="261"/>
      <c r="D3" s="261"/>
    </row>
    <row r="4" spans="1:4" ht="14.5" x14ac:dyDescent="0.35">
      <c r="A4" s="261" t="s">
        <v>820</v>
      </c>
      <c r="B4" s="261"/>
      <c r="C4" s="261"/>
      <c r="D4" s="261"/>
    </row>
    <row r="5" spans="1:4" ht="14.5" x14ac:dyDescent="0.35">
      <c r="A5" s="261" t="s">
        <v>821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822</v>
      </c>
      <c r="B7" s="261"/>
      <c r="C7" s="261"/>
      <c r="D7" s="261"/>
    </row>
    <row r="8" spans="1:4" ht="14.5" x14ac:dyDescent="0.35">
      <c r="A8" s="261" t="s">
        <v>823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824</v>
      </c>
      <c r="B11" s="261"/>
      <c r="C11" s="261"/>
      <c r="D11" s="261">
        <f>N(data!C380)</f>
        <v>118573</v>
      </c>
    </row>
    <row r="12" spans="1:4" ht="14.5" x14ac:dyDescent="0.35">
      <c r="A12" s="263" t="s">
        <v>825</v>
      </c>
      <c r="B12" s="261"/>
      <c r="C12" s="261"/>
      <c r="D12" s="261" t="str">
        <f>IF(OR(N(data!C380) &gt; 1000000, N(data!C380) / (N(data!D360) + N(data!D383)) &gt; 0.01), "Yes", "No")</f>
        <v>No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826</v>
      </c>
      <c r="B14" s="261"/>
      <c r="C14" s="261"/>
      <c r="D14" s="263" t="s">
        <v>827</v>
      </c>
    </row>
    <row r="15" spans="1:4" ht="14.5" x14ac:dyDescent="0.35">
      <c r="A15" s="261" t="s">
        <v>828</v>
      </c>
      <c r="B15" s="261"/>
      <c r="C15" s="261"/>
      <c r="D15" s="261"/>
    </row>
    <row r="16" spans="1:4" ht="14.5" x14ac:dyDescent="0.35">
      <c r="A16" s="261" t="s">
        <v>828</v>
      </c>
      <c r="B16" s="261"/>
      <c r="C16" s="261"/>
      <c r="D16" s="261"/>
    </row>
    <row r="17" spans="1:4" ht="14.5" x14ac:dyDescent="0.35">
      <c r="A17" s="261" t="s">
        <v>828</v>
      </c>
      <c r="B17" s="261"/>
      <c r="C17" s="261"/>
      <c r="D17" s="261"/>
    </row>
    <row r="18" spans="1:4" ht="14.5" x14ac:dyDescent="0.35">
      <c r="A18" s="261" t="s">
        <v>828</v>
      </c>
      <c r="B18" s="261"/>
      <c r="C18" s="261"/>
      <c r="D18" s="261"/>
    </row>
    <row r="19" spans="1:4" ht="14.5" x14ac:dyDescent="0.35">
      <c r="A19" s="261" t="s">
        <v>828</v>
      </c>
      <c r="B19" s="261"/>
      <c r="C19" s="261"/>
      <c r="D19" s="261"/>
    </row>
    <row r="20" spans="1:4" ht="14.5" x14ac:dyDescent="0.35">
      <c r="A20" s="261" t="s">
        <v>828</v>
      </c>
      <c r="B20" s="261"/>
      <c r="C20" s="261"/>
      <c r="D20" s="261"/>
    </row>
    <row r="21" spans="1:4" ht="14.5" x14ac:dyDescent="0.35">
      <c r="A21" s="261" t="s">
        <v>828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829</v>
      </c>
      <c r="B25" s="261"/>
      <c r="C25" s="261"/>
      <c r="D25" s="261">
        <f>N(data!C414)</f>
        <v>784215</v>
      </c>
    </row>
    <row r="26" spans="1:4" ht="14.5" x14ac:dyDescent="0.35">
      <c r="A26" s="263" t="s">
        <v>825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826</v>
      </c>
      <c r="B28" s="261"/>
      <c r="C28" s="261"/>
      <c r="D28" s="263" t="s">
        <v>827</v>
      </c>
    </row>
    <row r="29" spans="1:4" ht="14.5" x14ac:dyDescent="0.35">
      <c r="A29" s="1" t="s">
        <v>1367</v>
      </c>
      <c r="B29" s="261"/>
      <c r="C29" s="261"/>
      <c r="D29" s="261">
        <v>4471765</v>
      </c>
    </row>
    <row r="30" spans="1:4" ht="14.5" x14ac:dyDescent="0.35">
      <c r="A30" s="261" t="s">
        <v>830</v>
      </c>
      <c r="B30" s="261"/>
      <c r="C30" s="261"/>
      <c r="D30" s="261"/>
    </row>
    <row r="31" spans="1:4" ht="14.5" x14ac:dyDescent="0.35">
      <c r="A31" s="261" t="s">
        <v>830</v>
      </c>
      <c r="B31" s="261"/>
      <c r="C31" s="261"/>
      <c r="D31" s="261"/>
    </row>
    <row r="32" spans="1:4" ht="14.5" x14ac:dyDescent="0.35">
      <c r="A32" s="261" t="s">
        <v>830</v>
      </c>
      <c r="B32" s="261"/>
      <c r="C32" s="261"/>
      <c r="D32" s="261"/>
    </row>
    <row r="33" spans="1:4" ht="14.5" x14ac:dyDescent="0.35">
      <c r="A33" s="261" t="s">
        <v>830</v>
      </c>
      <c r="B33" s="261"/>
      <c r="C33" s="261"/>
      <c r="D33" s="261"/>
    </row>
    <row r="34" spans="1:4" ht="14.5" x14ac:dyDescent="0.35">
      <c r="A34" s="261" t="s">
        <v>830</v>
      </c>
      <c r="B34" s="261"/>
      <c r="C34" s="261"/>
      <c r="D34" s="261"/>
    </row>
    <row r="35" spans="1:4" ht="14.5" x14ac:dyDescent="0.35">
      <c r="A35" s="261" t="s">
        <v>830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E0D2-A1D4-40AE-8F4C-EF3EF01921E5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H-198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Astria Sunnyside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98944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833</v>
      </c>
      <c r="C7" s="76"/>
      <c r="D7" s="73" t="str">
        <f>"  "&amp;data!C103</f>
        <v xml:space="preserve">  Yakima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834</v>
      </c>
      <c r="C8" s="76"/>
      <c r="D8" s="73" t="str">
        <f>"  "&amp;data!C104</f>
        <v xml:space="preserve">  Brian P. Gibbons, Jr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835</v>
      </c>
      <c r="C9" s="76"/>
      <c r="D9" s="73" t="str">
        <f>"  "&amp;data!C105</f>
        <v xml:space="preserve">  Maxwell Owens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836</v>
      </c>
      <c r="C10" s="76"/>
      <c r="D10" s="73" t="str">
        <f>"  "&amp;data!C107</f>
        <v xml:space="preserve">  (509) 837-1641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837</v>
      </c>
      <c r="C11" s="76"/>
      <c r="D11" s="73" t="str">
        <f>"  "&amp;data!C108</f>
        <v xml:space="preserve">  (509) 837-1512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839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413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840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841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1274</v>
      </c>
      <c r="G23" s="76">
        <f>data!D127</f>
        <v>6338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1</v>
      </c>
      <c r="G24" s="76">
        <f>data!D128</f>
        <v>6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223</v>
      </c>
      <c r="G26" s="76">
        <f>data!D130</f>
        <v>289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846</v>
      </c>
      <c r="C29" s="76"/>
      <c r="D29" s="88" t="s">
        <v>194</v>
      </c>
      <c r="E29" s="92" t="s">
        <v>846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7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847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848</v>
      </c>
      <c r="C32" s="76"/>
      <c r="D32" s="76">
        <f>data!C134</f>
        <v>14</v>
      </c>
      <c r="E32" s="73" t="s">
        <v>849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850</v>
      </c>
      <c r="C33" s="76"/>
      <c r="D33" s="76">
        <f>data!C135</f>
        <v>0</v>
      </c>
      <c r="E33" s="73" t="s">
        <v>851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852</v>
      </c>
      <c r="C34" s="76"/>
      <c r="D34" s="76">
        <f>data!C136</f>
        <v>4</v>
      </c>
      <c r="E34" s="73" t="s">
        <v>352</v>
      </c>
      <c r="F34" s="76"/>
      <c r="G34" s="76">
        <f>data!E143</f>
        <v>25</v>
      </c>
    </row>
    <row r="35" spans="1:7" ht="20.149999999999999" customHeight="1" x14ac:dyDescent="0.35">
      <c r="A35" s="72"/>
      <c r="B35" s="92" t="s">
        <v>853</v>
      </c>
      <c r="C35" s="76"/>
      <c r="D35" s="76">
        <f>data!C137</f>
        <v>0</v>
      </c>
      <c r="E35" s="73" t="s">
        <v>854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38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6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855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79342-39FA-4A68-B959-F8A3236795D5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856</v>
      </c>
      <c r="G1" s="70" t="s">
        <v>857</v>
      </c>
    </row>
    <row r="2" spans="1:7" ht="20.149999999999999" customHeight="1" x14ac:dyDescent="0.35">
      <c r="A2" s="1" t="str">
        <f>"Hospital: "&amp;data!C98</f>
        <v>Hospital: Astria Sunnyside Hospital</v>
      </c>
      <c r="G2" s="4" t="s">
        <v>858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859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860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861</v>
      </c>
      <c r="B6" s="88" t="s">
        <v>337</v>
      </c>
      <c r="C6" s="88" t="s">
        <v>862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666</v>
      </c>
      <c r="C7" s="136">
        <f>data!B155</f>
        <v>3323</v>
      </c>
      <c r="D7" s="136">
        <f>data!B156</f>
        <v>28064</v>
      </c>
      <c r="E7" s="136">
        <f>data!B157</f>
        <v>41351062</v>
      </c>
      <c r="F7" s="136">
        <f>data!B158</f>
        <v>86389408</v>
      </c>
      <c r="G7" s="136">
        <f>data!B157+data!B158</f>
        <v>127740470</v>
      </c>
    </row>
    <row r="8" spans="1:7" ht="20.149999999999999" customHeight="1" x14ac:dyDescent="0.35">
      <c r="A8" s="72" t="s">
        <v>359</v>
      </c>
      <c r="B8" s="136">
        <f>data!C154</f>
        <v>361</v>
      </c>
      <c r="C8" s="136">
        <f>data!C155</f>
        <v>1787</v>
      </c>
      <c r="D8" s="136">
        <f>data!C156</f>
        <v>25544</v>
      </c>
      <c r="E8" s="136">
        <f>data!C157</f>
        <v>22274144</v>
      </c>
      <c r="F8" s="136">
        <f>data!C158</f>
        <v>78630510</v>
      </c>
      <c r="G8" s="136">
        <f>data!C157+data!C158</f>
        <v>100904654</v>
      </c>
    </row>
    <row r="9" spans="1:7" ht="20.149999999999999" customHeight="1" x14ac:dyDescent="0.35">
      <c r="A9" s="72" t="s">
        <v>863</v>
      </c>
      <c r="B9" s="136">
        <f>data!D154</f>
        <v>247</v>
      </c>
      <c r="C9" s="136">
        <f>data!D155</f>
        <v>1228</v>
      </c>
      <c r="D9" s="136">
        <f>data!D156</f>
        <v>22441</v>
      </c>
      <c r="E9" s="136">
        <f>data!D157</f>
        <v>15289700</v>
      </c>
      <c r="F9" s="136">
        <f>data!D158</f>
        <v>69078527</v>
      </c>
      <c r="G9" s="136">
        <f>data!D157+data!D158</f>
        <v>84368227</v>
      </c>
    </row>
    <row r="10" spans="1:7" ht="20.149999999999999" customHeight="1" x14ac:dyDescent="0.35">
      <c r="A10" s="87" t="s">
        <v>230</v>
      </c>
      <c r="B10" s="136">
        <f>data!E154</f>
        <v>1274</v>
      </c>
      <c r="C10" s="136">
        <f>data!E155</f>
        <v>6338</v>
      </c>
      <c r="D10" s="136">
        <f>data!E156</f>
        <v>76049</v>
      </c>
      <c r="E10" s="136">
        <f>data!E157</f>
        <v>78914906</v>
      </c>
      <c r="F10" s="136">
        <f>data!E158</f>
        <v>234098445</v>
      </c>
      <c r="G10" s="136">
        <f>E10+F10</f>
        <v>313013351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864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860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861</v>
      </c>
      <c r="B15" s="88" t="s">
        <v>337</v>
      </c>
      <c r="C15" s="88" t="s">
        <v>862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1</v>
      </c>
      <c r="C16" s="136">
        <f>data!B161</f>
        <v>6</v>
      </c>
      <c r="D16" s="136">
        <f>data!B162</f>
        <v>0</v>
      </c>
      <c r="E16" s="136">
        <f>data!B163</f>
        <v>13782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863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1</v>
      </c>
      <c r="C19" s="136">
        <f>data!E161</f>
        <v>6</v>
      </c>
      <c r="D19" s="136">
        <f>data!E162</f>
        <v>0</v>
      </c>
      <c r="E19" s="136">
        <f>data!E163</f>
        <v>13782</v>
      </c>
      <c r="F19" s="136">
        <f>data!E164</f>
        <v>0</v>
      </c>
      <c r="G19" s="136">
        <f>data!E163+data!E164</f>
        <v>13782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865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860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861</v>
      </c>
      <c r="B24" s="88" t="s">
        <v>337</v>
      </c>
      <c r="C24" s="88" t="s">
        <v>862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866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867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868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322B-9340-4165-8E19-31B353675E5D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869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Astria Sunnyside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870</v>
      </c>
      <c r="C6" s="72">
        <f>data!C181</f>
        <v>2149999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129509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386501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5754166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984621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53117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871</v>
      </c>
      <c r="C14" s="72">
        <f>data!D189</f>
        <v>9457913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872</v>
      </c>
      <c r="C18" s="72">
        <f>data!C191</f>
        <v>779397</v>
      </c>
    </row>
    <row r="19" spans="1:3" ht="20.149999999999999" customHeight="1" x14ac:dyDescent="0.35">
      <c r="A19" s="72">
        <v>13</v>
      </c>
      <c r="B19" s="73" t="s">
        <v>873</v>
      </c>
      <c r="C19" s="72">
        <f>data!C192</f>
        <v>400015</v>
      </c>
    </row>
    <row r="20" spans="1:3" ht="20.149999999999999" customHeight="1" x14ac:dyDescent="0.35">
      <c r="A20" s="72">
        <v>14</v>
      </c>
      <c r="B20" s="73" t="s">
        <v>874</v>
      </c>
      <c r="C20" s="72">
        <f>data!D193</f>
        <v>1179412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875</v>
      </c>
      <c r="C24" s="157"/>
    </row>
    <row r="25" spans="1:3" ht="20.149999999999999" customHeight="1" x14ac:dyDescent="0.35">
      <c r="A25" s="72">
        <v>17</v>
      </c>
      <c r="B25" s="73" t="s">
        <v>876</v>
      </c>
      <c r="C25" s="72">
        <f>data!C195</f>
        <v>1754537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14898</v>
      </c>
    </row>
    <row r="27" spans="1:3" ht="20.149999999999999" customHeight="1" x14ac:dyDescent="0.35">
      <c r="A27" s="72">
        <v>19</v>
      </c>
      <c r="B27" s="73" t="s">
        <v>877</v>
      </c>
      <c r="C27" s="72">
        <f>data!D197</f>
        <v>1769435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878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131613.97</v>
      </c>
    </row>
    <row r="32" spans="1:3" ht="20.149999999999999" customHeight="1" x14ac:dyDescent="0.35">
      <c r="A32" s="72">
        <v>22</v>
      </c>
      <c r="B32" s="73" t="s">
        <v>879</v>
      </c>
      <c r="C32" s="72">
        <f>data!C200</f>
        <v>1089637.1499999999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880</v>
      </c>
      <c r="C34" s="72">
        <f>data!D202</f>
        <v>1221251.1199999999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881</v>
      </c>
      <c r="C38" s="72">
        <f>data!C204</f>
        <v>4371676.3899999997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100088.16</v>
      </c>
    </row>
    <row r="40" spans="1:3" ht="20.149999999999999" customHeight="1" x14ac:dyDescent="0.35">
      <c r="A40" s="72">
        <v>28</v>
      </c>
      <c r="B40" s="73" t="s">
        <v>882</v>
      </c>
      <c r="C40" s="72">
        <f>data!D206</f>
        <v>4471764.55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B75B-80EC-4058-8D03-557559BD30B4}">
  <sheetPr codeName="Sheet6">
    <pageSetUpPr fitToPage="1"/>
  </sheetPr>
  <dimension ref="A1:F32"/>
  <sheetViews>
    <sheetView workbookViewId="0">
      <selection activeCell="P15" sqref="P15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883</v>
      </c>
    </row>
    <row r="3" spans="1:6" ht="20.149999999999999" customHeight="1" x14ac:dyDescent="0.35">
      <c r="A3" s="129" t="str">
        <f>"Hospital: "&amp;data!C98</f>
        <v>Hospital: Astria Sunnyside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884</v>
      </c>
      <c r="D5" s="160"/>
      <c r="E5" s="160"/>
      <c r="F5" s="160" t="s">
        <v>885</v>
      </c>
    </row>
    <row r="6" spans="1:6" ht="20.149999999999999" customHeight="1" x14ac:dyDescent="0.35">
      <c r="A6" s="161"/>
      <c r="B6" s="79"/>
      <c r="C6" s="162" t="s">
        <v>886</v>
      </c>
      <c r="D6" s="162" t="s">
        <v>391</v>
      </c>
      <c r="E6" s="162" t="s">
        <v>887</v>
      </c>
      <c r="F6" s="162" t="s">
        <v>886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5072349</v>
      </c>
      <c r="D7" s="76">
        <f>data!C211</f>
        <v>0</v>
      </c>
      <c r="E7" s="76">
        <f>data!D211</f>
        <v>0</v>
      </c>
      <c r="F7" s="76">
        <f>data!E211</f>
        <v>5072349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1430910</v>
      </c>
      <c r="D8" s="76">
        <f>data!C212</f>
        <v>0</v>
      </c>
      <c r="E8" s="76">
        <f>data!D212</f>
        <v>0</v>
      </c>
      <c r="F8" s="76">
        <f>data!E212</f>
        <v>1430910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24903609</v>
      </c>
      <c r="D9" s="76">
        <f>data!C213</f>
        <v>252889</v>
      </c>
      <c r="E9" s="76">
        <f>data!D213</f>
        <v>0</v>
      </c>
      <c r="F9" s="76">
        <f>data!E213</f>
        <v>25156498</v>
      </c>
    </row>
    <row r="10" spans="1:6" ht="20.149999999999999" customHeight="1" x14ac:dyDescent="0.35">
      <c r="A10" s="72">
        <v>4</v>
      </c>
      <c r="B10" s="76" t="s">
        <v>888</v>
      </c>
      <c r="C10" s="76">
        <f>data!B214</f>
        <v>2858222</v>
      </c>
      <c r="D10" s="76">
        <f>data!C214</f>
        <v>30711</v>
      </c>
      <c r="E10" s="76">
        <f>data!D214</f>
        <v>0</v>
      </c>
      <c r="F10" s="76">
        <f>data!E214</f>
        <v>2888933</v>
      </c>
    </row>
    <row r="11" spans="1:6" ht="20.149999999999999" customHeight="1" x14ac:dyDescent="0.35">
      <c r="A11" s="72">
        <v>5</v>
      </c>
      <c r="B11" s="76" t="s">
        <v>889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890</v>
      </c>
      <c r="C12" s="76">
        <f>data!B216</f>
        <v>27629337</v>
      </c>
      <c r="D12" s="76">
        <f>data!C216</f>
        <v>280473</v>
      </c>
      <c r="E12" s="76">
        <f>data!D216</f>
        <v>0</v>
      </c>
      <c r="F12" s="76">
        <f>data!E216</f>
        <v>27909810</v>
      </c>
    </row>
    <row r="13" spans="1:6" ht="20.149999999999999" customHeight="1" x14ac:dyDescent="0.35">
      <c r="A13" s="72">
        <v>7</v>
      </c>
      <c r="B13" s="76" t="s">
        <v>891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404</v>
      </c>
      <c r="C14" s="76">
        <f>data!B218</f>
        <v>2658937</v>
      </c>
      <c r="D14" s="76">
        <f>data!C218</f>
        <v>628337</v>
      </c>
      <c r="E14" s="76">
        <f>data!D218</f>
        <v>0</v>
      </c>
      <c r="F14" s="76">
        <f>data!E218</f>
        <v>3287274</v>
      </c>
    </row>
    <row r="15" spans="1:6" ht="20.149999999999999" customHeight="1" x14ac:dyDescent="0.35">
      <c r="A15" s="72">
        <v>9</v>
      </c>
      <c r="B15" s="76" t="s">
        <v>892</v>
      </c>
      <c r="C15" s="76">
        <f>data!B219</f>
        <v>65582</v>
      </c>
      <c r="D15" s="76">
        <f>data!C219</f>
        <v>465444</v>
      </c>
      <c r="E15" s="76">
        <f>data!D219</f>
        <v>500908</v>
      </c>
      <c r="F15" s="76">
        <f>data!E219</f>
        <v>30118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64618946</v>
      </c>
      <c r="D16" s="76">
        <f>data!C220</f>
        <v>1657854</v>
      </c>
      <c r="E16" s="76">
        <f>data!D220</f>
        <v>500908</v>
      </c>
      <c r="F16" s="76">
        <f>data!E220</f>
        <v>65775892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884</v>
      </c>
      <c r="D21" s="4" t="s">
        <v>230</v>
      </c>
      <c r="E21" s="162"/>
      <c r="F21" s="162" t="s">
        <v>885</v>
      </c>
    </row>
    <row r="22" spans="1:6" ht="20.149999999999999" customHeight="1" x14ac:dyDescent="0.35">
      <c r="A22" s="163"/>
      <c r="B22" s="155"/>
      <c r="C22" s="162" t="s">
        <v>886</v>
      </c>
      <c r="D22" s="162" t="s">
        <v>893</v>
      </c>
      <c r="E22" s="162" t="s">
        <v>887</v>
      </c>
      <c r="F22" s="162" t="s">
        <v>886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1083194</v>
      </c>
      <c r="D24" s="76">
        <f>data!C225</f>
        <v>16761</v>
      </c>
      <c r="E24" s="76">
        <f>data!D225</f>
        <v>0</v>
      </c>
      <c r="F24" s="76">
        <f>data!E225</f>
        <v>1099955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17003852</v>
      </c>
      <c r="D25" s="76">
        <f>data!C226</f>
        <v>611527</v>
      </c>
      <c r="E25" s="76">
        <f>data!D226</f>
        <v>0</v>
      </c>
      <c r="F25" s="76">
        <f>data!E226</f>
        <v>17615379</v>
      </c>
    </row>
    <row r="26" spans="1:6" ht="20.149999999999999" customHeight="1" x14ac:dyDescent="0.35">
      <c r="A26" s="72">
        <v>14</v>
      </c>
      <c r="B26" s="76" t="s">
        <v>888</v>
      </c>
      <c r="C26" s="76">
        <f>data!B227</f>
        <v>2603288</v>
      </c>
      <c r="D26" s="76">
        <f>data!C227</f>
        <v>25700</v>
      </c>
      <c r="E26" s="76">
        <f>data!D227</f>
        <v>0</v>
      </c>
      <c r="F26" s="76">
        <f>data!E227</f>
        <v>2628988</v>
      </c>
    </row>
    <row r="27" spans="1:6" ht="20.149999999999999" customHeight="1" x14ac:dyDescent="0.35">
      <c r="A27" s="72">
        <v>15</v>
      </c>
      <c r="B27" s="76" t="s">
        <v>889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890</v>
      </c>
      <c r="C28" s="76">
        <f>data!B229</f>
        <v>24365741</v>
      </c>
      <c r="D28" s="76">
        <f>data!C229</f>
        <v>1405410</v>
      </c>
      <c r="E28" s="76">
        <f>data!D229</f>
        <v>0</v>
      </c>
      <c r="F28" s="76">
        <f>data!E229</f>
        <v>25771151</v>
      </c>
    </row>
    <row r="29" spans="1:6" ht="20.149999999999999" customHeight="1" x14ac:dyDescent="0.35">
      <c r="A29" s="72">
        <v>17</v>
      </c>
      <c r="B29" s="76" t="s">
        <v>891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404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45056075</v>
      </c>
      <c r="D32" s="76">
        <f>data!C233</f>
        <v>2059398</v>
      </c>
      <c r="E32" s="76">
        <f>data!D233</f>
        <v>0</v>
      </c>
      <c r="F32" s="76">
        <f>data!E233</f>
        <v>47115473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EB85-31EA-4A64-B6CB-2A95504D8AA4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894</v>
      </c>
      <c r="B1" s="71"/>
      <c r="C1" s="71"/>
      <c r="D1" s="70" t="s">
        <v>895</v>
      </c>
    </row>
    <row r="2" spans="1:4" ht="20.149999999999999" customHeight="1" x14ac:dyDescent="0.35">
      <c r="A2" s="129" t="str">
        <f>"Hospital: "&amp;data!C98</f>
        <v>Hospital: Astria Sunnyside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896</v>
      </c>
      <c r="C4" s="165" t="s">
        <v>897</v>
      </c>
      <c r="D4" s="166"/>
    </row>
    <row r="5" spans="1:4" ht="20.149999999999999" customHeight="1" x14ac:dyDescent="0.35">
      <c r="A5" s="133">
        <v>1</v>
      </c>
      <c r="B5" s="167"/>
      <c r="C5" s="89" t="s">
        <v>406</v>
      </c>
      <c r="D5" s="76">
        <f>data!D237</f>
        <v>10777901</v>
      </c>
    </row>
    <row r="6" spans="1:4" ht="20.149999999999999" customHeight="1" x14ac:dyDescent="0.35">
      <c r="A6" s="72">
        <v>2</v>
      </c>
      <c r="B6" s="78"/>
      <c r="C6" s="151" t="s">
        <v>502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82327975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70357024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411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898</v>
      </c>
      <c r="D11" s="76">
        <f>data!C243</f>
        <v>16769342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11261274</v>
      </c>
    </row>
    <row r="13" spans="1:4" ht="20.149999999999999" customHeight="1" x14ac:dyDescent="0.35">
      <c r="A13" s="72">
        <v>9</v>
      </c>
      <c r="B13" s="76"/>
      <c r="C13" s="76" t="s">
        <v>899</v>
      </c>
      <c r="D13" s="76">
        <f>data!D245</f>
        <v>180715615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415</v>
      </c>
      <c r="D15" s="162"/>
    </row>
    <row r="16" spans="1:4" ht="20.149999999999999" customHeight="1" x14ac:dyDescent="0.35">
      <c r="A16" s="161">
        <v>12</v>
      </c>
      <c r="B16" s="88"/>
      <c r="C16" s="73" t="s">
        <v>900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417</v>
      </c>
      <c r="D18" s="76">
        <f>data!C249</f>
        <v>0</v>
      </c>
    </row>
    <row r="19" spans="1:4" ht="20.149999999999999" customHeight="1" x14ac:dyDescent="0.35">
      <c r="A19" s="170">
        <v>15</v>
      </c>
      <c r="B19" s="167">
        <v>5910</v>
      </c>
      <c r="C19" s="89" t="s">
        <v>901</v>
      </c>
      <c r="D19" s="76">
        <f>data!C250</f>
        <v>4005389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902</v>
      </c>
      <c r="D22" s="76">
        <f>data!D252</f>
        <v>4005389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903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904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905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268B-6990-4BC5-959C-A7215882E0D1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906</v>
      </c>
      <c r="B1" s="178"/>
      <c r="C1" s="178"/>
    </row>
    <row r="2" spans="1:3" ht="20.149999999999999" customHeight="1" x14ac:dyDescent="0.35">
      <c r="A2" s="177"/>
      <c r="B2" s="178"/>
      <c r="C2" s="103" t="s">
        <v>907</v>
      </c>
    </row>
    <row r="3" spans="1:3" ht="20.149999999999999" customHeight="1" x14ac:dyDescent="0.35">
      <c r="A3" s="129" t="str">
        <f>"Hospital: "&amp;data!C98</f>
        <v>Hospital: Astria Sunnyside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908</v>
      </c>
      <c r="C4" s="182"/>
    </row>
    <row r="5" spans="1:3" ht="20.149999999999999" customHeight="1" x14ac:dyDescent="0.35">
      <c r="A5" s="183">
        <v>1</v>
      </c>
      <c r="B5" s="184" t="s">
        <v>425</v>
      </c>
      <c r="C5" s="184"/>
    </row>
    <row r="6" spans="1:3" ht="20.149999999999999" customHeight="1" x14ac:dyDescent="0.35">
      <c r="A6" s="183">
        <v>2</v>
      </c>
      <c r="B6" s="185" t="s">
        <v>426</v>
      </c>
      <c r="C6" s="185">
        <f>data!C266</f>
        <v>7667005</v>
      </c>
    </row>
    <row r="7" spans="1:3" ht="20.149999999999999" customHeight="1" x14ac:dyDescent="0.35">
      <c r="A7" s="183">
        <v>3</v>
      </c>
      <c r="B7" s="185" t="s">
        <v>427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428</v>
      </c>
      <c r="C8" s="185">
        <f>data!C268</f>
        <v>92963459</v>
      </c>
    </row>
    <row r="9" spans="1:3" ht="20.149999999999999" customHeight="1" x14ac:dyDescent="0.35">
      <c r="A9" s="183">
        <v>5</v>
      </c>
      <c r="B9" s="185" t="s">
        <v>909</v>
      </c>
      <c r="C9" s="185">
        <f>data!C269</f>
        <v>71627620</v>
      </c>
    </row>
    <row r="10" spans="1:3" ht="20.149999999999999" customHeight="1" x14ac:dyDescent="0.35">
      <c r="A10" s="183">
        <v>6</v>
      </c>
      <c r="B10" s="185" t="s">
        <v>910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911</v>
      </c>
      <c r="C11" s="185">
        <f>data!C271</f>
        <v>19878721</v>
      </c>
    </row>
    <row r="12" spans="1:3" ht="20.149999999999999" customHeight="1" x14ac:dyDescent="0.35">
      <c r="A12" s="183">
        <v>8</v>
      </c>
      <c r="B12" s="185" t="s">
        <v>432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433</v>
      </c>
      <c r="C13" s="185">
        <f>data!C273</f>
        <v>2982615</v>
      </c>
    </row>
    <row r="14" spans="1:3" ht="20.149999999999999" customHeight="1" x14ac:dyDescent="0.35">
      <c r="A14" s="183">
        <v>10</v>
      </c>
      <c r="B14" s="185" t="s">
        <v>434</v>
      </c>
      <c r="C14" s="185">
        <f>data!C274</f>
        <v>245610</v>
      </c>
    </row>
    <row r="15" spans="1:3" ht="20.149999999999999" customHeight="1" x14ac:dyDescent="0.35">
      <c r="A15" s="183">
        <v>11</v>
      </c>
      <c r="B15" s="185" t="s">
        <v>912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913</v>
      </c>
      <c r="C16" s="185">
        <f>data!D276</f>
        <v>52109790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914</v>
      </c>
      <c r="C18" s="184"/>
    </row>
    <row r="19" spans="1:3" ht="20.149999999999999" customHeight="1" x14ac:dyDescent="0.35">
      <c r="A19" s="183">
        <v>15</v>
      </c>
      <c r="B19" s="185" t="s">
        <v>426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427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438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915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916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5072349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1430910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25156498</v>
      </c>
    </row>
    <row r="28" spans="1:3" ht="20.149999999999999" customHeight="1" x14ac:dyDescent="0.35">
      <c r="A28" s="183">
        <v>24</v>
      </c>
      <c r="B28" s="185" t="s">
        <v>917</v>
      </c>
      <c r="C28" s="185">
        <f>data!C286</f>
        <v>2888933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443</v>
      </c>
      <c r="C30" s="185">
        <f>data!C288</f>
        <v>27909810</v>
      </c>
    </row>
    <row r="31" spans="1:3" ht="20.149999999999999" customHeight="1" x14ac:dyDescent="0.35">
      <c r="A31" s="183">
        <v>27</v>
      </c>
      <c r="B31" s="185" t="s">
        <v>404</v>
      </c>
      <c r="C31" s="185">
        <f>data!C289</f>
        <v>3287273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30117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918</v>
      </c>
      <c r="C34" s="185">
        <f>data!C292</f>
        <v>47223806</v>
      </c>
    </row>
    <row r="35" spans="1:3" ht="20.149999999999999" customHeight="1" x14ac:dyDescent="0.35">
      <c r="A35" s="183">
        <v>31</v>
      </c>
      <c r="B35" s="185" t="s">
        <v>919</v>
      </c>
      <c r="C35" s="185">
        <f>data!D293</f>
        <v>18552084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920</v>
      </c>
      <c r="C37" s="184"/>
    </row>
    <row r="38" spans="1:3" ht="20.149999999999999" customHeight="1" x14ac:dyDescent="0.35">
      <c r="A38" s="183">
        <v>34</v>
      </c>
      <c r="B38" s="185" t="s">
        <v>921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922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819512</v>
      </c>
    </row>
    <row r="42" spans="1:3" ht="20.149999999999999" customHeight="1" x14ac:dyDescent="0.35">
      <c r="A42" s="183">
        <v>38</v>
      </c>
      <c r="B42" s="185" t="s">
        <v>923</v>
      </c>
      <c r="C42" s="185">
        <f>data!D299</f>
        <v>819512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924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925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926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927</v>
      </c>
      <c r="C50" s="185">
        <f>data!D308</f>
        <v>71481386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928</v>
      </c>
      <c r="B53" s="178"/>
      <c r="C53" s="178"/>
    </row>
    <row r="54" spans="1:3" ht="20.149999999999999" customHeight="1" x14ac:dyDescent="0.35">
      <c r="A54" s="177"/>
      <c r="B54" s="178"/>
      <c r="C54" s="103" t="s">
        <v>929</v>
      </c>
    </row>
    <row r="55" spans="1:3" ht="20.149999999999999" customHeight="1" x14ac:dyDescent="0.35">
      <c r="A55" s="129" t="str">
        <f>"Hospital: "&amp;data!C98</f>
        <v>Hospital: Astria Sunnyside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930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931</v>
      </c>
      <c r="C59" s="185">
        <f>data!C315</f>
        <v>5773848</v>
      </c>
    </row>
    <row r="60" spans="1:3" ht="20.149999999999999" customHeight="1" x14ac:dyDescent="0.35">
      <c r="A60" s="183">
        <v>4</v>
      </c>
      <c r="B60" s="185" t="s">
        <v>932</v>
      </c>
      <c r="C60" s="185">
        <f>data!C316</f>
        <v>3433621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933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934</v>
      </c>
      <c r="C63" s="185">
        <f>data!C319</f>
        <v>2034154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2089603</v>
      </c>
    </row>
    <row r="67" spans="1:3" ht="20.149999999999999" customHeight="1" x14ac:dyDescent="0.35">
      <c r="A67" s="183">
        <v>11</v>
      </c>
      <c r="B67" s="185" t="s">
        <v>935</v>
      </c>
      <c r="C67" s="185">
        <f>data!C323</f>
        <v>675576</v>
      </c>
    </row>
    <row r="68" spans="1:3" ht="20.149999999999999" customHeight="1" x14ac:dyDescent="0.35">
      <c r="A68" s="183">
        <v>12</v>
      </c>
      <c r="B68" s="185" t="s">
        <v>936</v>
      </c>
      <c r="C68" s="185">
        <f>data!D324</f>
        <v>14006802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937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938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939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940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941</v>
      </c>
      <c r="C80" s="185">
        <f>data!C334</f>
        <v>3324521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942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3324521</v>
      </c>
    </row>
    <row r="86" spans="1:3" ht="20.149999999999999" customHeight="1" x14ac:dyDescent="0.35">
      <c r="A86" s="183">
        <v>30</v>
      </c>
      <c r="B86" s="185" t="s">
        <v>943</v>
      </c>
      <c r="C86" s="185">
        <f>data!D340</f>
        <v>675576</v>
      </c>
    </row>
    <row r="87" spans="1:3" ht="20.149999999999999" customHeight="1" x14ac:dyDescent="0.35">
      <c r="A87" s="183">
        <v>31</v>
      </c>
      <c r="B87" s="185" t="s">
        <v>944</v>
      </c>
      <c r="C87" s="185">
        <f>data!D341</f>
        <v>2648945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945</v>
      </c>
      <c r="C89" s="185">
        <f>data!C343</f>
        <v>54825639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946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947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948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949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950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951</v>
      </c>
      <c r="C102" s="185">
        <f>data!C343+data!C345+data!C346+data!C347+data!C348-data!C349</f>
        <v>54825639</v>
      </c>
    </row>
    <row r="103" spans="1:3" ht="20.149999999999999" customHeight="1" x14ac:dyDescent="0.35">
      <c r="A103" s="183">
        <v>47</v>
      </c>
      <c r="B103" s="185" t="s">
        <v>952</v>
      </c>
      <c r="C103" s="185">
        <f>data!D352</f>
        <v>71481386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953</v>
      </c>
      <c r="B106" s="178"/>
      <c r="C106" s="178"/>
    </row>
    <row r="107" spans="1:3" ht="20.149999999999999" customHeight="1" x14ac:dyDescent="0.35">
      <c r="A107" s="179"/>
      <c r="C107" s="103" t="s">
        <v>954</v>
      </c>
    </row>
    <row r="108" spans="1:3" ht="20.149999999999999" customHeight="1" x14ac:dyDescent="0.35">
      <c r="A108" s="129" t="str">
        <f>"Hospital: "&amp;data!C98</f>
        <v>Hospital: Astria Sunnyside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955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78914906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234098445</v>
      </c>
    </row>
    <row r="113" spans="1:3" ht="20.149999999999999" customHeight="1" x14ac:dyDescent="0.35">
      <c r="A113" s="183">
        <v>4</v>
      </c>
      <c r="B113" s="185" t="s">
        <v>956</v>
      </c>
      <c r="C113" s="185">
        <f>data!D360</f>
        <v>313013351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957</v>
      </c>
      <c r="C115" s="184"/>
    </row>
    <row r="116" spans="1:3" ht="20.149999999999999" customHeight="1" x14ac:dyDescent="0.35">
      <c r="A116" s="183">
        <v>7</v>
      </c>
      <c r="B116" s="197" t="s">
        <v>958</v>
      </c>
      <c r="C116" s="198">
        <f>data!C362</f>
        <v>10777901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180715615</v>
      </c>
    </row>
    <row r="118" spans="1:3" ht="20.149999999999999" customHeight="1" x14ac:dyDescent="0.35">
      <c r="A118" s="183">
        <v>9</v>
      </c>
      <c r="B118" s="185" t="s">
        <v>959</v>
      </c>
      <c r="C118" s="198">
        <f>data!C364</f>
        <v>4005389</v>
      </c>
    </row>
    <row r="119" spans="1:3" ht="20.149999999999999" customHeight="1" x14ac:dyDescent="0.35">
      <c r="A119" s="183">
        <v>10</v>
      </c>
      <c r="B119" s="185" t="s">
        <v>960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904</v>
      </c>
      <c r="C120" s="198">
        <f>data!D366</f>
        <v>195498905</v>
      </c>
    </row>
    <row r="121" spans="1:3" ht="20.149999999999999" customHeight="1" x14ac:dyDescent="0.35">
      <c r="A121" s="183">
        <v>12</v>
      </c>
      <c r="B121" s="185" t="s">
        <v>961</v>
      </c>
      <c r="C121" s="198">
        <f>data!D367</f>
        <v>117514446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962</v>
      </c>
      <c r="B125" s="201" t="s">
        <v>508</v>
      </c>
      <c r="C125" s="200">
        <f>data!C370</f>
        <v>0</v>
      </c>
    </row>
    <row r="126" spans="1:3" ht="20.149999999999999" customHeight="1" x14ac:dyDescent="0.35">
      <c r="A126" s="204" t="s">
        <v>963</v>
      </c>
      <c r="B126" s="201" t="s">
        <v>509</v>
      </c>
      <c r="C126" s="200">
        <f>data!C371</f>
        <v>132175</v>
      </c>
    </row>
    <row r="127" spans="1:3" ht="20.149999999999999" customHeight="1" x14ac:dyDescent="0.35">
      <c r="A127" s="204" t="s">
        <v>964</v>
      </c>
      <c r="B127" s="201" t="s">
        <v>510</v>
      </c>
      <c r="C127" s="200">
        <f>data!C372</f>
        <v>0</v>
      </c>
    </row>
    <row r="128" spans="1:3" ht="20.149999999999999" customHeight="1" x14ac:dyDescent="0.35">
      <c r="A128" s="204" t="s">
        <v>965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966</v>
      </c>
      <c r="B129" s="201" t="s">
        <v>512</v>
      </c>
      <c r="C129" s="200">
        <f>data!C374</f>
        <v>6569</v>
      </c>
    </row>
    <row r="130" spans="1:3" ht="20.149999999999999" customHeight="1" x14ac:dyDescent="0.35">
      <c r="A130" s="204" t="s">
        <v>967</v>
      </c>
      <c r="B130" s="201" t="s">
        <v>513</v>
      </c>
      <c r="C130" s="200">
        <f>data!C375</f>
        <v>0</v>
      </c>
    </row>
    <row r="131" spans="1:3" ht="20.149999999999999" customHeight="1" x14ac:dyDescent="0.35">
      <c r="A131" s="204" t="s">
        <v>968</v>
      </c>
      <c r="B131" s="201" t="s">
        <v>514</v>
      </c>
      <c r="C131" s="200">
        <f>data!C376</f>
        <v>0</v>
      </c>
    </row>
    <row r="132" spans="1:3" ht="20.149999999999999" customHeight="1" x14ac:dyDescent="0.35">
      <c r="A132" s="204" t="s">
        <v>969</v>
      </c>
      <c r="B132" s="201" t="s">
        <v>515</v>
      </c>
      <c r="C132" s="200">
        <f>data!C377</f>
        <v>0</v>
      </c>
    </row>
    <row r="133" spans="1:3" ht="20.149999999999999" customHeight="1" x14ac:dyDescent="0.35">
      <c r="A133" s="204" t="s">
        <v>970</v>
      </c>
      <c r="B133" s="201" t="s">
        <v>516</v>
      </c>
      <c r="C133" s="200">
        <f>data!C378</f>
        <v>0</v>
      </c>
    </row>
    <row r="134" spans="1:3" ht="20.149999999999999" customHeight="1" x14ac:dyDescent="0.35">
      <c r="A134" s="204" t="s">
        <v>971</v>
      </c>
      <c r="B134" s="201" t="s">
        <v>517</v>
      </c>
      <c r="C134" s="200">
        <f>data!C379</f>
        <v>347269</v>
      </c>
    </row>
    <row r="135" spans="1:3" ht="20.149999999999999" customHeight="1" x14ac:dyDescent="0.35">
      <c r="A135" s="204" t="s">
        <v>972</v>
      </c>
      <c r="B135" s="201" t="s">
        <v>518</v>
      </c>
      <c r="C135" s="200">
        <f>data!C380</f>
        <v>118573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973</v>
      </c>
      <c r="C137" s="198">
        <f>data!D383</f>
        <v>604586</v>
      </c>
    </row>
    <row r="138" spans="1:3" ht="20.149999999999999" customHeight="1" x14ac:dyDescent="0.35">
      <c r="A138" s="183">
        <v>18</v>
      </c>
      <c r="B138" s="185" t="s">
        <v>974</v>
      </c>
      <c r="C138" s="198">
        <f>data!D384</f>
        <v>118119032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975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33676419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9457913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1997247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17314569</v>
      </c>
    </row>
    <row r="145" spans="1:3" ht="20.149999999999999" customHeight="1" x14ac:dyDescent="0.35">
      <c r="A145" s="183">
        <v>25</v>
      </c>
      <c r="B145" s="185" t="s">
        <v>976</v>
      </c>
      <c r="C145" s="198">
        <f>data!C393</f>
        <v>830096</v>
      </c>
    </row>
    <row r="146" spans="1:3" ht="20.149999999999999" customHeight="1" x14ac:dyDescent="0.35">
      <c r="A146" s="183">
        <v>26</v>
      </c>
      <c r="B146" s="185" t="s">
        <v>977</v>
      </c>
      <c r="C146" s="198">
        <f>data!C394</f>
        <v>9809131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2154597</v>
      </c>
    </row>
    <row r="148" spans="1:3" ht="20.149999999999999" customHeight="1" x14ac:dyDescent="0.35">
      <c r="A148" s="183">
        <v>28</v>
      </c>
      <c r="B148" s="185" t="s">
        <v>978</v>
      </c>
      <c r="C148" s="198">
        <f>data!C396</f>
        <v>1179412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1769435</v>
      </c>
    </row>
    <row r="150" spans="1:3" ht="20.149999999999999" customHeight="1" x14ac:dyDescent="0.35">
      <c r="A150" s="183">
        <v>30</v>
      </c>
      <c r="B150" s="185" t="s">
        <v>979</v>
      </c>
      <c r="C150" s="198">
        <f>data!C398</f>
        <v>1221251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4471765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980</v>
      </c>
      <c r="B153" s="202" t="s">
        <v>270</v>
      </c>
      <c r="C153" s="198">
        <f>data!C401</f>
        <v>392517</v>
      </c>
    </row>
    <row r="154" spans="1:3" ht="20.149999999999999" customHeight="1" x14ac:dyDescent="0.35">
      <c r="A154" s="204" t="s">
        <v>981</v>
      </c>
      <c r="B154" s="202" t="s">
        <v>271</v>
      </c>
      <c r="C154" s="198">
        <f>data!C402</f>
        <v>4881554</v>
      </c>
    </row>
    <row r="155" spans="1:3" ht="20.149999999999999" customHeight="1" x14ac:dyDescent="0.35">
      <c r="A155" s="204" t="s">
        <v>982</v>
      </c>
      <c r="B155" s="202" t="s">
        <v>983</v>
      </c>
      <c r="C155" s="198">
        <f>data!C403</f>
        <v>0</v>
      </c>
    </row>
    <row r="156" spans="1:3" ht="20.149999999999999" customHeight="1" x14ac:dyDescent="0.35">
      <c r="A156" s="204" t="s">
        <v>984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985</v>
      </c>
      <c r="B157" s="202" t="s">
        <v>274</v>
      </c>
      <c r="C157" s="198">
        <f>data!C405</f>
        <v>268721</v>
      </c>
    </row>
    <row r="158" spans="1:3" ht="20.149999999999999" customHeight="1" x14ac:dyDescent="0.35">
      <c r="A158" s="204" t="s">
        <v>986</v>
      </c>
      <c r="B158" s="202" t="s">
        <v>275</v>
      </c>
      <c r="C158" s="198">
        <f>data!C406</f>
        <v>252901</v>
      </c>
    </row>
    <row r="159" spans="1:3" ht="20.149999999999999" customHeight="1" x14ac:dyDescent="0.35">
      <c r="A159" s="204" t="s">
        <v>987</v>
      </c>
      <c r="B159" s="202" t="s">
        <v>276</v>
      </c>
      <c r="C159" s="198">
        <f>data!C407</f>
        <v>1299672</v>
      </c>
    </row>
    <row r="160" spans="1:3" ht="20.149999999999999" customHeight="1" x14ac:dyDescent="0.35">
      <c r="A160" s="204" t="s">
        <v>988</v>
      </c>
      <c r="B160" s="202" t="s">
        <v>277</v>
      </c>
      <c r="C160" s="198">
        <f>data!C408</f>
        <v>467661</v>
      </c>
    </row>
    <row r="161" spans="1:3" ht="20.149999999999999" customHeight="1" x14ac:dyDescent="0.35">
      <c r="A161" s="204" t="s">
        <v>989</v>
      </c>
      <c r="B161" s="202" t="s">
        <v>278</v>
      </c>
      <c r="C161" s="198">
        <f>data!C409</f>
        <v>14841774</v>
      </c>
    </row>
    <row r="162" spans="1:3" ht="20.149999999999999" customHeight="1" x14ac:dyDescent="0.35">
      <c r="A162" s="204" t="s">
        <v>990</v>
      </c>
      <c r="B162" s="202" t="s">
        <v>279</v>
      </c>
      <c r="C162" s="198">
        <f>data!C410</f>
        <v>125402</v>
      </c>
    </row>
    <row r="163" spans="1:3" ht="20.149999999999999" customHeight="1" x14ac:dyDescent="0.35">
      <c r="A163" s="204" t="s">
        <v>991</v>
      </c>
      <c r="B163" s="202" t="s">
        <v>280</v>
      </c>
      <c r="C163" s="198">
        <f>data!C411</f>
        <v>132549</v>
      </c>
    </row>
    <row r="164" spans="1:3" ht="20.149999999999999" customHeight="1" x14ac:dyDescent="0.35">
      <c r="A164" s="204" t="s">
        <v>992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993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994</v>
      </c>
      <c r="B166" s="202" t="s">
        <v>995</v>
      </c>
      <c r="C166" s="198">
        <f>data!C414</f>
        <v>784215</v>
      </c>
    </row>
    <row r="167" spans="1:3" ht="20.149999999999999" customHeight="1" x14ac:dyDescent="0.35">
      <c r="A167" s="183">
        <v>34</v>
      </c>
      <c r="B167" s="185" t="s">
        <v>996</v>
      </c>
      <c r="C167" s="198">
        <f>data!D416</f>
        <v>107328801</v>
      </c>
    </row>
    <row r="168" spans="1:3" ht="20.149999999999999" customHeight="1" x14ac:dyDescent="0.35">
      <c r="A168" s="183">
        <v>35</v>
      </c>
      <c r="B168" s="185" t="s">
        <v>997</v>
      </c>
      <c r="C168" s="198">
        <f>data!D417</f>
        <v>10790231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998</v>
      </c>
      <c r="C170" s="198">
        <f>data!D420</f>
        <v>-31745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999</v>
      </c>
      <c r="C172" s="185">
        <f>data!D421</f>
        <v>10758486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1000</v>
      </c>
      <c r="C174" s="198">
        <f>data!C422</f>
        <v>-258650</v>
      </c>
    </row>
    <row r="175" spans="1:3" ht="20.149999999999999" customHeight="1" x14ac:dyDescent="0.35">
      <c r="A175" s="183">
        <v>42</v>
      </c>
      <c r="B175" s="185" t="s">
        <v>1001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1002</v>
      </c>
      <c r="C177" s="198">
        <f>data!D424</f>
        <v>10499836</v>
      </c>
    </row>
    <row r="178" spans="1:3" ht="20.149999999999999" customHeight="1" x14ac:dyDescent="0.35">
      <c r="A178" s="188">
        <v>45</v>
      </c>
      <c r="B178" s="187" t="s">
        <v>1003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ED55-2F2B-4AFA-A5EE-3B09D196D43A}">
  <sheetPr codeName="Sheet11"/>
  <dimension ref="A1:N410"/>
  <sheetViews>
    <sheetView showFormulas="1" showGridLines="0" topLeftCell="B364" zoomScale="65" workbookViewId="0">
      <selection activeCell="P15" sqref="P15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1004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1005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Astria Sunnyside Hospital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1006</v>
      </c>
      <c r="C6" s="295" t="s">
        <v>118</v>
      </c>
      <c r="D6" s="296" t="s">
        <v>1007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1008</v>
      </c>
      <c r="E7" s="296" t="s">
        <v>190</v>
      </c>
      <c r="F7" s="296" t="s">
        <v>1009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1010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0</v>
      </c>
      <c r="D9" s="290">
        <f>data!D59</f>
        <v>0</v>
      </c>
      <c r="E9" s="290">
        <f>data!E59</f>
        <v>0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12.18</v>
      </c>
      <c r="D10" s="297">
        <f>data!D60</f>
        <v>0</v>
      </c>
      <c r="E10" s="297">
        <f>data!E60</f>
        <v>32.65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1438200</v>
      </c>
      <c r="D11" s="290">
        <f>data!D61</f>
        <v>0</v>
      </c>
      <c r="E11" s="290">
        <f>data!E61</f>
        <v>3475424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410038</v>
      </c>
      <c r="D12" s="290">
        <f>data!D62</f>
        <v>0</v>
      </c>
      <c r="E12" s="290">
        <f>data!E62</f>
        <v>999211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128854</v>
      </c>
      <c r="D14" s="290">
        <f>data!D64</f>
        <v>0</v>
      </c>
      <c r="E14" s="290">
        <f>data!E64</f>
        <v>345180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526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527</v>
      </c>
      <c r="C16" s="290">
        <f>data!C66</f>
        <v>13041</v>
      </c>
      <c r="D16" s="290">
        <f>data!D66</f>
        <v>0</v>
      </c>
      <c r="E16" s="290">
        <f>data!E66</f>
        <v>1256560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61550</v>
      </c>
      <c r="D17" s="290">
        <f>data!D67</f>
        <v>0</v>
      </c>
      <c r="E17" s="290">
        <f>data!E67</f>
        <v>373608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1011</v>
      </c>
      <c r="C18" s="290">
        <f>data!C68</f>
        <v>9755</v>
      </c>
      <c r="D18" s="290">
        <f>data!D68</f>
        <v>0</v>
      </c>
      <c r="E18" s="290">
        <f>data!E68</f>
        <v>57644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1012</v>
      </c>
      <c r="C19" s="290">
        <f>data!C69</f>
        <v>427098</v>
      </c>
      <c r="D19" s="290">
        <f>data!D69</f>
        <v>0</v>
      </c>
      <c r="E19" s="290">
        <f>data!E69</f>
        <v>2205316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1013</v>
      </c>
      <c r="C21" s="290">
        <f>data!C85</f>
        <v>2488536</v>
      </c>
      <c r="D21" s="290">
        <f>data!D85</f>
        <v>0</v>
      </c>
      <c r="E21" s="290">
        <f>data!E85</f>
        <v>8712943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1014</v>
      </c>
      <c r="C23" s="298">
        <f>+data!M668</f>
        <v>1500538</v>
      </c>
      <c r="D23" s="298">
        <f>+data!M669</f>
        <v>0</v>
      </c>
      <c r="E23" s="298">
        <f>+data!M670</f>
        <v>6624792</v>
      </c>
      <c r="F23" s="298">
        <f>+data!M671</f>
        <v>0</v>
      </c>
      <c r="G23" s="298">
        <f>+data!M672</f>
        <v>0</v>
      </c>
      <c r="H23" s="298">
        <f>+data!M673</f>
        <v>0</v>
      </c>
      <c r="I23" s="298">
        <f>+data!M674</f>
        <v>0</v>
      </c>
    </row>
    <row r="24" spans="1:9" customFormat="1" ht="20.149999999999999" customHeight="1" x14ac:dyDescent="0.35">
      <c r="A24" s="289">
        <v>19</v>
      </c>
      <c r="B24" s="298" t="s">
        <v>1015</v>
      </c>
      <c r="C24" s="290">
        <f>data!C87</f>
        <v>5166513</v>
      </c>
      <c r="D24" s="290">
        <f>data!D87</f>
        <v>0</v>
      </c>
      <c r="E24" s="290">
        <f>data!E87</f>
        <v>16846229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1016</v>
      </c>
      <c r="C25" s="290">
        <f>data!C88</f>
        <v>1500</v>
      </c>
      <c r="D25" s="290">
        <f>data!D88</f>
        <v>0</v>
      </c>
      <c r="E25" s="290">
        <f>data!E88</f>
        <v>4499443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1017</v>
      </c>
      <c r="C26" s="290">
        <f>data!C89</f>
        <v>5168013</v>
      </c>
      <c r="D26" s="290">
        <f>data!D89</f>
        <v>0</v>
      </c>
      <c r="E26" s="290">
        <f>data!E89</f>
        <v>21345672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1018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1019</v>
      </c>
      <c r="C28" s="290">
        <f>data!C90</f>
        <v>2901</v>
      </c>
      <c r="D28" s="290">
        <f>data!D90</f>
        <v>0</v>
      </c>
      <c r="E28" s="290">
        <f>data!E90</f>
        <v>17609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1020</v>
      </c>
      <c r="C29" s="290">
        <f>data!C91</f>
        <v>2863</v>
      </c>
      <c r="D29" s="290">
        <f>data!D91</f>
        <v>0</v>
      </c>
      <c r="E29" s="290">
        <f>data!E91</f>
        <v>19973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1021</v>
      </c>
      <c r="C30" s="290">
        <f>data!C92</f>
        <v>2232</v>
      </c>
      <c r="D30" s="290">
        <f>data!D92</f>
        <v>0</v>
      </c>
      <c r="E30" s="290">
        <f>data!E92</f>
        <v>8772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1022</v>
      </c>
      <c r="C31" s="290">
        <f>data!C93</f>
        <v>73917</v>
      </c>
      <c r="D31" s="290">
        <f>data!D93</f>
        <v>0</v>
      </c>
      <c r="E31" s="290">
        <f>data!E93</f>
        <v>184500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12.18</v>
      </c>
      <c r="D32" s="297">
        <f>data!D94</f>
        <v>0</v>
      </c>
      <c r="E32" s="297">
        <f>data!E94</f>
        <v>32.65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1004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1023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Astria Sunnyside Hospital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1006</v>
      </c>
      <c r="C38" s="296"/>
      <c r="D38" s="296" t="s">
        <v>126</v>
      </c>
      <c r="E38" s="296" t="s">
        <v>127</v>
      </c>
      <c r="F38" s="296" t="s">
        <v>1024</v>
      </c>
      <c r="G38" s="296" t="s">
        <v>129</v>
      </c>
      <c r="H38" s="296" t="s">
        <v>1025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1010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12.59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1101405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330823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117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5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4299175</v>
      </c>
    </row>
    <row r="47" spans="1:9" customFormat="1" ht="20.149999999999999" customHeight="1" x14ac:dyDescent="0.35">
      <c r="A47" s="289">
        <v>10</v>
      </c>
      <c r="B47" s="290" t="s">
        <v>526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527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554353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92187</v>
      </c>
    </row>
    <row r="50" spans="1:11" customFormat="1" ht="20.149999999999999" customHeight="1" x14ac:dyDescent="0.35">
      <c r="A50" s="289">
        <v>13</v>
      </c>
      <c r="B50" s="290" t="s">
        <v>1011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-491</v>
      </c>
    </row>
    <row r="51" spans="1:11" customFormat="1" ht="20.149999999999999" customHeight="1" x14ac:dyDescent="0.35">
      <c r="A51" s="289">
        <v>14</v>
      </c>
      <c r="B51" s="290" t="s">
        <v>1012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1040121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1013</v>
      </c>
      <c r="C53" s="290">
        <f>data!J85</f>
        <v>5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7417690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1014</v>
      </c>
      <c r="C55" s="298">
        <f>+data!M675</f>
        <v>15343</v>
      </c>
      <c r="D55" s="298">
        <f>+data!M676</f>
        <v>0</v>
      </c>
      <c r="E55" s="298">
        <f>+data!M691</f>
        <v>0</v>
      </c>
      <c r="F55" s="298">
        <f>+data!M692</f>
        <v>109094</v>
      </c>
      <c r="G55" s="298">
        <f>+data!M693</f>
        <v>2649848</v>
      </c>
      <c r="H55" s="298">
        <f>+data!M680</f>
        <v>0</v>
      </c>
      <c r="I55" s="298">
        <f>+data!M681</f>
        <v>3185428</v>
      </c>
    </row>
    <row r="56" spans="1:11" customFormat="1" ht="20.149999999999999" customHeight="1" x14ac:dyDescent="0.35">
      <c r="A56" s="289">
        <v>19</v>
      </c>
      <c r="B56" s="298" t="s">
        <v>1015</v>
      </c>
      <c r="C56" s="290">
        <f>data!J87</f>
        <v>795719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11058919</v>
      </c>
    </row>
    <row r="57" spans="1:11" customFormat="1" ht="20.149999999999999" customHeight="1" x14ac:dyDescent="0.35">
      <c r="A57" s="289">
        <v>20</v>
      </c>
      <c r="B57" s="298" t="s">
        <v>1016</v>
      </c>
      <c r="C57" s="290">
        <f>data!J88</f>
        <v>75816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28227211</v>
      </c>
    </row>
    <row r="58" spans="1:11" customFormat="1" ht="20.149999999999999" customHeight="1" x14ac:dyDescent="0.35">
      <c r="A58" s="289">
        <v>21</v>
      </c>
      <c r="B58" s="298" t="s">
        <v>1017</v>
      </c>
      <c r="C58" s="290">
        <f>data!J89</f>
        <v>871535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39286130</v>
      </c>
    </row>
    <row r="59" spans="1:11" customFormat="1" ht="20.149999999999999" customHeight="1" x14ac:dyDescent="0.35">
      <c r="A59" s="289" t="s">
        <v>1018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1019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4345</v>
      </c>
      <c r="K60" s="301"/>
    </row>
    <row r="61" spans="1:11" customFormat="1" ht="20.149999999999999" customHeight="1" x14ac:dyDescent="0.35">
      <c r="A61" s="289">
        <v>23</v>
      </c>
      <c r="B61" s="290" t="s">
        <v>1020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1021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3348</v>
      </c>
    </row>
    <row r="63" spans="1:11" customFormat="1" ht="20.149999999999999" customHeight="1" x14ac:dyDescent="0.35">
      <c r="A63" s="289">
        <v>25</v>
      </c>
      <c r="B63" s="290" t="s">
        <v>1022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37563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12.59</v>
      </c>
    </row>
    <row r="65" spans="1:9" customFormat="1" ht="20.149999999999999" customHeight="1" x14ac:dyDescent="0.35">
      <c r="A65" s="283" t="s">
        <v>1004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1026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Astria Sunnyside Hospital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1006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1027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1010</v>
      </c>
      <c r="C72" s="292" t="s">
        <v>1028</v>
      </c>
      <c r="D72" s="291" t="s">
        <v>1029</v>
      </c>
      <c r="E72" s="302"/>
      <c r="F72" s="302"/>
      <c r="G72" s="291" t="s">
        <v>1030</v>
      </c>
      <c r="H72" s="291" t="s">
        <v>1030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3.19</v>
      </c>
      <c r="D74" s="297">
        <f>data!R60</f>
        <v>0</v>
      </c>
      <c r="E74" s="297">
        <f>data!S60</f>
        <v>1.9</v>
      </c>
      <c r="F74" s="297">
        <f>data!T60</f>
        <v>0</v>
      </c>
      <c r="G74" s="297">
        <f>data!U60</f>
        <v>21.38</v>
      </c>
      <c r="H74" s="297">
        <f>data!V60</f>
        <v>1.27</v>
      </c>
      <c r="I74" s="297">
        <f>data!W60</f>
        <v>1.43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490852</v>
      </c>
      <c r="D75" s="290">
        <f>data!R61</f>
        <v>0</v>
      </c>
      <c r="E75" s="290">
        <f>data!S61</f>
        <v>81448</v>
      </c>
      <c r="F75" s="290">
        <f>data!T61</f>
        <v>0</v>
      </c>
      <c r="G75" s="290">
        <f>data!U61</f>
        <v>1386383</v>
      </c>
      <c r="H75" s="290">
        <f>data!V61</f>
        <v>154803</v>
      </c>
      <c r="I75" s="290">
        <f>data!W61</f>
        <v>134558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147925</v>
      </c>
      <c r="D76" s="290">
        <f>data!R62</f>
        <v>0</v>
      </c>
      <c r="E76" s="290">
        <f>data!S62</f>
        <v>23548</v>
      </c>
      <c r="F76" s="290">
        <f>data!T62</f>
        <v>0</v>
      </c>
      <c r="G76" s="290">
        <f>data!U62</f>
        <v>409811</v>
      </c>
      <c r="H76" s="290">
        <f>data!V62</f>
        <v>45659</v>
      </c>
      <c r="I76" s="290">
        <f>data!W62</f>
        <v>39920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35000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32812</v>
      </c>
      <c r="D78" s="290">
        <f>data!R64</f>
        <v>114606</v>
      </c>
      <c r="E78" s="290">
        <f>data!S64</f>
        <v>102858</v>
      </c>
      <c r="F78" s="290">
        <f>data!T64</f>
        <v>134499</v>
      </c>
      <c r="G78" s="290">
        <f>data!U64</f>
        <v>1304764</v>
      </c>
      <c r="H78" s="290">
        <f>data!V64</f>
        <v>7699</v>
      </c>
      <c r="I78" s="290">
        <f>data!W64</f>
        <v>2548</v>
      </c>
    </row>
    <row r="79" spans="1:9" customFormat="1" ht="20.149999999999999" customHeight="1" x14ac:dyDescent="0.35">
      <c r="A79" s="289">
        <v>10</v>
      </c>
      <c r="B79" s="290" t="s">
        <v>526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120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527</v>
      </c>
      <c r="C80" s="290">
        <f>data!Q66</f>
        <v>-202</v>
      </c>
      <c r="D80" s="290">
        <f>data!R66</f>
        <v>1053252</v>
      </c>
      <c r="E80" s="290">
        <f>data!S66</f>
        <v>-4695</v>
      </c>
      <c r="F80" s="290">
        <f>data!T66</f>
        <v>0</v>
      </c>
      <c r="G80" s="290">
        <f>data!U66</f>
        <v>11802</v>
      </c>
      <c r="H80" s="290">
        <f>data!V66</f>
        <v>7069</v>
      </c>
      <c r="I80" s="290">
        <f>data!W66</f>
        <v>113002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25269</v>
      </c>
      <c r="D81" s="290">
        <f>data!R67</f>
        <v>2016</v>
      </c>
      <c r="E81" s="290">
        <f>data!S67</f>
        <v>11096</v>
      </c>
      <c r="F81" s="290">
        <f>data!T67</f>
        <v>3968</v>
      </c>
      <c r="G81" s="290">
        <f>data!U67</f>
        <v>54634</v>
      </c>
      <c r="H81" s="290">
        <f>data!V67</f>
        <v>3267</v>
      </c>
      <c r="I81" s="290">
        <f>data!W67</f>
        <v>19647</v>
      </c>
    </row>
    <row r="82" spans="1:9" customFormat="1" ht="20.149999999999999" customHeight="1" x14ac:dyDescent="0.35">
      <c r="A82" s="289">
        <v>13</v>
      </c>
      <c r="B82" s="290" t="s">
        <v>1011</v>
      </c>
      <c r="C82" s="290">
        <f>data!Q68</f>
        <v>-531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83654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1012</v>
      </c>
      <c r="C83" s="290">
        <f>data!Q69</f>
        <v>127481</v>
      </c>
      <c r="D83" s="290">
        <f>data!R69</f>
        <v>15113</v>
      </c>
      <c r="E83" s="290">
        <f>data!S69</f>
        <v>8042</v>
      </c>
      <c r="F83" s="290">
        <f>data!T69</f>
        <v>0</v>
      </c>
      <c r="G83" s="290">
        <f>data!U69</f>
        <v>1959847</v>
      </c>
      <c r="H83" s="290">
        <f>data!V69</f>
        <v>2311</v>
      </c>
      <c r="I83" s="290">
        <f>data!W69</f>
        <v>403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1013</v>
      </c>
      <c r="C85" s="290">
        <f>data!Q85</f>
        <v>823606</v>
      </c>
      <c r="D85" s="290">
        <f>data!R85</f>
        <v>1184987</v>
      </c>
      <c r="E85" s="290">
        <f>data!S85</f>
        <v>222297</v>
      </c>
      <c r="F85" s="290">
        <f>data!T85</f>
        <v>138467</v>
      </c>
      <c r="G85" s="290">
        <f>data!U85</f>
        <v>5246015</v>
      </c>
      <c r="H85" s="290">
        <f>data!V85</f>
        <v>220808</v>
      </c>
      <c r="I85" s="290">
        <f>data!W85</f>
        <v>310078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1014</v>
      </c>
      <c r="C87" s="298">
        <f>+data!M682</f>
        <v>486978</v>
      </c>
      <c r="D87" s="298">
        <f>+data!M683</f>
        <v>428657</v>
      </c>
      <c r="E87" s="298">
        <f>+data!M684</f>
        <v>523597</v>
      </c>
      <c r="F87" s="298">
        <f>+data!M685</f>
        <v>75757</v>
      </c>
      <c r="G87" s="298">
        <f>+data!M686</f>
        <v>2307562</v>
      </c>
      <c r="H87" s="298">
        <f>+data!M687</f>
        <v>100425</v>
      </c>
      <c r="I87" s="298">
        <f>+data!M688</f>
        <v>263602</v>
      </c>
    </row>
    <row r="88" spans="1:9" customFormat="1" ht="20.149999999999999" customHeight="1" x14ac:dyDescent="0.35">
      <c r="A88" s="289">
        <v>19</v>
      </c>
      <c r="B88" s="298" t="s">
        <v>1015</v>
      </c>
      <c r="C88" s="290">
        <f>data!Q87</f>
        <v>1485598</v>
      </c>
      <c r="D88" s="290">
        <f>data!R87</f>
        <v>2594502</v>
      </c>
      <c r="E88" s="290">
        <f>data!S87</f>
        <v>9275960</v>
      </c>
      <c r="F88" s="290">
        <f>data!T87</f>
        <v>961247</v>
      </c>
      <c r="G88" s="290">
        <f>data!U87</f>
        <v>8889478</v>
      </c>
      <c r="H88" s="290">
        <f>data!V87</f>
        <v>637841</v>
      </c>
      <c r="I88" s="290">
        <f>data!W87</f>
        <v>399588</v>
      </c>
    </row>
    <row r="89" spans="1:9" customFormat="1" ht="20.149999999999999" customHeight="1" x14ac:dyDescent="0.35">
      <c r="A89" s="289">
        <v>20</v>
      </c>
      <c r="B89" s="298" t="s">
        <v>1016</v>
      </c>
      <c r="C89" s="290">
        <f>data!Q88</f>
        <v>3679126</v>
      </c>
      <c r="D89" s="290">
        <f>data!R88</f>
        <v>7392481</v>
      </c>
      <c r="E89" s="290">
        <f>data!S88</f>
        <v>13364399</v>
      </c>
      <c r="F89" s="290">
        <f>data!T88</f>
        <v>408063</v>
      </c>
      <c r="G89" s="290">
        <f>data!U88</f>
        <v>41113730</v>
      </c>
      <c r="H89" s="290">
        <f>data!V88</f>
        <v>1085578</v>
      </c>
      <c r="I89" s="290">
        <f>data!W88</f>
        <v>4595478</v>
      </c>
    </row>
    <row r="90" spans="1:9" customFormat="1" ht="20.149999999999999" customHeight="1" x14ac:dyDescent="0.35">
      <c r="A90" s="289">
        <v>21</v>
      </c>
      <c r="B90" s="298" t="s">
        <v>1017</v>
      </c>
      <c r="C90" s="290">
        <f>data!Q89</f>
        <v>5164724</v>
      </c>
      <c r="D90" s="290">
        <f>data!R89</f>
        <v>9986983</v>
      </c>
      <c r="E90" s="290">
        <f>data!S89</f>
        <v>22640359</v>
      </c>
      <c r="F90" s="290">
        <f>data!T89</f>
        <v>1369310</v>
      </c>
      <c r="G90" s="290">
        <f>data!U89</f>
        <v>50003208</v>
      </c>
      <c r="H90" s="290">
        <f>data!V89</f>
        <v>1723419</v>
      </c>
      <c r="I90" s="290">
        <f>data!W89</f>
        <v>4995066</v>
      </c>
    </row>
    <row r="91" spans="1:9" customFormat="1" ht="20.149999999999999" customHeight="1" x14ac:dyDescent="0.35">
      <c r="A91" s="289" t="s">
        <v>1018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1019</v>
      </c>
      <c r="C92" s="290">
        <f>data!Q90</f>
        <v>1191</v>
      </c>
      <c r="D92" s="290">
        <f>data!R90</f>
        <v>95</v>
      </c>
      <c r="E92" s="290">
        <f>data!S90</f>
        <v>523</v>
      </c>
      <c r="F92" s="290">
        <f>data!T90</f>
        <v>187</v>
      </c>
      <c r="G92" s="290">
        <f>data!U90</f>
        <v>2575</v>
      </c>
      <c r="H92" s="290">
        <f>data!V90</f>
        <v>154</v>
      </c>
      <c r="I92" s="290">
        <f>data!W90</f>
        <v>926</v>
      </c>
    </row>
    <row r="93" spans="1:9" customFormat="1" ht="20.149999999999999" customHeight="1" x14ac:dyDescent="0.35">
      <c r="A93" s="289">
        <v>23</v>
      </c>
      <c r="B93" s="290" t="s">
        <v>1020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1021</v>
      </c>
      <c r="C94" s="290">
        <f>data!Q92</f>
        <v>526</v>
      </c>
      <c r="D94" s="290">
        <f>data!R92</f>
        <v>0</v>
      </c>
      <c r="E94" s="290">
        <f>data!S92</f>
        <v>422</v>
      </c>
      <c r="F94" s="290">
        <f>data!T92</f>
        <v>0</v>
      </c>
      <c r="G94" s="290">
        <f>data!U92</f>
        <v>861</v>
      </c>
      <c r="H94" s="290">
        <f>data!V92</f>
        <v>150</v>
      </c>
      <c r="I94" s="290">
        <f>data!W92</f>
        <v>168</v>
      </c>
    </row>
    <row r="95" spans="1:9" customFormat="1" ht="20.149999999999999" customHeight="1" x14ac:dyDescent="0.35">
      <c r="A95" s="289">
        <v>25</v>
      </c>
      <c r="B95" s="290" t="s">
        <v>1022</v>
      </c>
      <c r="C95" s="290">
        <f>data!Q93</f>
        <v>18489</v>
      </c>
      <c r="D95" s="290">
        <f>data!R93</f>
        <v>0</v>
      </c>
      <c r="E95" s="290">
        <f>data!S93</f>
        <v>468</v>
      </c>
      <c r="F95" s="290">
        <f>data!T93</f>
        <v>0</v>
      </c>
      <c r="G95" s="290">
        <f>data!U93</f>
        <v>195</v>
      </c>
      <c r="H95" s="290">
        <f>data!V93</f>
        <v>1287</v>
      </c>
      <c r="I95" s="290">
        <f>data!W93</f>
        <v>3784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3.19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1004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1031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Astria Sunnyside Hospital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1006</v>
      </c>
      <c r="C102" s="296" t="s">
        <v>1032</v>
      </c>
      <c r="D102" s="296" t="s">
        <v>1033</v>
      </c>
      <c r="E102" s="296" t="s">
        <v>1033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1010</v>
      </c>
      <c r="C104" s="291" t="s">
        <v>251</v>
      </c>
      <c r="D104" s="292" t="s">
        <v>1034</v>
      </c>
      <c r="E104" s="292" t="s">
        <v>1034</v>
      </c>
      <c r="F104" s="292" t="s">
        <v>1034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2.02</v>
      </c>
      <c r="D106" s="297">
        <f>data!Y60</f>
        <v>20.05</v>
      </c>
      <c r="E106" s="297">
        <f>data!Z60</f>
        <v>0</v>
      </c>
      <c r="F106" s="297">
        <f>data!AA60</f>
        <v>0.48</v>
      </c>
      <c r="G106" s="297">
        <f>data!AB60</f>
        <v>7.68</v>
      </c>
      <c r="H106" s="297">
        <f>data!AC60</f>
        <v>0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190476</v>
      </c>
      <c r="D107" s="290">
        <f>data!Y61</f>
        <v>2692628</v>
      </c>
      <c r="E107" s="290">
        <f>data!Z61</f>
        <v>0</v>
      </c>
      <c r="F107" s="290">
        <f>data!AA61</f>
        <v>82331</v>
      </c>
      <c r="G107" s="290">
        <f>data!AB61</f>
        <v>749401</v>
      </c>
      <c r="H107" s="290">
        <f>data!AC61</f>
        <v>0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58807</v>
      </c>
      <c r="D108" s="290">
        <f>data!Y62</f>
        <v>746950</v>
      </c>
      <c r="E108" s="290">
        <f>data!Z62</f>
        <v>0</v>
      </c>
      <c r="F108" s="290">
        <f>data!AA62</f>
        <v>19829</v>
      </c>
      <c r="G108" s="290">
        <f>data!AB62</f>
        <v>217262</v>
      </c>
      <c r="H108" s="290">
        <f>data!AC62</f>
        <v>0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0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39352</v>
      </c>
      <c r="D110" s="290">
        <f>data!Y64</f>
        <v>579205</v>
      </c>
      <c r="E110" s="290">
        <f>data!Z64</f>
        <v>0</v>
      </c>
      <c r="F110" s="290">
        <f>data!AA64</f>
        <v>81093</v>
      </c>
      <c r="G110" s="290">
        <f>data!AB64</f>
        <v>6856476</v>
      </c>
      <c r="H110" s="290">
        <f>data!AC64</f>
        <v>105762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526</v>
      </c>
      <c r="C111" s="290">
        <f>data!X65</f>
        <v>0</v>
      </c>
      <c r="D111" s="290">
        <f>data!Y65</f>
        <v>4351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527</v>
      </c>
      <c r="C112" s="290">
        <f>data!X66</f>
        <v>91568</v>
      </c>
      <c r="D112" s="290">
        <f>data!Y66</f>
        <v>1111572</v>
      </c>
      <c r="E112" s="290">
        <f>data!Z66</f>
        <v>0</v>
      </c>
      <c r="F112" s="290">
        <f>data!AA66</f>
        <v>36654</v>
      </c>
      <c r="G112" s="290">
        <f>data!AB66</f>
        <v>145390</v>
      </c>
      <c r="H112" s="290">
        <f>data!AC66</f>
        <v>802122</v>
      </c>
      <c r="I112" s="290">
        <f>data!AD66</f>
        <v>480548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9251</v>
      </c>
      <c r="D113" s="290">
        <f>data!Y67</f>
        <v>79288</v>
      </c>
      <c r="E113" s="290">
        <f>data!Z67</f>
        <v>0</v>
      </c>
      <c r="F113" s="290">
        <f>data!AA67</f>
        <v>8635</v>
      </c>
      <c r="G113" s="290">
        <f>data!AB67</f>
        <v>18544</v>
      </c>
      <c r="H113" s="290">
        <f>data!AC67</f>
        <v>6853</v>
      </c>
      <c r="I113" s="290">
        <f>data!AD67</f>
        <v>5644</v>
      </c>
    </row>
    <row r="114" spans="1:9" customFormat="1" ht="20.149999999999999" customHeight="1" x14ac:dyDescent="0.35">
      <c r="A114" s="289">
        <v>13</v>
      </c>
      <c r="B114" s="290" t="s">
        <v>1011</v>
      </c>
      <c r="C114" s="290">
        <f>data!X68</f>
        <v>0</v>
      </c>
      <c r="D114" s="290">
        <f>data!Y68</f>
        <v>-788</v>
      </c>
      <c r="E114" s="290">
        <f>data!Z68</f>
        <v>0</v>
      </c>
      <c r="F114" s="290">
        <f>data!AA68</f>
        <v>0</v>
      </c>
      <c r="G114" s="290">
        <f>data!AB68</f>
        <v>174567</v>
      </c>
      <c r="H114" s="290">
        <f>data!AC68</f>
        <v>59278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1012</v>
      </c>
      <c r="C115" s="290">
        <f>data!X69</f>
        <v>1915</v>
      </c>
      <c r="D115" s="290">
        <f>data!Y69</f>
        <v>18563</v>
      </c>
      <c r="E115" s="290">
        <f>data!Z69</f>
        <v>0</v>
      </c>
      <c r="F115" s="290">
        <f>data!AA69</f>
        <v>5780</v>
      </c>
      <c r="G115" s="290">
        <f>data!AB69</f>
        <v>55933</v>
      </c>
      <c r="H115" s="290">
        <f>data!AC69</f>
        <v>7472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1013</v>
      </c>
      <c r="C117" s="290">
        <f>data!X85</f>
        <v>391369</v>
      </c>
      <c r="D117" s="290">
        <f>data!Y85</f>
        <v>5231769</v>
      </c>
      <c r="E117" s="290">
        <f>data!Z85</f>
        <v>0</v>
      </c>
      <c r="F117" s="290">
        <f>data!AA85</f>
        <v>234322</v>
      </c>
      <c r="G117" s="290">
        <f>data!AB85</f>
        <v>8217573</v>
      </c>
      <c r="H117" s="290">
        <f>data!AC85</f>
        <v>981487</v>
      </c>
      <c r="I117" s="290">
        <f>data!AD85</f>
        <v>486192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1014</v>
      </c>
      <c r="C119" s="298">
        <f>+data!M689</f>
        <v>510227</v>
      </c>
      <c r="D119" s="298">
        <f>+data!M690</f>
        <v>2035504</v>
      </c>
      <c r="E119" s="298">
        <f>+data!M691</f>
        <v>0</v>
      </c>
      <c r="F119" s="298">
        <f>+data!M692</f>
        <v>109094</v>
      </c>
      <c r="G119" s="298">
        <f>+data!M693</f>
        <v>2649848</v>
      </c>
      <c r="H119" s="298">
        <f>+data!M694</f>
        <v>308961</v>
      </c>
      <c r="I119" s="298">
        <f>+data!M695</f>
        <v>162931</v>
      </c>
    </row>
    <row r="120" spans="1:9" customFormat="1" ht="20.149999999999999" customHeight="1" x14ac:dyDescent="0.35">
      <c r="A120" s="289">
        <v>19</v>
      </c>
      <c r="B120" s="298" t="s">
        <v>1015</v>
      </c>
      <c r="C120" s="290">
        <f>data!X87</f>
        <v>3783499</v>
      </c>
      <c r="D120" s="290">
        <f>data!Y87</f>
        <v>1579099</v>
      </c>
      <c r="E120" s="290">
        <f>data!Z87</f>
        <v>0</v>
      </c>
      <c r="F120" s="290">
        <f>data!AA87</f>
        <v>33659</v>
      </c>
      <c r="G120" s="290">
        <f>data!AB87</f>
        <v>6178123</v>
      </c>
      <c r="H120" s="290">
        <f>data!AC87</f>
        <v>1356986</v>
      </c>
      <c r="I120" s="290">
        <f>data!AD87</f>
        <v>1860754</v>
      </c>
    </row>
    <row r="121" spans="1:9" customFormat="1" ht="20.149999999999999" customHeight="1" x14ac:dyDescent="0.35">
      <c r="A121" s="289">
        <v>20</v>
      </c>
      <c r="B121" s="298" t="s">
        <v>1016</v>
      </c>
      <c r="C121" s="290">
        <f>data!X88</f>
        <v>17669215</v>
      </c>
      <c r="D121" s="290">
        <f>data!Y88</f>
        <v>23718522</v>
      </c>
      <c r="E121" s="290">
        <f>data!Z88</f>
        <v>0</v>
      </c>
      <c r="F121" s="290">
        <f>data!AA88</f>
        <v>797196</v>
      </c>
      <c r="G121" s="290">
        <f>data!AB88</f>
        <v>34622384</v>
      </c>
      <c r="H121" s="290">
        <f>data!AC88</f>
        <v>1587555</v>
      </c>
      <c r="I121" s="290">
        <f>data!AD88</f>
        <v>137844</v>
      </c>
    </row>
    <row r="122" spans="1:9" customFormat="1" ht="20.149999999999999" customHeight="1" x14ac:dyDescent="0.35">
      <c r="A122" s="289">
        <v>21</v>
      </c>
      <c r="B122" s="298" t="s">
        <v>1017</v>
      </c>
      <c r="C122" s="290">
        <f>data!X89</f>
        <v>21452714</v>
      </c>
      <c r="D122" s="290">
        <f>data!Y89</f>
        <v>25297621</v>
      </c>
      <c r="E122" s="290">
        <f>data!Z89</f>
        <v>0</v>
      </c>
      <c r="F122" s="290">
        <f>data!AA89</f>
        <v>830855</v>
      </c>
      <c r="G122" s="290">
        <f>data!AB89</f>
        <v>40800507</v>
      </c>
      <c r="H122" s="290">
        <f>data!AC89</f>
        <v>2944541</v>
      </c>
      <c r="I122" s="290">
        <f>data!AD89</f>
        <v>1998598</v>
      </c>
    </row>
    <row r="123" spans="1:9" customFormat="1" ht="20.149999999999999" customHeight="1" x14ac:dyDescent="0.35">
      <c r="A123" s="289" t="s">
        <v>1018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1019</v>
      </c>
      <c r="C124" s="290">
        <f>data!X90</f>
        <v>436</v>
      </c>
      <c r="D124" s="290">
        <f>data!Y90</f>
        <v>3737</v>
      </c>
      <c r="E124" s="290">
        <f>data!Z90</f>
        <v>0</v>
      </c>
      <c r="F124" s="290">
        <f>data!AA90</f>
        <v>407</v>
      </c>
      <c r="G124" s="290">
        <f>data!AB90</f>
        <v>874</v>
      </c>
      <c r="H124" s="290">
        <f>data!AC90</f>
        <v>323</v>
      </c>
      <c r="I124" s="290">
        <f>data!AD90</f>
        <v>266</v>
      </c>
    </row>
    <row r="125" spans="1:9" customFormat="1" ht="20.149999999999999" customHeight="1" x14ac:dyDescent="0.35">
      <c r="A125" s="289">
        <v>23</v>
      </c>
      <c r="B125" s="290" t="s">
        <v>1020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1021</v>
      </c>
      <c r="C126" s="290">
        <f>data!X92</f>
        <v>0</v>
      </c>
      <c r="D126" s="290">
        <f>data!Y92</f>
        <v>1567</v>
      </c>
      <c r="E126" s="290">
        <f>data!Z92</f>
        <v>0</v>
      </c>
      <c r="F126" s="290">
        <f>data!AA92</f>
        <v>0</v>
      </c>
      <c r="G126" s="290">
        <f>data!AB92</f>
        <v>324</v>
      </c>
      <c r="H126" s="290">
        <f>data!AC92</f>
        <v>468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1022</v>
      </c>
      <c r="C127" s="290">
        <f>data!X93</f>
        <v>4876</v>
      </c>
      <c r="D127" s="290">
        <f>data!Y93</f>
        <v>38343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1004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1035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Astria Sunnyside Hospital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1006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1036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1010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1037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6.44</v>
      </c>
      <c r="D138" s="297">
        <f>data!AF60</f>
        <v>0</v>
      </c>
      <c r="E138" s="297">
        <f>data!AG60</f>
        <v>21.63</v>
      </c>
      <c r="F138" s="297">
        <f>data!AH60</f>
        <v>0</v>
      </c>
      <c r="G138" s="297">
        <f>data!AI60</f>
        <v>4.82</v>
      </c>
      <c r="H138" s="297">
        <f>data!AJ60</f>
        <v>80.91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456001</v>
      </c>
      <c r="D139" s="290">
        <f>data!AF61</f>
        <v>0</v>
      </c>
      <c r="E139" s="290">
        <f>data!AG61</f>
        <v>2796414</v>
      </c>
      <c r="F139" s="290">
        <f>data!AH61</f>
        <v>0</v>
      </c>
      <c r="G139" s="290">
        <f>data!AI61</f>
        <v>494197</v>
      </c>
      <c r="H139" s="290">
        <f>data!AJ61</f>
        <v>10313088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138075</v>
      </c>
      <c r="D140" s="290">
        <f>data!AF62</f>
        <v>0</v>
      </c>
      <c r="E140" s="290">
        <f>data!AG62</f>
        <v>797825</v>
      </c>
      <c r="F140" s="290">
        <f>data!AH62</f>
        <v>0</v>
      </c>
      <c r="G140" s="290">
        <f>data!AI62</f>
        <v>146147</v>
      </c>
      <c r="H140" s="290">
        <f>data!AJ62</f>
        <v>2689975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798176</v>
      </c>
      <c r="F141" s="290">
        <f>data!AH63</f>
        <v>0</v>
      </c>
      <c r="G141" s="290">
        <f>data!AI63</f>
        <v>0</v>
      </c>
      <c r="H141" s="290">
        <f>data!AJ63</f>
        <v>493787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48326</v>
      </c>
      <c r="D142" s="290">
        <f>data!AF64</f>
        <v>0</v>
      </c>
      <c r="E142" s="290">
        <f>data!AG64</f>
        <v>486678</v>
      </c>
      <c r="F142" s="290">
        <f>data!AH64</f>
        <v>0</v>
      </c>
      <c r="G142" s="290">
        <f>data!AI64</f>
        <v>123245</v>
      </c>
      <c r="H142" s="290">
        <f>data!AJ64</f>
        <v>608639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526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173700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527</v>
      </c>
      <c r="C144" s="290">
        <f>data!AE66</f>
        <v>7848</v>
      </c>
      <c r="D144" s="290">
        <f>data!AF66</f>
        <v>0</v>
      </c>
      <c r="E144" s="290">
        <f>data!AG66</f>
        <v>1540665</v>
      </c>
      <c r="F144" s="290">
        <f>data!AH66</f>
        <v>0</v>
      </c>
      <c r="G144" s="290">
        <f>data!AI66</f>
        <v>0</v>
      </c>
      <c r="H144" s="290">
        <f>data!AJ66</f>
        <v>1382310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6195</v>
      </c>
      <c r="D145" s="290">
        <f>data!AF67</f>
        <v>0</v>
      </c>
      <c r="E145" s="290">
        <f>data!AG67</f>
        <v>151531</v>
      </c>
      <c r="F145" s="290">
        <f>data!AH67</f>
        <v>0</v>
      </c>
      <c r="G145" s="290">
        <f>data!AI67</f>
        <v>40503</v>
      </c>
      <c r="H145" s="290">
        <f>data!AJ67</f>
        <v>664301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1011</v>
      </c>
      <c r="C146" s="290">
        <f>data!AE68</f>
        <v>28939</v>
      </c>
      <c r="D146" s="290">
        <f>data!AF68</f>
        <v>0</v>
      </c>
      <c r="E146" s="290">
        <f>data!AG68</f>
        <v>-990</v>
      </c>
      <c r="F146" s="290">
        <f>data!AH68</f>
        <v>0</v>
      </c>
      <c r="G146" s="290">
        <f>data!AI68</f>
        <v>0</v>
      </c>
      <c r="H146" s="290">
        <f>data!AJ68</f>
        <v>608654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1012</v>
      </c>
      <c r="C147" s="290">
        <f>data!AE69</f>
        <v>149344</v>
      </c>
      <c r="D147" s="290">
        <f>data!AF69</f>
        <v>0</v>
      </c>
      <c r="E147" s="290">
        <f>data!AG69</f>
        <v>815989</v>
      </c>
      <c r="F147" s="290">
        <f>data!AH69</f>
        <v>0</v>
      </c>
      <c r="G147" s="290">
        <f>data!AI69</f>
        <v>133830</v>
      </c>
      <c r="H147" s="290">
        <f>data!AJ69</f>
        <v>231216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1013</v>
      </c>
      <c r="C149" s="290">
        <f>data!AE85</f>
        <v>834728</v>
      </c>
      <c r="D149" s="290">
        <f>data!AF85</f>
        <v>0</v>
      </c>
      <c r="E149" s="290">
        <f>data!AG85</f>
        <v>7386288</v>
      </c>
      <c r="F149" s="290">
        <f>data!AH85</f>
        <v>0</v>
      </c>
      <c r="G149" s="290">
        <f>data!AI85</f>
        <v>937922</v>
      </c>
      <c r="H149" s="290">
        <f>data!AJ85</f>
        <v>17165670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1014</v>
      </c>
      <c r="C151" s="298">
        <f>+data!M696</f>
        <v>286545</v>
      </c>
      <c r="D151" s="298">
        <f>+data!M697</f>
        <v>0</v>
      </c>
      <c r="E151" s="298">
        <f>+data!M698</f>
        <v>3385382</v>
      </c>
      <c r="F151" s="298">
        <f>+data!M699</f>
        <v>0</v>
      </c>
      <c r="G151" s="298">
        <f>+data!M700</f>
        <v>741698</v>
      </c>
      <c r="H151" s="298">
        <f>+data!M701</f>
        <v>7711261</v>
      </c>
      <c r="I151" s="298">
        <f>+data!M702</f>
        <v>0</v>
      </c>
    </row>
    <row r="152" spans="1:9" customFormat="1" ht="20.149999999999999" customHeight="1" x14ac:dyDescent="0.35">
      <c r="A152" s="289">
        <v>19</v>
      </c>
      <c r="B152" s="298" t="s">
        <v>1015</v>
      </c>
      <c r="C152" s="290">
        <f>data!AE87</f>
        <v>598099</v>
      </c>
      <c r="D152" s="290">
        <f>data!AF87</f>
        <v>0</v>
      </c>
      <c r="E152" s="290">
        <f>data!AG87</f>
        <v>1633933</v>
      </c>
      <c r="F152" s="290">
        <f>data!AH87</f>
        <v>0</v>
      </c>
      <c r="G152" s="290">
        <f>data!AI87</f>
        <v>4711</v>
      </c>
      <c r="H152" s="290">
        <f>data!AJ87</f>
        <v>83546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1016</v>
      </c>
      <c r="C153" s="290">
        <f>data!AE88</f>
        <v>2647603</v>
      </c>
      <c r="D153" s="290">
        <f>data!AF88</f>
        <v>0</v>
      </c>
      <c r="E153" s="290">
        <f>data!AG88</f>
        <v>21892006</v>
      </c>
      <c r="F153" s="290">
        <f>data!AH88</f>
        <v>0</v>
      </c>
      <c r="G153" s="290">
        <f>data!AI88</f>
        <v>1456134</v>
      </c>
      <c r="H153" s="290">
        <f>data!AJ88</f>
        <v>15265738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1017</v>
      </c>
      <c r="C154" s="290">
        <f>data!AE89</f>
        <v>3245702</v>
      </c>
      <c r="D154" s="290">
        <f>data!AF89</f>
        <v>0</v>
      </c>
      <c r="E154" s="290">
        <f>data!AG89</f>
        <v>23525939</v>
      </c>
      <c r="F154" s="290">
        <f>data!AH89</f>
        <v>0</v>
      </c>
      <c r="G154" s="290">
        <f>data!AI89</f>
        <v>1460845</v>
      </c>
      <c r="H154" s="290">
        <f>data!AJ89</f>
        <v>15349284</v>
      </c>
      <c r="I154" s="290">
        <f>data!AK89</f>
        <v>0</v>
      </c>
    </row>
    <row r="155" spans="1:9" customFormat="1" ht="20.149999999999999" customHeight="1" x14ac:dyDescent="0.35">
      <c r="A155" s="289" t="s">
        <v>1018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1019</v>
      </c>
      <c r="C156" s="290">
        <f>data!AE90</f>
        <v>292</v>
      </c>
      <c r="D156" s="290">
        <f>data!AF90</f>
        <v>0</v>
      </c>
      <c r="E156" s="290">
        <f>data!AG90</f>
        <v>7142</v>
      </c>
      <c r="F156" s="290">
        <f>data!AH90</f>
        <v>0</v>
      </c>
      <c r="G156" s="290">
        <f>data!AI90</f>
        <v>1909</v>
      </c>
      <c r="H156" s="290">
        <f>data!AJ90</f>
        <v>31310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1020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2125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1021</v>
      </c>
      <c r="C158" s="290">
        <f>data!AE92</f>
        <v>520</v>
      </c>
      <c r="D158" s="290">
        <f>data!AF92</f>
        <v>0</v>
      </c>
      <c r="E158" s="290">
        <f>data!AG92</f>
        <v>4094</v>
      </c>
      <c r="F158" s="290">
        <f>data!AH92</f>
        <v>0</v>
      </c>
      <c r="G158" s="290">
        <f>data!AI92</f>
        <v>1197</v>
      </c>
      <c r="H158" s="290">
        <f>data!AJ92</f>
        <v>9952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1022</v>
      </c>
      <c r="C159" s="290">
        <f>data!AE93</f>
        <v>0</v>
      </c>
      <c r="D159" s="290">
        <f>data!AF93</f>
        <v>0</v>
      </c>
      <c r="E159" s="290">
        <f>data!AG93</f>
        <v>117487</v>
      </c>
      <c r="F159" s="290">
        <f>data!AH93</f>
        <v>0</v>
      </c>
      <c r="G159" s="290">
        <f>data!AI93</f>
        <v>27773</v>
      </c>
      <c r="H159" s="290">
        <f>data!AJ93</f>
        <v>11702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21.63</v>
      </c>
      <c r="F160" s="297">
        <f>data!AH94</f>
        <v>0</v>
      </c>
      <c r="G160" s="297">
        <f>data!AI94</f>
        <v>4.82</v>
      </c>
      <c r="H160" s="297">
        <f>data!AJ94</f>
        <v>0</v>
      </c>
      <c r="I160" s="297">
        <f>data!AK94</f>
        <v>0</v>
      </c>
    </row>
    <row r="161" spans="1:9" customFormat="1" ht="20.149999999999999" customHeight="1" x14ac:dyDescent="0.35">
      <c r="A161" s="283" t="s">
        <v>1004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1038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Astria Sunnyside Hospital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1006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1039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1040</v>
      </c>
      <c r="F167" s="296" t="s">
        <v>209</v>
      </c>
      <c r="G167" s="296" t="s">
        <v>148</v>
      </c>
      <c r="H167" s="295" t="s">
        <v>1041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1010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2.67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292842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85358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59003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526</v>
      </c>
      <c r="C175" s="290">
        <f>data!AL65</f>
        <v>7793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527</v>
      </c>
      <c r="C176" s="290">
        <f>data!AL66</f>
        <v>3895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1011</v>
      </c>
      <c r="C178" s="290">
        <f>data!AL68</f>
        <v>16254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1012</v>
      </c>
      <c r="C179" s="290">
        <f>data!AL69</f>
        <v>11649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1013</v>
      </c>
      <c r="C181" s="290">
        <f>data!AL85</f>
        <v>476794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1014</v>
      </c>
      <c r="C183" s="298">
        <f>+data!M703</f>
        <v>203908</v>
      </c>
      <c r="D183" s="298">
        <f>+data!M704</f>
        <v>0</v>
      </c>
      <c r="E183" s="298">
        <f>+data!M705</f>
        <v>0</v>
      </c>
      <c r="F183" s="298">
        <f>+data!M706</f>
        <v>60234</v>
      </c>
      <c r="G183" s="298">
        <f>+data!M707</f>
        <v>0</v>
      </c>
      <c r="H183" s="298">
        <f>+data!M708</f>
        <v>0</v>
      </c>
      <c r="I183" s="298">
        <f>+data!M709</f>
        <v>0</v>
      </c>
    </row>
    <row r="184" spans="1:9" customFormat="1" ht="20.149999999999999" customHeight="1" x14ac:dyDescent="0.35">
      <c r="A184" s="289">
        <v>19</v>
      </c>
      <c r="B184" s="298" t="s">
        <v>1015</v>
      </c>
      <c r="C184" s="290">
        <f>data!AL87</f>
        <v>110219</v>
      </c>
      <c r="D184" s="290">
        <f>data!AM87</f>
        <v>0</v>
      </c>
      <c r="E184" s="290">
        <f>data!AN87</f>
        <v>0</v>
      </c>
      <c r="F184" s="290">
        <f>data!AO87</f>
        <v>3052758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1016</v>
      </c>
      <c r="C185" s="290">
        <f>data!AL88</f>
        <v>2273349</v>
      </c>
      <c r="D185" s="290">
        <f>data!AM88</f>
        <v>0</v>
      </c>
      <c r="E185" s="290">
        <f>data!AN88</f>
        <v>0</v>
      </c>
      <c r="F185" s="290">
        <f>data!AO88</f>
        <v>369076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1017</v>
      </c>
      <c r="C186" s="290">
        <f>data!AL89</f>
        <v>2383568</v>
      </c>
      <c r="D186" s="290">
        <f>data!AM89</f>
        <v>0</v>
      </c>
      <c r="E186" s="290">
        <f>data!AN89</f>
        <v>0</v>
      </c>
      <c r="F186" s="290">
        <f>data!AO89</f>
        <v>3421834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1018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1019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1020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1021</v>
      </c>
      <c r="C190" s="290">
        <f>data!AL92</f>
        <v>1423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1022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1004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1042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Astria Sunnyside Hospital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1006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1043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1044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1010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24961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12.98</v>
      </c>
      <c r="G202" s="297">
        <f>data!AW60</f>
        <v>0</v>
      </c>
      <c r="H202" s="297">
        <f>data!AX60</f>
        <v>0</v>
      </c>
      <c r="I202" s="297">
        <f>data!AY60</f>
        <v>10.200000000000001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1538081</v>
      </c>
      <c r="G203" s="290">
        <f>data!AW61</f>
        <v>0</v>
      </c>
      <c r="H203" s="290">
        <f>data!AX61</f>
        <v>0</v>
      </c>
      <c r="I203" s="290">
        <f>data!AY61</f>
        <v>425261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449601</v>
      </c>
      <c r="G204" s="290">
        <f>data!AW62</f>
        <v>0</v>
      </c>
      <c r="H204" s="290">
        <f>data!AX62</f>
        <v>0</v>
      </c>
      <c r="I204" s="290">
        <f>data!AY62</f>
        <v>123373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667030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459489</v>
      </c>
      <c r="G206" s="290">
        <f>data!AW64</f>
        <v>0</v>
      </c>
      <c r="H206" s="290">
        <f>data!AX64</f>
        <v>0</v>
      </c>
      <c r="I206" s="290">
        <f>data!AY64</f>
        <v>531953</v>
      </c>
    </row>
    <row r="207" spans="1:9" customFormat="1" ht="20.149999999999999" customHeight="1" x14ac:dyDescent="0.35">
      <c r="A207" s="289">
        <v>10</v>
      </c>
      <c r="B207" s="290" t="s">
        <v>526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4224</v>
      </c>
      <c r="G207" s="290">
        <f>data!AW65</f>
        <v>0</v>
      </c>
      <c r="H207" s="290">
        <f>data!AX65</f>
        <v>0</v>
      </c>
      <c r="I207" s="290">
        <f>data!AY65</f>
        <v>420</v>
      </c>
    </row>
    <row r="208" spans="1:9" customFormat="1" ht="20.149999999999999" customHeight="1" x14ac:dyDescent="0.35">
      <c r="A208" s="289">
        <v>11</v>
      </c>
      <c r="B208" s="290" t="s">
        <v>527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304613</v>
      </c>
      <c r="G208" s="290">
        <f>data!AW66</f>
        <v>0</v>
      </c>
      <c r="H208" s="290">
        <f>data!AX66</f>
        <v>0</v>
      </c>
      <c r="I208" s="290">
        <f>data!AY66</f>
        <v>4691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29385</v>
      </c>
      <c r="G209" s="290">
        <f>data!AW67</f>
        <v>0</v>
      </c>
      <c r="H209" s="290">
        <f>data!AX67</f>
        <v>0</v>
      </c>
      <c r="I209" s="290">
        <f>data!AY67</f>
        <v>54931</v>
      </c>
    </row>
    <row r="210" spans="1:9" customFormat="1" ht="20.149999999999999" customHeight="1" x14ac:dyDescent="0.35">
      <c r="A210" s="289">
        <v>13</v>
      </c>
      <c r="B210" s="290" t="s">
        <v>1011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-67</v>
      </c>
      <c r="G210" s="290">
        <f>data!AW68</f>
        <v>0</v>
      </c>
      <c r="H210" s="290">
        <f>data!AX68</f>
        <v>0</v>
      </c>
      <c r="I210" s="290">
        <f>data!AY68</f>
        <v>1065</v>
      </c>
    </row>
    <row r="211" spans="1:9" customFormat="1" ht="20.149999999999999" customHeight="1" x14ac:dyDescent="0.35">
      <c r="A211" s="289">
        <v>14</v>
      </c>
      <c r="B211" s="290" t="s">
        <v>1012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13870</v>
      </c>
      <c r="G211" s="290">
        <f>data!AW69</f>
        <v>0</v>
      </c>
      <c r="H211" s="290">
        <f>data!AX69</f>
        <v>0</v>
      </c>
      <c r="I211" s="290">
        <f>data!AY69</f>
        <v>60092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0</v>
      </c>
    </row>
    <row r="213" spans="1:9" customFormat="1" ht="20.149999999999999" customHeight="1" x14ac:dyDescent="0.35">
      <c r="A213" s="289">
        <v>16</v>
      </c>
      <c r="B213" s="298" t="s">
        <v>1013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3466226</v>
      </c>
      <c r="G213" s="290">
        <f>data!AW85</f>
        <v>0</v>
      </c>
      <c r="H213" s="290">
        <f>data!AX85</f>
        <v>0</v>
      </c>
      <c r="I213" s="290">
        <f>data!AY85</f>
        <v>1201786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1014</v>
      </c>
      <c r="C215" s="298">
        <f>+data!M710</f>
        <v>0</v>
      </c>
      <c r="D215" s="298">
        <f>+data!M711</f>
        <v>0</v>
      </c>
      <c r="E215" s="298">
        <f>+data!M712</f>
        <v>0</v>
      </c>
      <c r="F215" s="298">
        <f>+data!M713</f>
        <v>1074757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1015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527926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1016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7218998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1017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7746924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1018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1019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1385</v>
      </c>
      <c r="G220" s="290">
        <f>data!AW90</f>
        <v>0</v>
      </c>
      <c r="H220" s="290">
        <f>data!AX90</f>
        <v>0</v>
      </c>
      <c r="I220" s="290">
        <f>data!AY90</f>
        <v>2589</v>
      </c>
    </row>
    <row r="221" spans="1:9" customFormat="1" ht="20.149999999999999" customHeight="1" x14ac:dyDescent="0.35">
      <c r="A221" s="289">
        <v>23</v>
      </c>
      <c r="B221" s="290" t="s">
        <v>1020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1021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1341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1022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10023.540000000001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1004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1045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Astria Sunnyside Hospital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1006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1046</v>
      </c>
      <c r="F231" s="296" t="s">
        <v>1047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1010</v>
      </c>
      <c r="C232" s="292" t="s">
        <v>1048</v>
      </c>
      <c r="D232" s="292" t="s">
        <v>1049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101551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0</v>
      </c>
      <c r="E234" s="297">
        <f>data!BB60</f>
        <v>0</v>
      </c>
      <c r="F234" s="297">
        <f>data!BC60</f>
        <v>0</v>
      </c>
      <c r="G234" s="297">
        <f>data!BD60</f>
        <v>4.55</v>
      </c>
      <c r="H234" s="297">
        <f>data!BE60</f>
        <v>4.5199999999999996</v>
      </c>
      <c r="I234" s="297">
        <f>data!BF60</f>
        <v>18.78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0</v>
      </c>
      <c r="E235" s="290">
        <f>data!BB61</f>
        <v>107406</v>
      </c>
      <c r="F235" s="290">
        <f>data!BC61</f>
        <v>0</v>
      </c>
      <c r="G235" s="290">
        <f>data!BD61</f>
        <v>181761</v>
      </c>
      <c r="H235" s="290">
        <f>data!BE61</f>
        <v>337110</v>
      </c>
      <c r="I235" s="290">
        <f>data!BF61</f>
        <v>794999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32632</v>
      </c>
      <c r="F236" s="290">
        <f>data!BC62</f>
        <v>0</v>
      </c>
      <c r="G236" s="290">
        <f>data!BD62</f>
        <v>52377</v>
      </c>
      <c r="H236" s="290">
        <f>data!BE62</f>
        <v>99414</v>
      </c>
      <c r="I236" s="290">
        <f>data!BF62</f>
        <v>235802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4505</v>
      </c>
      <c r="E238" s="290">
        <f>data!BB64</f>
        <v>232</v>
      </c>
      <c r="F238" s="290">
        <f>data!BC64</f>
        <v>0</v>
      </c>
      <c r="G238" s="290">
        <f>data!BD64</f>
        <v>-78619</v>
      </c>
      <c r="H238" s="290">
        <f>data!BE64</f>
        <v>85164</v>
      </c>
      <c r="I238" s="290">
        <f>data!BF64</f>
        <v>101908</v>
      </c>
    </row>
    <row r="239" spans="1:9" customFormat="1" ht="20.149999999999999" customHeight="1" x14ac:dyDescent="0.35">
      <c r="A239" s="289">
        <v>10</v>
      </c>
      <c r="B239" s="290" t="s">
        <v>526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542942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527</v>
      </c>
      <c r="C240" s="290">
        <f>data!AZ66</f>
        <v>0</v>
      </c>
      <c r="D240" s="290">
        <f>data!BA66</f>
        <v>0</v>
      </c>
      <c r="E240" s="290">
        <f>data!BB66</f>
        <v>15255</v>
      </c>
      <c r="F240" s="290">
        <f>data!BC66</f>
        <v>0</v>
      </c>
      <c r="G240" s="290">
        <f>data!BD66</f>
        <v>1703</v>
      </c>
      <c r="H240" s="290">
        <f>data!BE66</f>
        <v>355048</v>
      </c>
      <c r="I240" s="290">
        <f>data!BF66</f>
        <v>149741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17950</v>
      </c>
      <c r="H241" s="290">
        <f>data!BE67</f>
        <v>265975</v>
      </c>
      <c r="I241" s="290">
        <f>data!BF67</f>
        <v>21620</v>
      </c>
    </row>
    <row r="242" spans="1:9" customFormat="1" ht="20.149999999999999" customHeight="1" x14ac:dyDescent="0.35">
      <c r="A242" s="289">
        <v>13</v>
      </c>
      <c r="B242" s="290" t="s">
        <v>1011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37640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1012</v>
      </c>
      <c r="C243" s="290">
        <f>data!AZ69</f>
        <v>0</v>
      </c>
      <c r="D243" s="290">
        <f>data!BA69</f>
        <v>268721</v>
      </c>
      <c r="E243" s="290">
        <f>data!BB69</f>
        <v>0</v>
      </c>
      <c r="F243" s="290">
        <f>data!BC69</f>
        <v>0</v>
      </c>
      <c r="G243" s="290">
        <f>data!BD69</f>
        <v>67110</v>
      </c>
      <c r="H243" s="290">
        <f>data!BE69</f>
        <v>204895</v>
      </c>
      <c r="I243" s="290">
        <f>data!BF69</f>
        <v>12697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1013</v>
      </c>
      <c r="C245" s="290">
        <f>data!AZ85</f>
        <v>0</v>
      </c>
      <c r="D245" s="290">
        <f>data!BA85</f>
        <v>273226</v>
      </c>
      <c r="E245" s="290">
        <f>data!BB85</f>
        <v>155525</v>
      </c>
      <c r="F245" s="290">
        <f>data!BC85</f>
        <v>0</v>
      </c>
      <c r="G245" s="290">
        <f>data!BD85</f>
        <v>242282</v>
      </c>
      <c r="H245" s="290">
        <f>data!BE85</f>
        <v>1928188</v>
      </c>
      <c r="I245" s="290">
        <f>data!BF85</f>
        <v>1316767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1014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1015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1016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1017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1018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1019</v>
      </c>
      <c r="C252" s="306">
        <f>data!AZ90</f>
        <v>0</v>
      </c>
      <c r="D252" s="306">
        <f>data!BA90</f>
        <v>0</v>
      </c>
      <c r="E252" s="306">
        <f>data!BB90</f>
        <v>0</v>
      </c>
      <c r="F252" s="306">
        <f>data!BC90</f>
        <v>0</v>
      </c>
      <c r="G252" s="306">
        <f>data!BD90</f>
        <v>846</v>
      </c>
      <c r="H252" s="306">
        <f>data!BE90</f>
        <v>12536</v>
      </c>
      <c r="I252" s="306">
        <f>data!BF90</f>
        <v>1019</v>
      </c>
    </row>
    <row r="253" spans="1:9" customFormat="1" ht="20.149999999999999" customHeight="1" x14ac:dyDescent="0.35">
      <c r="A253" s="289">
        <v>23</v>
      </c>
      <c r="B253" s="290" t="s">
        <v>1020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1021</v>
      </c>
      <c r="C254" s="305" t="str">
        <f>IF(data!AZ92&gt;0,data!AZ92,"")</f>
        <v/>
      </c>
      <c r="D254" s="306">
        <f>data!BA92</f>
        <v>0</v>
      </c>
      <c r="E254" s="306">
        <f>data!BB92</f>
        <v>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/>
      </c>
    </row>
    <row r="255" spans="1:9" customFormat="1" ht="20.149999999999999" customHeight="1" x14ac:dyDescent="0.35">
      <c r="A255" s="289">
        <v>25</v>
      </c>
      <c r="B255" s="290" t="s">
        <v>1022</v>
      </c>
      <c r="C255" s="305" t="str">
        <f>IF(data!AZ93&gt;0,data!AZ93,"")</f>
        <v/>
      </c>
      <c r="D255" s="305" t="str">
        <f>IF(data!BA93&gt;0,data!BA93,"")</f>
        <v/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/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1004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1050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Astria Sunnyside Hospital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1006</v>
      </c>
      <c r="C262" s="296" t="s">
        <v>1051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1052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1053</v>
      </c>
    </row>
    <row r="264" spans="1:9" customFormat="1" ht="20.149999999999999" customHeight="1" x14ac:dyDescent="0.35">
      <c r="A264" s="289">
        <v>3</v>
      </c>
      <c r="B264" s="290" t="s">
        <v>1010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15.13</v>
      </c>
      <c r="E266" s="297">
        <f>data!BI60</f>
        <v>2.1800000000000002</v>
      </c>
      <c r="F266" s="297">
        <f>data!BJ60</f>
        <v>4.05</v>
      </c>
      <c r="G266" s="297">
        <f>data!BK60</f>
        <v>0</v>
      </c>
      <c r="H266" s="297">
        <f>data!BL60</f>
        <v>20.11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1169041</v>
      </c>
      <c r="E267" s="290">
        <f>data!BI61</f>
        <v>203738</v>
      </c>
      <c r="F267" s="290">
        <f>data!BJ61</f>
        <v>275215</v>
      </c>
      <c r="G267" s="290">
        <f>data!BK61</f>
        <v>0</v>
      </c>
      <c r="H267" s="290">
        <f>data!BL61</f>
        <v>901075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350220</v>
      </c>
      <c r="E268" s="290">
        <f>data!BI62</f>
        <v>58278</v>
      </c>
      <c r="F268" s="290">
        <f>data!BJ62</f>
        <v>81474</v>
      </c>
      <c r="G268" s="290">
        <f>data!BK62</f>
        <v>0</v>
      </c>
      <c r="H268" s="290">
        <f>data!BL62</f>
        <v>258646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573187</v>
      </c>
      <c r="E270" s="290">
        <f>data!BI64</f>
        <v>44098</v>
      </c>
      <c r="F270" s="290">
        <f>data!BJ64</f>
        <v>4830</v>
      </c>
      <c r="G270" s="290">
        <f>data!BK64</f>
        <v>0</v>
      </c>
      <c r="H270" s="290">
        <f>data!BL64</f>
        <v>20192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526</v>
      </c>
      <c r="C271" s="290">
        <f>data!BG65</f>
        <v>0</v>
      </c>
      <c r="D271" s="290">
        <f>data!BH65</f>
        <v>93684</v>
      </c>
      <c r="E271" s="290">
        <f>data!BI65</f>
        <v>1783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527</v>
      </c>
      <c r="C272" s="290">
        <f>data!BG66</f>
        <v>0</v>
      </c>
      <c r="D272" s="290">
        <f>data!BH66</f>
        <v>-165180</v>
      </c>
      <c r="E272" s="290">
        <f>data!BI66</f>
        <v>0</v>
      </c>
      <c r="F272" s="290">
        <f>data!BJ66</f>
        <v>923</v>
      </c>
      <c r="G272" s="290">
        <f>data!BK66</f>
        <v>0</v>
      </c>
      <c r="H272" s="290">
        <f>data!BL66</f>
        <v>440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2376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3522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1011</v>
      </c>
      <c r="C274" s="290">
        <f>data!BG68</f>
        <v>0</v>
      </c>
      <c r="D274" s="290">
        <f>data!BH68</f>
        <v>60459</v>
      </c>
      <c r="E274" s="290">
        <f>data!BI68</f>
        <v>0</v>
      </c>
      <c r="F274" s="290">
        <f>data!BJ68</f>
        <v>5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1012</v>
      </c>
      <c r="C275" s="290">
        <f>data!BG69</f>
        <v>0</v>
      </c>
      <c r="D275" s="290">
        <f>data!BH69</f>
        <v>46129</v>
      </c>
      <c r="E275" s="290">
        <f>data!BI69</f>
        <v>4216</v>
      </c>
      <c r="F275" s="290">
        <f>data!BJ69</f>
        <v>61035</v>
      </c>
      <c r="G275" s="290">
        <f>data!BK69</f>
        <v>0</v>
      </c>
      <c r="H275" s="290">
        <f>data!BL69</f>
        <v>806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1013</v>
      </c>
      <c r="C277" s="290">
        <f>data!BG85</f>
        <v>0</v>
      </c>
      <c r="D277" s="290">
        <f>data!BH85</f>
        <v>2129916</v>
      </c>
      <c r="E277" s="290">
        <f>data!BI85</f>
        <v>312113</v>
      </c>
      <c r="F277" s="290">
        <f>data!BJ85</f>
        <v>423482</v>
      </c>
      <c r="G277" s="290">
        <f>data!BK85</f>
        <v>0</v>
      </c>
      <c r="H277" s="290">
        <f>data!BL85</f>
        <v>1184681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1014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1015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1016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1017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1018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1019</v>
      </c>
      <c r="C284" s="306">
        <f>data!BG90</f>
        <v>0</v>
      </c>
      <c r="D284" s="306">
        <f>data!BH90</f>
        <v>112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166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1020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1021</v>
      </c>
      <c r="C286" s="305" t="str">
        <f>IF(data!BG92&gt;0,data!BG92,"")</f>
        <v/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520</v>
      </c>
      <c r="H286" s="306">
        <f>data!BL92</f>
        <v>891</v>
      </c>
      <c r="I286" s="306">
        <f>data!BM92</f>
        <v>145</v>
      </c>
    </row>
    <row r="287" spans="1:9" customFormat="1" ht="20.149999999999999" customHeight="1" x14ac:dyDescent="0.35">
      <c r="A287" s="289">
        <v>25</v>
      </c>
      <c r="B287" s="290" t="s">
        <v>1022</v>
      </c>
      <c r="C287" s="305" t="str">
        <f>IF(data!BG93&gt;0,data!BG93,"")</f>
        <v/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1004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1054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Astria Sunnyside Hospital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1006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1055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1010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0.73</v>
      </c>
      <c r="D298" s="297">
        <f>data!BO60</f>
        <v>0</v>
      </c>
      <c r="E298" s="297">
        <f>data!BP60</f>
        <v>0</v>
      </c>
      <c r="F298" s="297">
        <f>data!BQ60</f>
        <v>3.08</v>
      </c>
      <c r="G298" s="297">
        <f>data!BR60</f>
        <v>0.01</v>
      </c>
      <c r="H298" s="297">
        <f>data!BS60</f>
        <v>0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56716</v>
      </c>
      <c r="D299" s="290">
        <f>data!BO61</f>
        <v>0</v>
      </c>
      <c r="E299" s="290">
        <f>data!BP61</f>
        <v>0</v>
      </c>
      <c r="F299" s="290">
        <f>data!BQ61</f>
        <v>256500</v>
      </c>
      <c r="G299" s="290">
        <f>data!BR61</f>
        <v>216</v>
      </c>
      <c r="H299" s="290">
        <f>data!BS61</f>
        <v>0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19429</v>
      </c>
      <c r="D300" s="290">
        <f>data!BO62</f>
        <v>100</v>
      </c>
      <c r="E300" s="290">
        <f>data!BP62</f>
        <v>0</v>
      </c>
      <c r="F300" s="290">
        <f>data!BQ62</f>
        <v>78956</v>
      </c>
      <c r="G300" s="290">
        <f>data!BR62</f>
        <v>66</v>
      </c>
      <c r="H300" s="290">
        <f>data!BS62</f>
        <v>0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0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10313</v>
      </c>
      <c r="D302" s="290">
        <f>data!BO64</f>
        <v>4943</v>
      </c>
      <c r="E302" s="290">
        <f>data!BP64</f>
        <v>0</v>
      </c>
      <c r="F302" s="290">
        <f>data!BQ64</f>
        <v>5430</v>
      </c>
      <c r="G302" s="290">
        <f>data!BR64</f>
        <v>6834</v>
      </c>
      <c r="H302" s="290">
        <f>data!BS64</f>
        <v>0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526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960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527</v>
      </c>
      <c r="C304" s="290">
        <f>data!BN66</f>
        <v>118614</v>
      </c>
      <c r="D304" s="290">
        <f>data!BO66</f>
        <v>0</v>
      </c>
      <c r="E304" s="290">
        <f>data!BP66</f>
        <v>0</v>
      </c>
      <c r="F304" s="290">
        <f>data!BQ66</f>
        <v>594</v>
      </c>
      <c r="G304" s="290">
        <f>data!BR66</f>
        <v>39621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48905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1011</v>
      </c>
      <c r="C306" s="290">
        <f>data!BN68</f>
        <v>35872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1012</v>
      </c>
      <c r="C307" s="290">
        <f>data!BN69</f>
        <v>14988690</v>
      </c>
      <c r="D307" s="290">
        <f>data!BO69</f>
        <v>0</v>
      </c>
      <c r="E307" s="290">
        <f>data!BP69</f>
        <v>0</v>
      </c>
      <c r="F307" s="290">
        <f>data!BQ69</f>
        <v>4394</v>
      </c>
      <c r="G307" s="290">
        <f>data!BR69</f>
        <v>125715</v>
      </c>
      <c r="H307" s="290">
        <f>data!BS69</f>
        <v>0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1013</v>
      </c>
      <c r="C309" s="290">
        <f>data!BN85</f>
        <v>15278539</v>
      </c>
      <c r="D309" s="290">
        <f>data!BO85</f>
        <v>5043</v>
      </c>
      <c r="E309" s="290">
        <f>data!BP85</f>
        <v>0</v>
      </c>
      <c r="F309" s="290">
        <f>data!BQ85</f>
        <v>346834</v>
      </c>
      <c r="G309" s="290">
        <f>data!BR85</f>
        <v>172452</v>
      </c>
      <c r="H309" s="290">
        <f>data!BS85</f>
        <v>0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1014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1015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1016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1017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1018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1019</v>
      </c>
      <c r="C316" s="306">
        <f>data!BN90</f>
        <v>2305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0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1020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1021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0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1022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1004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1056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Astria Sunnyside Hospital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1006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1055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1010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5.13</v>
      </c>
      <c r="E330" s="297">
        <f>data!BW60</f>
        <v>0</v>
      </c>
      <c r="F330" s="297">
        <f>data!BX60</f>
        <v>0</v>
      </c>
      <c r="G330" s="297">
        <f>data!BY60</f>
        <v>4.67</v>
      </c>
      <c r="H330" s="297">
        <f>data!BZ60</f>
        <v>0</v>
      </c>
      <c r="I330" s="297">
        <f>data!CA60</f>
        <v>0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245951</v>
      </c>
      <c r="E331" s="309">
        <f>data!BW61</f>
        <v>0</v>
      </c>
      <c r="F331" s="309">
        <f>data!BX61</f>
        <v>0</v>
      </c>
      <c r="G331" s="309">
        <f>data!BY61</f>
        <v>717595</v>
      </c>
      <c r="H331" s="309">
        <f>data!BZ61</f>
        <v>0</v>
      </c>
      <c r="I331" s="309">
        <f>data!CA61</f>
        <v>0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73450</v>
      </c>
      <c r="E332" s="309">
        <f>data!BW62</f>
        <v>0</v>
      </c>
      <c r="F332" s="309">
        <f>data!BX62</f>
        <v>0</v>
      </c>
      <c r="G332" s="309">
        <f>data!BY62</f>
        <v>197728</v>
      </c>
      <c r="H332" s="309">
        <f>data!BZ62</f>
        <v>0</v>
      </c>
      <c r="I332" s="309">
        <f>data!CA62</f>
        <v>0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54672</v>
      </c>
      <c r="E334" s="309">
        <f>data!BW64</f>
        <v>0</v>
      </c>
      <c r="F334" s="309">
        <f>data!BX64</f>
        <v>0</v>
      </c>
      <c r="G334" s="309">
        <f>data!BY64</f>
        <v>15576</v>
      </c>
      <c r="H334" s="309">
        <f>data!BZ64</f>
        <v>0</v>
      </c>
      <c r="I334" s="309">
        <f>data!CA64</f>
        <v>0</v>
      </c>
    </row>
    <row r="335" spans="1:9" customFormat="1" ht="20.149999999999999" customHeight="1" x14ac:dyDescent="0.35">
      <c r="A335" s="289">
        <v>10</v>
      </c>
      <c r="B335" s="290" t="s">
        <v>526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527</v>
      </c>
      <c r="C336" s="309">
        <f>data!BU66</f>
        <v>0</v>
      </c>
      <c r="D336" s="309">
        <f>data!BV66</f>
        <v>79533</v>
      </c>
      <c r="E336" s="309">
        <f>data!BW66</f>
        <v>0</v>
      </c>
      <c r="F336" s="309">
        <f>data!BX66</f>
        <v>0</v>
      </c>
      <c r="G336" s="309">
        <f>data!BY66</f>
        <v>93794</v>
      </c>
      <c r="H336" s="309">
        <f>data!BZ66</f>
        <v>0</v>
      </c>
      <c r="I336" s="309">
        <f>data!CA66</f>
        <v>0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36790</v>
      </c>
      <c r="E337" s="309">
        <f>data!BW67</f>
        <v>0</v>
      </c>
      <c r="F337" s="309">
        <f>data!BX67</f>
        <v>0</v>
      </c>
      <c r="G337" s="309">
        <f>data!BY67</f>
        <v>31634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1011</v>
      </c>
      <c r="C338" s="309">
        <f>data!BU68</f>
        <v>0</v>
      </c>
      <c r="D338" s="309">
        <f>data!BV68</f>
        <v>8397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1012</v>
      </c>
      <c r="C339" s="309">
        <f>data!BU69</f>
        <v>0</v>
      </c>
      <c r="D339" s="309">
        <f>data!BV69</f>
        <v>17762</v>
      </c>
      <c r="E339" s="309">
        <f>data!BW69</f>
        <v>0</v>
      </c>
      <c r="F339" s="309">
        <f>data!BX69</f>
        <v>0</v>
      </c>
      <c r="G339" s="309">
        <f>data!BY69</f>
        <v>178262</v>
      </c>
      <c r="H339" s="309">
        <f>data!BZ69</f>
        <v>0</v>
      </c>
      <c r="I339" s="309">
        <f>data!CA69</f>
        <v>0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1013</v>
      </c>
      <c r="C341" s="290">
        <f>data!BU85</f>
        <v>0</v>
      </c>
      <c r="D341" s="290">
        <f>data!BV85</f>
        <v>516555</v>
      </c>
      <c r="E341" s="290">
        <f>data!BW85</f>
        <v>0</v>
      </c>
      <c r="F341" s="290">
        <f>data!BX85</f>
        <v>0</v>
      </c>
      <c r="G341" s="290">
        <f>data!BY85</f>
        <v>1234589</v>
      </c>
      <c r="H341" s="290">
        <f>data!BZ85</f>
        <v>0</v>
      </c>
      <c r="I341" s="290">
        <f>data!CA85</f>
        <v>0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1014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1015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1016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1017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1018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1019</v>
      </c>
      <c r="C348" s="306">
        <f>data!BU90</f>
        <v>0</v>
      </c>
      <c r="D348" s="306">
        <f>data!BV90</f>
        <v>1734</v>
      </c>
      <c r="E348" s="306">
        <f>data!BW90</f>
        <v>0</v>
      </c>
      <c r="F348" s="306">
        <f>data!BX90</f>
        <v>0</v>
      </c>
      <c r="G348" s="306">
        <f>data!BY90</f>
        <v>1491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1020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1021</v>
      </c>
      <c r="C350" s="306">
        <f>data!BU92</f>
        <v>0</v>
      </c>
      <c r="D350" s="306">
        <f>data!BV92</f>
        <v>147</v>
      </c>
      <c r="E350" s="306">
        <f>data!BW92</f>
        <v>0</v>
      </c>
      <c r="F350" s="306">
        <f>data!BX92</f>
        <v>0</v>
      </c>
      <c r="G350" s="306">
        <f>data!BY92</f>
        <v>0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1022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1004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1057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Astria Sunnyside Hospital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1006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1058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1010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10.66</v>
      </c>
      <c r="E362" s="312"/>
      <c r="F362" s="300"/>
      <c r="G362" s="300"/>
      <c r="H362" s="300"/>
      <c r="I362" s="313">
        <f>data!CE60</f>
        <v>350.07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135303</v>
      </c>
      <c r="E363" s="314"/>
      <c r="F363" s="314"/>
      <c r="G363" s="314"/>
      <c r="H363" s="314"/>
      <c r="I363" s="309">
        <f>data!CE61</f>
        <v>33676419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39204</v>
      </c>
      <c r="E364" s="314"/>
      <c r="F364" s="314"/>
      <c r="G364" s="314"/>
      <c r="H364" s="314"/>
      <c r="I364" s="309">
        <f>data!CE62</f>
        <v>9457913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3137</v>
      </c>
      <c r="E365" s="314"/>
      <c r="F365" s="314"/>
      <c r="G365" s="314"/>
      <c r="H365" s="314"/>
      <c r="I365" s="309">
        <f>data!CE63</f>
        <v>1997247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9083</v>
      </c>
      <c r="E366" s="314"/>
      <c r="F366" s="314"/>
      <c r="G366" s="314"/>
      <c r="H366" s="314"/>
      <c r="I366" s="309">
        <f>data!CE64</f>
        <v>17314569</v>
      </c>
    </row>
    <row r="367" spans="1:9" customFormat="1" ht="20.149999999999999" customHeight="1" x14ac:dyDescent="0.35">
      <c r="A367" s="289">
        <v>10</v>
      </c>
      <c r="B367" s="290" t="s">
        <v>526</v>
      </c>
      <c r="C367" s="309">
        <f>data!CB65</f>
        <v>0</v>
      </c>
      <c r="D367" s="309">
        <f>data!CC65</f>
        <v>119</v>
      </c>
      <c r="E367" s="314"/>
      <c r="F367" s="314"/>
      <c r="G367" s="314"/>
      <c r="H367" s="314"/>
      <c r="I367" s="309">
        <f>data!CE65</f>
        <v>830096</v>
      </c>
    </row>
    <row r="368" spans="1:9" customFormat="1" ht="20.149999999999999" customHeight="1" x14ac:dyDescent="0.35">
      <c r="A368" s="289">
        <v>11</v>
      </c>
      <c r="B368" s="290" t="s">
        <v>527</v>
      </c>
      <c r="C368" s="309">
        <f>data!CB66</f>
        <v>0</v>
      </c>
      <c r="D368" s="309">
        <f>data!CC66</f>
        <v>202987</v>
      </c>
      <c r="E368" s="314"/>
      <c r="F368" s="314"/>
      <c r="G368" s="314"/>
      <c r="H368" s="314"/>
      <c r="I368" s="309">
        <f>data!CE66</f>
        <v>9809131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3522</v>
      </c>
      <c r="E369" s="314"/>
      <c r="F369" s="314"/>
      <c r="G369" s="314"/>
      <c r="H369" s="314"/>
      <c r="I369" s="309">
        <f>data!CE67</f>
        <v>2154597</v>
      </c>
    </row>
    <row r="370" spans="1:9" customFormat="1" ht="20.149999999999999" customHeight="1" x14ac:dyDescent="0.35">
      <c r="A370" s="289">
        <v>13</v>
      </c>
      <c r="B370" s="290" t="s">
        <v>1011</v>
      </c>
      <c r="C370" s="309">
        <f>data!CB68</f>
        <v>0</v>
      </c>
      <c r="D370" s="309">
        <f>data!CC68</f>
        <v>96</v>
      </c>
      <c r="E370" s="314"/>
      <c r="F370" s="314"/>
      <c r="G370" s="314"/>
      <c r="H370" s="314"/>
      <c r="I370" s="309">
        <f>data!CE68</f>
        <v>1179412</v>
      </c>
    </row>
    <row r="371" spans="1:9" customFormat="1" ht="20.149999999999999" customHeight="1" x14ac:dyDescent="0.35">
      <c r="A371" s="289">
        <v>14</v>
      </c>
      <c r="B371" s="290" t="s">
        <v>1012</v>
      </c>
      <c r="C371" s="309">
        <f>data!CB69</f>
        <v>0</v>
      </c>
      <c r="D371" s="309">
        <f>data!CC69</f>
        <v>1396400</v>
      </c>
      <c r="E371" s="309">
        <f>data!CD69</f>
        <v>6241200</v>
      </c>
      <c r="F371" s="314"/>
      <c r="G371" s="314"/>
      <c r="H371" s="314"/>
      <c r="I371" s="309">
        <f>data!CE69</f>
        <v>30909417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0</v>
      </c>
      <c r="E372" s="290">
        <f>-data!CD84</f>
        <v>0</v>
      </c>
      <c r="F372" s="300"/>
      <c r="G372" s="300"/>
      <c r="H372" s="300"/>
      <c r="I372" s="290">
        <f>-data!CE84</f>
        <v>0</v>
      </c>
    </row>
    <row r="373" spans="1:9" customFormat="1" ht="20.149999999999999" customHeight="1" x14ac:dyDescent="0.35">
      <c r="A373" s="289">
        <v>16</v>
      </c>
      <c r="B373" s="298" t="s">
        <v>1013</v>
      </c>
      <c r="C373" s="309">
        <f>data!CB85</f>
        <v>0</v>
      </c>
      <c r="D373" s="309">
        <f>data!CC85</f>
        <v>1789851</v>
      </c>
      <c r="E373" s="309">
        <f>data!CD85</f>
        <v>6241200</v>
      </c>
      <c r="F373" s="314"/>
      <c r="G373" s="314"/>
      <c r="H373" s="314"/>
      <c r="I373" s="290">
        <f>data!CE85</f>
        <v>107328801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1014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1015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78914906</v>
      </c>
    </row>
    <row r="377" spans="1:9" customFormat="1" ht="20.149999999999999" customHeight="1" x14ac:dyDescent="0.35">
      <c r="A377" s="289">
        <v>20</v>
      </c>
      <c r="B377" s="298" t="s">
        <v>1016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234098445</v>
      </c>
    </row>
    <row r="378" spans="1:9" customFormat="1" ht="20.149999999999999" customHeight="1" x14ac:dyDescent="0.35">
      <c r="A378" s="289">
        <v>21</v>
      </c>
      <c r="B378" s="298" t="s">
        <v>1017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313013351</v>
      </c>
    </row>
    <row r="379" spans="1:9" customFormat="1" ht="20.149999999999999" customHeight="1" x14ac:dyDescent="0.35">
      <c r="A379" s="289" t="s">
        <v>1018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1019</v>
      </c>
      <c r="C380" s="306">
        <f>data!CB90</f>
        <v>0</v>
      </c>
      <c r="D380" s="306">
        <f>data!CC90</f>
        <v>166</v>
      </c>
      <c r="E380" s="300"/>
      <c r="F380" s="300"/>
      <c r="G380" s="300"/>
      <c r="H380" s="300"/>
      <c r="I380" s="290">
        <f>data!CE90</f>
        <v>101551</v>
      </c>
    </row>
    <row r="381" spans="1:9" customFormat="1" ht="20.149999999999999" customHeight="1" x14ac:dyDescent="0.35">
      <c r="A381" s="289">
        <v>23</v>
      </c>
      <c r="B381" s="290" t="s">
        <v>1020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24961</v>
      </c>
    </row>
    <row r="382" spans="1:9" customFormat="1" ht="20.149999999999999" customHeight="1" x14ac:dyDescent="0.35">
      <c r="A382" s="289">
        <v>24</v>
      </c>
      <c r="B382" s="290" t="s">
        <v>1021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39068</v>
      </c>
    </row>
    <row r="383" spans="1:9" customFormat="1" ht="20.149999999999999" customHeight="1" x14ac:dyDescent="0.35">
      <c r="A383" s="289">
        <v>25</v>
      </c>
      <c r="B383" s="290" t="s">
        <v>1022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530407.54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87.06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5905-0B03-4B28-AAC7-073CF8BFE14F}">
  <sheetPr syncVertical="1" syncRef="BW77" transitionEvaluation="1" transitionEntry="1" codeName="Sheet12">
    <tabColor rgb="FF92D050"/>
    <pageSetUpPr autoPageBreaks="0" fitToPage="1"/>
  </sheetPr>
  <dimension ref="A1:CF717"/>
  <sheetViews>
    <sheetView topLeftCell="BW77" zoomScaleNormal="100" workbookViewId="0">
      <selection activeCell="CF94" sqref="CF9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2894707</v>
      </c>
      <c r="C47" s="20">
        <v>115502</v>
      </c>
      <c r="D47" s="20">
        <v>0</v>
      </c>
      <c r="E47" s="20">
        <v>282032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94461</v>
      </c>
      <c r="Q47" s="20">
        <v>53821</v>
      </c>
      <c r="R47" s="20">
        <v>0</v>
      </c>
      <c r="S47" s="20">
        <v>4252</v>
      </c>
      <c r="T47" s="20">
        <v>0</v>
      </c>
      <c r="U47" s="20">
        <v>160387</v>
      </c>
      <c r="V47" s="20">
        <v>15408</v>
      </c>
      <c r="W47" s="20">
        <v>16211</v>
      </c>
      <c r="X47" s="20">
        <v>20414</v>
      </c>
      <c r="Y47" s="20">
        <v>257261</v>
      </c>
      <c r="Z47" s="20">
        <v>0</v>
      </c>
      <c r="AA47" s="20">
        <v>-1517</v>
      </c>
      <c r="AB47" s="20">
        <v>83633</v>
      </c>
      <c r="AC47" s="20">
        <v>0</v>
      </c>
      <c r="AD47" s="20">
        <v>0</v>
      </c>
      <c r="AE47" s="20">
        <v>44665</v>
      </c>
      <c r="AF47" s="20">
        <v>0</v>
      </c>
      <c r="AG47" s="20">
        <v>265954</v>
      </c>
      <c r="AH47" s="20">
        <v>0</v>
      </c>
      <c r="AI47" s="20">
        <v>58597</v>
      </c>
      <c r="AJ47" s="20">
        <v>719191</v>
      </c>
      <c r="AK47" s="20">
        <v>0</v>
      </c>
      <c r="AL47" s="20">
        <v>22376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105247</v>
      </c>
      <c r="AW47" s="20">
        <v>0</v>
      </c>
      <c r="AX47" s="20">
        <v>0</v>
      </c>
      <c r="AY47" s="20">
        <v>72411</v>
      </c>
      <c r="AZ47" s="20">
        <v>0</v>
      </c>
      <c r="BA47" s="20">
        <v>0</v>
      </c>
      <c r="BB47" s="20">
        <v>12038</v>
      </c>
      <c r="BC47" s="20">
        <v>0</v>
      </c>
      <c r="BD47" s="20">
        <v>20383</v>
      </c>
      <c r="BE47" s="20">
        <v>21855</v>
      </c>
      <c r="BF47" s="20">
        <v>75467</v>
      </c>
      <c r="BG47" s="20">
        <v>0</v>
      </c>
      <c r="BH47" s="20">
        <v>118071</v>
      </c>
      <c r="BI47" s="20">
        <v>8830</v>
      </c>
      <c r="BJ47" s="20">
        <v>30415</v>
      </c>
      <c r="BK47" s="20">
        <v>0</v>
      </c>
      <c r="BL47" s="20">
        <v>88114</v>
      </c>
      <c r="BM47" s="20">
        <v>0</v>
      </c>
      <c r="BN47" s="20">
        <v>6803</v>
      </c>
      <c r="BO47" s="20">
        <v>0</v>
      </c>
      <c r="BP47" s="20">
        <v>0</v>
      </c>
      <c r="BQ47" s="20">
        <v>26663</v>
      </c>
      <c r="BR47" s="20">
        <v>17882</v>
      </c>
      <c r="BS47" s="20">
        <v>0</v>
      </c>
      <c r="BT47" s="20">
        <v>0</v>
      </c>
      <c r="BU47" s="20">
        <v>0</v>
      </c>
      <c r="BV47" s="20">
        <v>27840</v>
      </c>
      <c r="BW47" s="20">
        <v>0</v>
      </c>
      <c r="BX47" s="20">
        <v>0</v>
      </c>
      <c r="BY47" s="20">
        <v>40705</v>
      </c>
      <c r="BZ47" s="20">
        <v>0</v>
      </c>
      <c r="CA47" s="20">
        <v>0</v>
      </c>
      <c r="CB47" s="20">
        <v>0</v>
      </c>
      <c r="CC47" s="20">
        <v>9334</v>
      </c>
      <c r="CD47" s="16"/>
      <c r="CE47" s="28">
        <v>2894706</v>
      </c>
    </row>
    <row r="48" spans="1:83" x14ac:dyDescent="0.35">
      <c r="A48" s="28" t="s">
        <v>232</v>
      </c>
      <c r="B48" s="242">
        <v>5016767</v>
      </c>
      <c r="C48" s="28">
        <v>189885</v>
      </c>
      <c r="D48" s="28">
        <v>0</v>
      </c>
      <c r="E48" s="28">
        <v>432366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158565</v>
      </c>
      <c r="Q48" s="28">
        <v>77076</v>
      </c>
      <c r="R48" s="28">
        <v>0</v>
      </c>
      <c r="S48" s="28">
        <v>12638</v>
      </c>
      <c r="T48" s="28">
        <v>0</v>
      </c>
      <c r="U48" s="28">
        <v>254032</v>
      </c>
      <c r="V48" s="28">
        <v>23915</v>
      </c>
      <c r="W48" s="28">
        <v>28275</v>
      </c>
      <c r="X48" s="28">
        <v>31516</v>
      </c>
      <c r="Y48" s="28">
        <v>461208</v>
      </c>
      <c r="Z48" s="28">
        <v>0</v>
      </c>
      <c r="AA48" s="28">
        <v>4200</v>
      </c>
      <c r="AB48" s="28">
        <v>136051</v>
      </c>
      <c r="AC48" s="28">
        <v>0</v>
      </c>
      <c r="AD48" s="28">
        <v>0</v>
      </c>
      <c r="AE48" s="28">
        <v>74484</v>
      </c>
      <c r="AF48" s="28">
        <v>0</v>
      </c>
      <c r="AG48" s="28">
        <v>452765</v>
      </c>
      <c r="AH48" s="28">
        <v>0</v>
      </c>
      <c r="AI48" s="28">
        <v>93522</v>
      </c>
      <c r="AJ48" s="28">
        <v>1550904</v>
      </c>
      <c r="AK48" s="28">
        <v>0</v>
      </c>
      <c r="AL48" s="28">
        <v>28915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171453</v>
      </c>
      <c r="AW48" s="28">
        <v>0</v>
      </c>
      <c r="AX48" s="28">
        <v>0</v>
      </c>
      <c r="AY48" s="28">
        <v>47491</v>
      </c>
      <c r="AZ48" s="28">
        <v>0</v>
      </c>
      <c r="BA48" s="28">
        <v>0</v>
      </c>
      <c r="BB48" s="28">
        <v>15447</v>
      </c>
      <c r="BC48" s="28">
        <v>0</v>
      </c>
      <c r="BD48" s="28">
        <v>37897</v>
      </c>
      <c r="BE48" s="28">
        <v>42308</v>
      </c>
      <c r="BF48" s="28">
        <v>119446</v>
      </c>
      <c r="BG48" s="28">
        <v>0</v>
      </c>
      <c r="BH48" s="28">
        <v>173406</v>
      </c>
      <c r="BI48" s="28">
        <v>18078</v>
      </c>
      <c r="BJ48" s="28">
        <v>49407</v>
      </c>
      <c r="BK48" s="28">
        <v>0</v>
      </c>
      <c r="BL48" s="28">
        <v>144319</v>
      </c>
      <c r="BM48" s="28">
        <v>0</v>
      </c>
      <c r="BN48" s="28">
        <v>9017</v>
      </c>
      <c r="BO48" s="28">
        <v>0</v>
      </c>
      <c r="BP48" s="28">
        <v>0</v>
      </c>
      <c r="BQ48" s="28">
        <v>36688</v>
      </c>
      <c r="BR48" s="28">
        <v>925</v>
      </c>
      <c r="BS48" s="28">
        <v>0</v>
      </c>
      <c r="BT48" s="28">
        <v>0</v>
      </c>
      <c r="BU48" s="28">
        <v>0</v>
      </c>
      <c r="BV48" s="28">
        <v>46291</v>
      </c>
      <c r="BW48" s="28">
        <v>0</v>
      </c>
      <c r="BX48" s="28">
        <v>0</v>
      </c>
      <c r="BY48" s="28">
        <v>73512</v>
      </c>
      <c r="BZ48" s="28">
        <v>0</v>
      </c>
      <c r="CA48" s="28">
        <v>0</v>
      </c>
      <c r="CB48" s="28">
        <v>0</v>
      </c>
      <c r="CC48" s="28">
        <v>20766</v>
      </c>
      <c r="CD48" s="28" t="s">
        <v>1059</v>
      </c>
      <c r="CE48" s="28" t="s">
        <v>1059</v>
      </c>
    </row>
    <row r="49" spans="1:83" x14ac:dyDescent="0.35">
      <c r="A49" s="16" t="s">
        <v>233</v>
      </c>
      <c r="B49" s="28">
        <v>7911474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3">
        <v>2265106</v>
      </c>
      <c r="C52" s="28">
        <v>45102</v>
      </c>
      <c r="D52" s="28">
        <v>0</v>
      </c>
      <c r="E52" s="28">
        <v>395303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75674</v>
      </c>
      <c r="P52" s="28">
        <v>77491</v>
      </c>
      <c r="Q52" s="28">
        <v>23308</v>
      </c>
      <c r="R52" s="28">
        <v>0</v>
      </c>
      <c r="S52" s="28">
        <v>31259</v>
      </c>
      <c r="T52" s="28">
        <v>0</v>
      </c>
      <c r="U52" s="28">
        <v>0</v>
      </c>
      <c r="V52" s="28">
        <v>51842</v>
      </c>
      <c r="W52" s="28">
        <v>0</v>
      </c>
      <c r="X52" s="28">
        <v>0</v>
      </c>
      <c r="Y52" s="28">
        <v>88267</v>
      </c>
      <c r="Z52" s="28">
        <v>0</v>
      </c>
      <c r="AA52" s="28">
        <v>4722</v>
      </c>
      <c r="AB52" s="28">
        <v>0</v>
      </c>
      <c r="AC52" s="28">
        <v>4964</v>
      </c>
      <c r="AD52" s="28">
        <v>0</v>
      </c>
      <c r="AE52" s="28">
        <v>0</v>
      </c>
      <c r="AF52" s="28">
        <v>0</v>
      </c>
      <c r="AG52" s="28">
        <v>162892</v>
      </c>
      <c r="AH52" s="28">
        <v>0</v>
      </c>
      <c r="AI52" s="28">
        <v>0</v>
      </c>
      <c r="AJ52" s="28">
        <v>592964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12653</v>
      </c>
      <c r="AW52" s="28">
        <v>0</v>
      </c>
      <c r="AX52" s="28">
        <v>0</v>
      </c>
      <c r="AY52" s="28">
        <v>63284</v>
      </c>
      <c r="AZ52" s="28">
        <v>0</v>
      </c>
      <c r="BA52" s="28">
        <v>13460</v>
      </c>
      <c r="BB52" s="28">
        <v>1957</v>
      </c>
      <c r="BC52" s="28">
        <v>0</v>
      </c>
      <c r="BD52" s="28">
        <v>0</v>
      </c>
      <c r="BE52" s="28">
        <v>157181</v>
      </c>
      <c r="BF52" s="28">
        <v>2240</v>
      </c>
      <c r="BG52" s="28">
        <v>0</v>
      </c>
      <c r="BH52" s="28">
        <v>0</v>
      </c>
      <c r="BI52" s="28">
        <v>0</v>
      </c>
      <c r="BJ52" s="28">
        <v>0</v>
      </c>
      <c r="BK52" s="28">
        <v>42458</v>
      </c>
      <c r="BL52" s="28">
        <v>0</v>
      </c>
      <c r="BM52" s="28">
        <v>0</v>
      </c>
      <c r="BN52" s="28">
        <v>334178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53618</v>
      </c>
      <c r="BW52" s="28">
        <v>0</v>
      </c>
      <c r="BX52" s="28">
        <v>0</v>
      </c>
      <c r="BY52" s="28">
        <v>3774</v>
      </c>
      <c r="BZ52" s="28">
        <v>0</v>
      </c>
      <c r="CA52" s="28">
        <v>0</v>
      </c>
      <c r="CB52" s="28">
        <v>0</v>
      </c>
      <c r="CC52" s="28">
        <v>26516</v>
      </c>
      <c r="CD52" s="28" t="s">
        <v>1059</v>
      </c>
      <c r="CE52" s="28" t="s">
        <v>1059</v>
      </c>
    </row>
    <row r="53" spans="1:83" x14ac:dyDescent="0.35">
      <c r="A53" s="16" t="s">
        <v>233</v>
      </c>
      <c r="B53" s="28">
        <v>2265106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1806</v>
      </c>
      <c r="D59" s="20">
        <v>0</v>
      </c>
      <c r="E59" s="20">
        <v>4444</v>
      </c>
      <c r="F59" s="20">
        <v>0</v>
      </c>
      <c r="G59" s="20">
        <v>0</v>
      </c>
      <c r="H59" s="20">
        <v>0</v>
      </c>
      <c r="I59" s="20">
        <v>0</v>
      </c>
      <c r="J59" s="20">
        <v>322</v>
      </c>
      <c r="K59" s="20">
        <v>0</v>
      </c>
      <c r="L59" s="20">
        <v>0</v>
      </c>
      <c r="M59" s="20">
        <v>0</v>
      </c>
      <c r="N59" s="20">
        <v>0</v>
      </c>
      <c r="O59" s="20">
        <v>235</v>
      </c>
      <c r="P59" s="26">
        <v>155238</v>
      </c>
      <c r="Q59" s="26">
        <v>0</v>
      </c>
      <c r="R59" s="26">
        <v>0</v>
      </c>
      <c r="S59" s="244">
        <v>0</v>
      </c>
      <c r="T59" s="244">
        <v>0</v>
      </c>
      <c r="U59" s="27">
        <v>171757</v>
      </c>
      <c r="V59" s="26">
        <v>1033</v>
      </c>
      <c r="W59" s="26">
        <v>1341</v>
      </c>
      <c r="X59" s="26">
        <v>8769</v>
      </c>
      <c r="Y59" s="26">
        <v>20835</v>
      </c>
      <c r="Z59" s="26">
        <v>0</v>
      </c>
      <c r="AA59" s="26">
        <v>539</v>
      </c>
      <c r="AB59" s="244">
        <v>0</v>
      </c>
      <c r="AC59" s="26">
        <v>16502</v>
      </c>
      <c r="AD59" s="26">
        <v>0</v>
      </c>
      <c r="AE59" s="26">
        <v>14005</v>
      </c>
      <c r="AF59" s="26">
        <v>0</v>
      </c>
      <c r="AG59" s="26">
        <v>15437</v>
      </c>
      <c r="AH59" s="26">
        <v>0</v>
      </c>
      <c r="AI59" s="26">
        <v>3121</v>
      </c>
      <c r="AJ59" s="26">
        <v>48164</v>
      </c>
      <c r="AK59" s="26">
        <v>0</v>
      </c>
      <c r="AL59" s="26">
        <v>7165</v>
      </c>
      <c r="AM59" s="26">
        <v>0</v>
      </c>
      <c r="AN59" s="26">
        <v>0</v>
      </c>
      <c r="AO59" s="26">
        <v>10224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25513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112246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12.21</v>
      </c>
      <c r="D60" s="245">
        <v>0</v>
      </c>
      <c r="E60" s="245">
        <v>28.97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12.63</v>
      </c>
      <c r="Q60" s="246">
        <v>3.26</v>
      </c>
      <c r="R60" s="246">
        <v>0</v>
      </c>
      <c r="S60" s="247">
        <v>1.31</v>
      </c>
      <c r="T60" s="247">
        <v>0</v>
      </c>
      <c r="U60" s="248">
        <v>24.35</v>
      </c>
      <c r="V60" s="246">
        <v>1.32</v>
      </c>
      <c r="W60" s="246">
        <v>1.85</v>
      </c>
      <c r="X60" s="246">
        <v>1.98</v>
      </c>
      <c r="Y60" s="246">
        <v>22.29</v>
      </c>
      <c r="Z60" s="246">
        <v>0</v>
      </c>
      <c r="AA60" s="246">
        <v>0</v>
      </c>
      <c r="AB60" s="247">
        <v>9</v>
      </c>
      <c r="AC60" s="246">
        <v>0.81</v>
      </c>
      <c r="AD60" s="246">
        <v>0</v>
      </c>
      <c r="AE60" s="246">
        <v>5.99</v>
      </c>
      <c r="AF60" s="246">
        <v>0</v>
      </c>
      <c r="AG60" s="246">
        <v>19.899999999999999</v>
      </c>
      <c r="AH60" s="246">
        <v>0</v>
      </c>
      <c r="AI60" s="246">
        <v>5.23</v>
      </c>
      <c r="AJ60" s="246">
        <v>79.41</v>
      </c>
      <c r="AK60" s="246">
        <v>0</v>
      </c>
      <c r="AL60" s="246">
        <v>2.85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13.739999999999998</v>
      </c>
      <c r="AW60" s="247">
        <v>0</v>
      </c>
      <c r="AX60" s="247">
        <v>0</v>
      </c>
      <c r="AY60" s="246">
        <v>7.81</v>
      </c>
      <c r="AZ60" s="246">
        <v>0</v>
      </c>
      <c r="BA60" s="247">
        <v>0</v>
      </c>
      <c r="BB60" s="247">
        <v>0</v>
      </c>
      <c r="BC60" s="247">
        <v>0</v>
      </c>
      <c r="BD60" s="247">
        <v>3.03</v>
      </c>
      <c r="BE60" s="246">
        <v>3.66</v>
      </c>
      <c r="BF60" s="247">
        <v>19.48</v>
      </c>
      <c r="BG60" s="247">
        <v>0</v>
      </c>
      <c r="BH60" s="247">
        <v>16.82</v>
      </c>
      <c r="BI60" s="247">
        <v>0.84</v>
      </c>
      <c r="BJ60" s="247">
        <v>4.51</v>
      </c>
      <c r="BK60" s="247">
        <v>12.84</v>
      </c>
      <c r="BL60" s="247">
        <v>19.010000000000002</v>
      </c>
      <c r="BM60" s="247">
        <v>0</v>
      </c>
      <c r="BN60" s="247">
        <v>0.86</v>
      </c>
      <c r="BO60" s="247">
        <v>0</v>
      </c>
      <c r="BP60" s="247">
        <v>0</v>
      </c>
      <c r="BQ60" s="247">
        <v>2.84</v>
      </c>
      <c r="BR60" s="247">
        <v>0.21</v>
      </c>
      <c r="BS60" s="247">
        <v>0</v>
      </c>
      <c r="BT60" s="247">
        <v>0</v>
      </c>
      <c r="BU60" s="247">
        <v>0</v>
      </c>
      <c r="BV60" s="247">
        <v>6.07</v>
      </c>
      <c r="BW60" s="247">
        <v>0</v>
      </c>
      <c r="BX60" s="247">
        <v>0</v>
      </c>
      <c r="BY60" s="247">
        <v>3.25</v>
      </c>
      <c r="BZ60" s="247">
        <v>0</v>
      </c>
      <c r="CA60" s="247">
        <v>0</v>
      </c>
      <c r="CB60" s="247">
        <v>0</v>
      </c>
      <c r="CC60" s="247">
        <v>2.2200000000000002</v>
      </c>
      <c r="CD60" s="219" t="s">
        <v>248</v>
      </c>
      <c r="CE60" s="237">
        <v>350.5499999999999</v>
      </c>
    </row>
    <row r="61" spans="1:83" s="210" customFormat="1" x14ac:dyDescent="0.35">
      <c r="A61" s="35" t="s">
        <v>263</v>
      </c>
      <c r="B61" s="16"/>
      <c r="C61" s="20">
        <v>1163489</v>
      </c>
      <c r="D61" s="20">
        <v>0</v>
      </c>
      <c r="E61" s="20">
        <v>2649250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971581</v>
      </c>
      <c r="Q61" s="26">
        <v>472268</v>
      </c>
      <c r="R61" s="26">
        <v>0</v>
      </c>
      <c r="S61" s="249">
        <v>77438</v>
      </c>
      <c r="T61" s="249">
        <v>0</v>
      </c>
      <c r="U61" s="27">
        <v>1556537</v>
      </c>
      <c r="V61" s="26">
        <v>146534</v>
      </c>
      <c r="W61" s="26">
        <v>173249</v>
      </c>
      <c r="X61" s="26">
        <v>193111</v>
      </c>
      <c r="Y61" s="26">
        <v>2825976</v>
      </c>
      <c r="Z61" s="26">
        <v>0</v>
      </c>
      <c r="AA61" s="26">
        <v>25737</v>
      </c>
      <c r="AB61" s="26">
        <v>833630</v>
      </c>
      <c r="AC61" s="26">
        <v>0</v>
      </c>
      <c r="AD61" s="26">
        <v>0</v>
      </c>
      <c r="AE61" s="26">
        <v>456390</v>
      </c>
      <c r="AF61" s="26">
        <v>0</v>
      </c>
      <c r="AG61" s="26">
        <v>2774242</v>
      </c>
      <c r="AH61" s="26">
        <v>0</v>
      </c>
      <c r="AI61" s="26">
        <v>573040</v>
      </c>
      <c r="AJ61" s="26">
        <v>9502912</v>
      </c>
      <c r="AK61" s="26">
        <v>0</v>
      </c>
      <c r="AL61" s="26">
        <v>177174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1050548</v>
      </c>
      <c r="AW61" s="249">
        <v>0</v>
      </c>
      <c r="AX61" s="249">
        <v>0</v>
      </c>
      <c r="AY61" s="26">
        <v>290995</v>
      </c>
      <c r="AZ61" s="26">
        <v>0</v>
      </c>
      <c r="BA61" s="249">
        <v>0</v>
      </c>
      <c r="BB61" s="249">
        <v>94651</v>
      </c>
      <c r="BC61" s="249">
        <v>0</v>
      </c>
      <c r="BD61" s="249">
        <v>232209</v>
      </c>
      <c r="BE61" s="26">
        <v>259236</v>
      </c>
      <c r="BF61" s="249">
        <v>731884</v>
      </c>
      <c r="BG61" s="249">
        <v>0</v>
      </c>
      <c r="BH61" s="249">
        <v>1062520</v>
      </c>
      <c r="BI61" s="249">
        <v>110768</v>
      </c>
      <c r="BJ61" s="249">
        <v>302735</v>
      </c>
      <c r="BK61" s="249">
        <v>0</v>
      </c>
      <c r="BL61" s="249">
        <v>884290</v>
      </c>
      <c r="BM61" s="249">
        <v>0</v>
      </c>
      <c r="BN61" s="249">
        <v>55249</v>
      </c>
      <c r="BO61" s="249">
        <v>0</v>
      </c>
      <c r="BP61" s="249">
        <v>0</v>
      </c>
      <c r="BQ61" s="249">
        <v>224800</v>
      </c>
      <c r="BR61" s="249">
        <v>5667</v>
      </c>
      <c r="BS61" s="249">
        <v>0</v>
      </c>
      <c r="BT61" s="249">
        <v>0</v>
      </c>
      <c r="BU61" s="249">
        <v>0</v>
      </c>
      <c r="BV61" s="249">
        <v>283641</v>
      </c>
      <c r="BW61" s="249">
        <v>0</v>
      </c>
      <c r="BX61" s="249">
        <v>0</v>
      </c>
      <c r="BY61" s="249">
        <v>450430</v>
      </c>
      <c r="BZ61" s="249">
        <v>0</v>
      </c>
      <c r="CA61" s="249">
        <v>0</v>
      </c>
      <c r="CB61" s="249">
        <v>0</v>
      </c>
      <c r="CC61" s="249">
        <v>127241</v>
      </c>
      <c r="CD61" s="25" t="s">
        <v>248</v>
      </c>
      <c r="CE61" s="28">
        <v>30739422</v>
      </c>
    </row>
    <row r="62" spans="1:83" x14ac:dyDescent="0.35">
      <c r="A62" s="35" t="s">
        <v>11</v>
      </c>
      <c r="B62" s="16"/>
      <c r="C62" s="28">
        <v>305387</v>
      </c>
      <c r="D62" s="28">
        <v>0</v>
      </c>
      <c r="E62" s="28">
        <v>714398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253026</v>
      </c>
      <c r="Q62" s="28">
        <v>130897</v>
      </c>
      <c r="R62" s="28">
        <v>0</v>
      </c>
      <c r="S62" s="28">
        <v>16890</v>
      </c>
      <c r="T62" s="28">
        <v>0</v>
      </c>
      <c r="U62" s="28">
        <v>414419</v>
      </c>
      <c r="V62" s="28">
        <v>39323</v>
      </c>
      <c r="W62" s="28">
        <v>44486</v>
      </c>
      <c r="X62" s="28">
        <v>51930</v>
      </c>
      <c r="Y62" s="28">
        <v>718469</v>
      </c>
      <c r="Z62" s="28">
        <v>0</v>
      </c>
      <c r="AA62" s="28">
        <v>2683</v>
      </c>
      <c r="AB62" s="28">
        <v>219684</v>
      </c>
      <c r="AC62" s="28">
        <v>0</v>
      </c>
      <c r="AD62" s="28">
        <v>0</v>
      </c>
      <c r="AE62" s="28">
        <v>119149</v>
      </c>
      <c r="AF62" s="28">
        <v>0</v>
      </c>
      <c r="AG62" s="28">
        <v>718719</v>
      </c>
      <c r="AH62" s="28">
        <v>0</v>
      </c>
      <c r="AI62" s="28">
        <v>152119</v>
      </c>
      <c r="AJ62" s="28">
        <v>2270095</v>
      </c>
      <c r="AK62" s="28">
        <v>0</v>
      </c>
      <c r="AL62" s="28">
        <v>51291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276700</v>
      </c>
      <c r="AW62" s="28">
        <v>0</v>
      </c>
      <c r="AX62" s="28">
        <v>0</v>
      </c>
      <c r="AY62" s="28">
        <v>119902</v>
      </c>
      <c r="AZ62" s="28">
        <v>0</v>
      </c>
      <c r="BA62" s="28">
        <v>0</v>
      </c>
      <c r="BB62" s="28">
        <v>27485</v>
      </c>
      <c r="BC62" s="28">
        <v>0</v>
      </c>
      <c r="BD62" s="28">
        <v>58280</v>
      </c>
      <c r="BE62" s="28">
        <v>64163</v>
      </c>
      <c r="BF62" s="28">
        <v>194913</v>
      </c>
      <c r="BG62" s="28">
        <v>0</v>
      </c>
      <c r="BH62" s="28">
        <v>291477</v>
      </c>
      <c r="BI62" s="28">
        <v>26908</v>
      </c>
      <c r="BJ62" s="28">
        <v>79822</v>
      </c>
      <c r="BK62" s="28">
        <v>0</v>
      </c>
      <c r="BL62" s="28">
        <v>232433</v>
      </c>
      <c r="BM62" s="28">
        <v>0</v>
      </c>
      <c r="BN62" s="28">
        <v>15820</v>
      </c>
      <c r="BO62" s="28">
        <v>0</v>
      </c>
      <c r="BP62" s="28">
        <v>0</v>
      </c>
      <c r="BQ62" s="28">
        <v>63351</v>
      </c>
      <c r="BR62" s="28">
        <v>18807</v>
      </c>
      <c r="BS62" s="28">
        <v>0</v>
      </c>
      <c r="BT62" s="28">
        <v>0</v>
      </c>
      <c r="BU62" s="28">
        <v>0</v>
      </c>
      <c r="BV62" s="28">
        <v>74131</v>
      </c>
      <c r="BW62" s="28">
        <v>0</v>
      </c>
      <c r="BX62" s="28">
        <v>0</v>
      </c>
      <c r="BY62" s="28">
        <v>114217</v>
      </c>
      <c r="BZ62" s="28">
        <v>0</v>
      </c>
      <c r="CA62" s="28">
        <v>0</v>
      </c>
      <c r="CB62" s="28">
        <v>0</v>
      </c>
      <c r="CC62" s="28">
        <v>30100</v>
      </c>
      <c r="CD62" s="25" t="s">
        <v>248</v>
      </c>
      <c r="CE62" s="28">
        <v>7911474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1987</v>
      </c>
      <c r="Q63" s="26">
        <v>0</v>
      </c>
      <c r="R63" s="26">
        <v>0</v>
      </c>
      <c r="S63" s="249">
        <v>0</v>
      </c>
      <c r="T63" s="249">
        <v>0</v>
      </c>
      <c r="U63" s="27">
        <v>60118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861582</v>
      </c>
      <c r="AH63" s="26">
        <v>0</v>
      </c>
      <c r="AI63" s="26">
        <v>0</v>
      </c>
      <c r="AJ63" s="26">
        <v>429262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447799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6069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129702</v>
      </c>
      <c r="CD63" s="25" t="s">
        <v>248</v>
      </c>
      <c r="CE63" s="28">
        <v>1936519</v>
      </c>
    </row>
    <row r="64" spans="1:83" x14ac:dyDescent="0.35">
      <c r="A64" s="35" t="s">
        <v>265</v>
      </c>
      <c r="B64" s="16"/>
      <c r="C64" s="20">
        <v>120779</v>
      </c>
      <c r="D64" s="20">
        <v>0</v>
      </c>
      <c r="E64" s="20">
        <v>276823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3532499</v>
      </c>
      <c r="Q64" s="26">
        <v>26894</v>
      </c>
      <c r="R64" s="26">
        <v>103806</v>
      </c>
      <c r="S64" s="249">
        <v>-49634</v>
      </c>
      <c r="T64" s="249">
        <v>138282</v>
      </c>
      <c r="U64" s="27">
        <v>815839</v>
      </c>
      <c r="V64" s="26">
        <v>1224</v>
      </c>
      <c r="W64" s="26">
        <v>7999</v>
      </c>
      <c r="X64" s="26">
        <v>8260</v>
      </c>
      <c r="Y64" s="26">
        <v>1135087</v>
      </c>
      <c r="Z64" s="26">
        <v>0</v>
      </c>
      <c r="AA64" s="26">
        <v>94421</v>
      </c>
      <c r="AB64" s="26">
        <v>5028297</v>
      </c>
      <c r="AC64" s="26">
        <v>99323</v>
      </c>
      <c r="AD64" s="26">
        <v>36</v>
      </c>
      <c r="AE64" s="26">
        <v>22713</v>
      </c>
      <c r="AF64" s="26">
        <v>0</v>
      </c>
      <c r="AG64" s="26">
        <v>481546</v>
      </c>
      <c r="AH64" s="26">
        <v>0</v>
      </c>
      <c r="AI64" s="26">
        <v>104823</v>
      </c>
      <c r="AJ64" s="26">
        <v>540131</v>
      </c>
      <c r="AK64" s="26">
        <v>0</v>
      </c>
      <c r="AL64" s="26">
        <v>57951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-180464</v>
      </c>
      <c r="AW64" s="249">
        <v>0</v>
      </c>
      <c r="AX64" s="249">
        <v>0</v>
      </c>
      <c r="AY64" s="26">
        <v>450205</v>
      </c>
      <c r="AZ64" s="26">
        <v>0</v>
      </c>
      <c r="BA64" s="249">
        <v>-66</v>
      </c>
      <c r="BB64" s="249">
        <v>981</v>
      </c>
      <c r="BC64" s="249">
        <v>0</v>
      </c>
      <c r="BD64" s="249">
        <v>-45581</v>
      </c>
      <c r="BE64" s="26">
        <v>20275</v>
      </c>
      <c r="BF64" s="249">
        <v>128297</v>
      </c>
      <c r="BG64" s="249">
        <v>0</v>
      </c>
      <c r="BH64" s="249">
        <v>167612</v>
      </c>
      <c r="BI64" s="249">
        <v>39579</v>
      </c>
      <c r="BJ64" s="249">
        <v>5672</v>
      </c>
      <c r="BK64" s="249">
        <v>0</v>
      </c>
      <c r="BL64" s="249">
        <v>20312</v>
      </c>
      <c r="BM64" s="249">
        <v>0</v>
      </c>
      <c r="BN64" s="249">
        <v>5716</v>
      </c>
      <c r="BO64" s="249">
        <v>0</v>
      </c>
      <c r="BP64" s="249">
        <v>0</v>
      </c>
      <c r="BQ64" s="249">
        <v>12392</v>
      </c>
      <c r="BR64" s="249">
        <v>6466</v>
      </c>
      <c r="BS64" s="249">
        <v>0</v>
      </c>
      <c r="BT64" s="249">
        <v>0</v>
      </c>
      <c r="BU64" s="249">
        <v>0</v>
      </c>
      <c r="BV64" s="249">
        <v>48556</v>
      </c>
      <c r="BW64" s="249">
        <v>0</v>
      </c>
      <c r="BX64" s="249">
        <v>0</v>
      </c>
      <c r="BY64" s="249">
        <v>8449</v>
      </c>
      <c r="BZ64" s="249">
        <v>0</v>
      </c>
      <c r="CA64" s="249">
        <v>0</v>
      </c>
      <c r="CB64" s="249">
        <v>0</v>
      </c>
      <c r="CC64" s="249">
        <v>14403</v>
      </c>
      <c r="CD64" s="25" t="s">
        <v>248</v>
      </c>
      <c r="CE64" s="28">
        <v>13249903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120</v>
      </c>
      <c r="V65" s="26">
        <v>0</v>
      </c>
      <c r="W65" s="26">
        <v>0</v>
      </c>
      <c r="X65" s="26">
        <v>0</v>
      </c>
      <c r="Y65" s="26">
        <v>5322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177839</v>
      </c>
      <c r="AK65" s="26">
        <v>0</v>
      </c>
      <c r="AL65" s="26">
        <v>5863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3741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479968</v>
      </c>
      <c r="BF65" s="249">
        <v>0</v>
      </c>
      <c r="BG65" s="249">
        <v>0</v>
      </c>
      <c r="BH65" s="249">
        <v>167596</v>
      </c>
      <c r="BI65" s="249">
        <v>2754</v>
      </c>
      <c r="BJ65" s="249">
        <v>0</v>
      </c>
      <c r="BK65" s="249">
        <v>0</v>
      </c>
      <c r="BL65" s="249">
        <v>90</v>
      </c>
      <c r="BM65" s="249">
        <v>0</v>
      </c>
      <c r="BN65" s="249">
        <v>0</v>
      </c>
      <c r="BO65" s="249">
        <v>0</v>
      </c>
      <c r="BP65" s="249">
        <v>0</v>
      </c>
      <c r="BQ65" s="249">
        <v>210</v>
      </c>
      <c r="BR65" s="249">
        <v>0</v>
      </c>
      <c r="BS65" s="249">
        <v>0</v>
      </c>
      <c r="BT65" s="249">
        <v>0</v>
      </c>
      <c r="BU65" s="249">
        <v>0</v>
      </c>
      <c r="BV65" s="249">
        <v>32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843535</v>
      </c>
    </row>
    <row r="66" spans="1:83" x14ac:dyDescent="0.35">
      <c r="A66" s="35" t="s">
        <v>267</v>
      </c>
      <c r="B66" s="16"/>
      <c r="C66" s="20">
        <v>14326</v>
      </c>
      <c r="D66" s="20">
        <v>0</v>
      </c>
      <c r="E66" s="20">
        <v>1069144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394516</v>
      </c>
      <c r="Q66" s="26">
        <v>808</v>
      </c>
      <c r="R66" s="26">
        <v>1191621</v>
      </c>
      <c r="S66" s="249">
        <v>22180</v>
      </c>
      <c r="T66" s="249">
        <v>0</v>
      </c>
      <c r="U66" s="27">
        <v>79933</v>
      </c>
      <c r="V66" s="26">
        <v>9649</v>
      </c>
      <c r="W66" s="26">
        <v>115657</v>
      </c>
      <c r="X66" s="26">
        <v>85756</v>
      </c>
      <c r="Y66" s="26">
        <v>1005162</v>
      </c>
      <c r="Z66" s="26">
        <v>0</v>
      </c>
      <c r="AA66" s="26">
        <v>59111</v>
      </c>
      <c r="AB66" s="26">
        <v>208317</v>
      </c>
      <c r="AC66" s="26">
        <v>851154</v>
      </c>
      <c r="AD66" s="26">
        <v>405721</v>
      </c>
      <c r="AE66" s="26">
        <v>14623</v>
      </c>
      <c r="AF66" s="26">
        <v>0</v>
      </c>
      <c r="AG66" s="26">
        <v>1188384</v>
      </c>
      <c r="AH66" s="26">
        <v>0</v>
      </c>
      <c r="AI66" s="26">
        <v>0</v>
      </c>
      <c r="AJ66" s="26">
        <v>2840510</v>
      </c>
      <c r="AK66" s="26">
        <v>0</v>
      </c>
      <c r="AL66" s="26">
        <v>3014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311893</v>
      </c>
      <c r="AW66" s="249">
        <v>0</v>
      </c>
      <c r="AX66" s="249">
        <v>0</v>
      </c>
      <c r="AY66" s="26">
        <v>26277</v>
      </c>
      <c r="AZ66" s="26">
        <v>0</v>
      </c>
      <c r="BA66" s="249">
        <v>0</v>
      </c>
      <c r="BB66" s="249">
        <v>0</v>
      </c>
      <c r="BC66" s="249">
        <v>0</v>
      </c>
      <c r="BD66" s="249">
        <v>-1827</v>
      </c>
      <c r="BE66" s="26">
        <v>294149</v>
      </c>
      <c r="BF66" s="249">
        <v>170627</v>
      </c>
      <c r="BG66" s="249">
        <v>0</v>
      </c>
      <c r="BH66" s="249">
        <v>-233342</v>
      </c>
      <c r="BI66" s="249">
        <v>10619</v>
      </c>
      <c r="BJ66" s="249">
        <v>117</v>
      </c>
      <c r="BK66" s="249">
        <v>0</v>
      </c>
      <c r="BL66" s="249">
        <v>0</v>
      </c>
      <c r="BM66" s="249">
        <v>0</v>
      </c>
      <c r="BN66" s="249">
        <v>223126</v>
      </c>
      <c r="BO66" s="249">
        <v>0</v>
      </c>
      <c r="BP66" s="249">
        <v>0</v>
      </c>
      <c r="BQ66" s="249">
        <v>425</v>
      </c>
      <c r="BR66" s="249">
        <v>26558</v>
      </c>
      <c r="BS66" s="249">
        <v>0</v>
      </c>
      <c r="BT66" s="249">
        <v>0</v>
      </c>
      <c r="BU66" s="249">
        <v>0</v>
      </c>
      <c r="BV66" s="249">
        <v>196043</v>
      </c>
      <c r="BW66" s="249">
        <v>0</v>
      </c>
      <c r="BX66" s="249">
        <v>0</v>
      </c>
      <c r="BY66" s="249">
        <v>127608</v>
      </c>
      <c r="BZ66" s="249">
        <v>0</v>
      </c>
      <c r="CA66" s="249">
        <v>0</v>
      </c>
      <c r="CB66" s="249">
        <v>0</v>
      </c>
      <c r="CC66" s="249">
        <v>190941</v>
      </c>
      <c r="CD66" s="25" t="s">
        <v>248</v>
      </c>
      <c r="CE66" s="28">
        <v>10902800</v>
      </c>
    </row>
    <row r="67" spans="1:83" x14ac:dyDescent="0.35">
      <c r="A67" s="35" t="s">
        <v>16</v>
      </c>
      <c r="B67" s="16"/>
      <c r="C67" s="28">
        <v>45102</v>
      </c>
      <c r="D67" s="28">
        <v>0</v>
      </c>
      <c r="E67" s="28">
        <v>395303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75674</v>
      </c>
      <c r="P67" s="28">
        <v>77491</v>
      </c>
      <c r="Q67" s="28">
        <v>23308</v>
      </c>
      <c r="R67" s="28">
        <v>0</v>
      </c>
      <c r="S67" s="28">
        <v>31259</v>
      </c>
      <c r="T67" s="28">
        <v>0</v>
      </c>
      <c r="U67" s="28">
        <v>0</v>
      </c>
      <c r="V67" s="28">
        <v>51842</v>
      </c>
      <c r="W67" s="28">
        <v>0</v>
      </c>
      <c r="X67" s="28">
        <v>0</v>
      </c>
      <c r="Y67" s="28">
        <v>88267</v>
      </c>
      <c r="Z67" s="28">
        <v>0</v>
      </c>
      <c r="AA67" s="28">
        <v>4722</v>
      </c>
      <c r="AB67" s="28">
        <v>0</v>
      </c>
      <c r="AC67" s="28">
        <v>4964</v>
      </c>
      <c r="AD67" s="28">
        <v>0</v>
      </c>
      <c r="AE67" s="28">
        <v>0</v>
      </c>
      <c r="AF67" s="28">
        <v>0</v>
      </c>
      <c r="AG67" s="28">
        <v>162892</v>
      </c>
      <c r="AH67" s="28">
        <v>0</v>
      </c>
      <c r="AI67" s="28">
        <v>0</v>
      </c>
      <c r="AJ67" s="28">
        <v>592964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12653</v>
      </c>
      <c r="AW67" s="28">
        <v>0</v>
      </c>
      <c r="AX67" s="28">
        <v>0</v>
      </c>
      <c r="AY67" s="28">
        <v>63284</v>
      </c>
      <c r="AZ67" s="28">
        <v>0</v>
      </c>
      <c r="BA67" s="28">
        <v>13460</v>
      </c>
      <c r="BB67" s="28">
        <v>1957</v>
      </c>
      <c r="BC67" s="28">
        <v>0</v>
      </c>
      <c r="BD67" s="28">
        <v>0</v>
      </c>
      <c r="BE67" s="28">
        <v>157181</v>
      </c>
      <c r="BF67" s="28">
        <v>2240</v>
      </c>
      <c r="BG67" s="28">
        <v>0</v>
      </c>
      <c r="BH67" s="28">
        <v>0</v>
      </c>
      <c r="BI67" s="28">
        <v>0</v>
      </c>
      <c r="BJ67" s="28">
        <v>0</v>
      </c>
      <c r="BK67" s="28">
        <v>42458</v>
      </c>
      <c r="BL67" s="28">
        <v>0</v>
      </c>
      <c r="BM67" s="28">
        <v>0</v>
      </c>
      <c r="BN67" s="28">
        <v>334178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53618</v>
      </c>
      <c r="BW67" s="28">
        <v>0</v>
      </c>
      <c r="BX67" s="28">
        <v>0</v>
      </c>
      <c r="BY67" s="28">
        <v>3774</v>
      </c>
      <c r="BZ67" s="28">
        <v>0</v>
      </c>
      <c r="CA67" s="28">
        <v>0</v>
      </c>
      <c r="CB67" s="28">
        <v>0</v>
      </c>
      <c r="CC67" s="28">
        <v>26516</v>
      </c>
      <c r="CD67" s="25" t="s">
        <v>248</v>
      </c>
      <c r="CE67" s="28">
        <v>2265107</v>
      </c>
    </row>
    <row r="68" spans="1:83" x14ac:dyDescent="0.35">
      <c r="A68" s="35" t="s">
        <v>268</v>
      </c>
      <c r="B68" s="28"/>
      <c r="C68" s="20">
        <v>8276</v>
      </c>
      <c r="D68" s="20">
        <v>0</v>
      </c>
      <c r="E68" s="20">
        <v>113791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10928</v>
      </c>
      <c r="Q68" s="26">
        <v>2124</v>
      </c>
      <c r="R68" s="26">
        <v>0</v>
      </c>
      <c r="S68" s="249">
        <v>0</v>
      </c>
      <c r="T68" s="249">
        <v>0</v>
      </c>
      <c r="U68" s="27">
        <v>-2548</v>
      </c>
      <c r="V68" s="26">
        <v>0</v>
      </c>
      <c r="W68" s="26">
        <v>0</v>
      </c>
      <c r="X68" s="26">
        <v>0</v>
      </c>
      <c r="Y68" s="26">
        <v>16202</v>
      </c>
      <c r="Z68" s="26">
        <v>0</v>
      </c>
      <c r="AA68" s="26">
        <v>0</v>
      </c>
      <c r="AB68" s="26">
        <v>101428</v>
      </c>
      <c r="AC68" s="26">
        <v>41496</v>
      </c>
      <c r="AD68" s="26">
        <v>0</v>
      </c>
      <c r="AE68" s="26">
        <v>36307</v>
      </c>
      <c r="AF68" s="26">
        <v>0</v>
      </c>
      <c r="AG68" s="26">
        <v>8542</v>
      </c>
      <c r="AH68" s="26">
        <v>0</v>
      </c>
      <c r="AI68" s="26">
        <v>0</v>
      </c>
      <c r="AJ68" s="26">
        <v>408810</v>
      </c>
      <c r="AK68" s="26">
        <v>0</v>
      </c>
      <c r="AL68" s="26">
        <v>16325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268</v>
      </c>
      <c r="AW68" s="249">
        <v>0</v>
      </c>
      <c r="AX68" s="249">
        <v>0</v>
      </c>
      <c r="AY68" s="26">
        <v>795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48717</v>
      </c>
      <c r="BF68" s="249">
        <v>0</v>
      </c>
      <c r="BG68" s="249">
        <v>0</v>
      </c>
      <c r="BH68" s="249">
        <v>86767</v>
      </c>
      <c r="BI68" s="249">
        <v>0</v>
      </c>
      <c r="BJ68" s="249">
        <v>5</v>
      </c>
      <c r="BK68" s="249">
        <v>0</v>
      </c>
      <c r="BL68" s="249">
        <v>0</v>
      </c>
      <c r="BM68" s="249">
        <v>0</v>
      </c>
      <c r="BN68" s="249">
        <v>100474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6200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6</v>
      </c>
      <c r="CD68" s="25" t="s">
        <v>248</v>
      </c>
      <c r="CE68" s="28">
        <v>1004913</v>
      </c>
    </row>
    <row r="69" spans="1:83" x14ac:dyDescent="0.35">
      <c r="A69" s="35" t="s">
        <v>269</v>
      </c>
      <c r="B69" s="16"/>
      <c r="C69" s="28">
        <v>2071993</v>
      </c>
      <c r="D69" s="28">
        <v>0</v>
      </c>
      <c r="E69" s="28">
        <v>2817587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329295</v>
      </c>
      <c r="Q69" s="28">
        <v>37409</v>
      </c>
      <c r="R69" s="28">
        <v>4035</v>
      </c>
      <c r="S69" s="28">
        <v>-2385</v>
      </c>
      <c r="T69" s="28">
        <v>-454</v>
      </c>
      <c r="U69" s="28">
        <v>1606566</v>
      </c>
      <c r="V69" s="28">
        <v>932</v>
      </c>
      <c r="W69" s="28">
        <v>1326</v>
      </c>
      <c r="X69" s="28">
        <v>224</v>
      </c>
      <c r="Y69" s="28">
        <v>83081</v>
      </c>
      <c r="Z69" s="28">
        <v>0</v>
      </c>
      <c r="AA69" s="28">
        <v>0</v>
      </c>
      <c r="AB69" s="28">
        <v>66854</v>
      </c>
      <c r="AC69" s="28">
        <v>16934</v>
      </c>
      <c r="AD69" s="28">
        <v>0</v>
      </c>
      <c r="AE69" s="28">
        <v>16416</v>
      </c>
      <c r="AF69" s="28">
        <v>0</v>
      </c>
      <c r="AG69" s="28">
        <v>496168</v>
      </c>
      <c r="AH69" s="28">
        <v>0</v>
      </c>
      <c r="AI69" s="28">
        <v>1770</v>
      </c>
      <c r="AJ69" s="28">
        <v>228944</v>
      </c>
      <c r="AK69" s="28">
        <v>0</v>
      </c>
      <c r="AL69" s="28">
        <v>6706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400</v>
      </c>
      <c r="AW69" s="28">
        <v>0</v>
      </c>
      <c r="AX69" s="28">
        <v>0</v>
      </c>
      <c r="AY69" s="28">
        <v>45236</v>
      </c>
      <c r="AZ69" s="28">
        <v>0</v>
      </c>
      <c r="BA69" s="28">
        <v>261643</v>
      </c>
      <c r="BB69" s="28">
        <v>30</v>
      </c>
      <c r="BC69" s="28">
        <v>0</v>
      </c>
      <c r="BD69" s="28">
        <v>-275714</v>
      </c>
      <c r="BE69" s="28">
        <v>275773</v>
      </c>
      <c r="BF69" s="28">
        <v>17423</v>
      </c>
      <c r="BG69" s="28">
        <v>0</v>
      </c>
      <c r="BH69" s="28">
        <v>73843</v>
      </c>
      <c r="BI69" s="28">
        <v>22307</v>
      </c>
      <c r="BJ69" s="28">
        <v>31354</v>
      </c>
      <c r="BK69" s="28">
        <v>0</v>
      </c>
      <c r="BL69" s="28">
        <v>2664</v>
      </c>
      <c r="BM69" s="28">
        <v>0</v>
      </c>
      <c r="BN69" s="28">
        <v>14830735</v>
      </c>
      <c r="BO69" s="28">
        <v>0</v>
      </c>
      <c r="BP69" s="28">
        <v>0</v>
      </c>
      <c r="BQ69" s="28">
        <v>2784</v>
      </c>
      <c r="BR69" s="28">
        <v>7714</v>
      </c>
      <c r="BS69" s="28">
        <v>0</v>
      </c>
      <c r="BT69" s="28">
        <v>0</v>
      </c>
      <c r="BU69" s="28">
        <v>0</v>
      </c>
      <c r="BV69" s="28">
        <v>7654</v>
      </c>
      <c r="BW69" s="28">
        <v>0</v>
      </c>
      <c r="BX69" s="28">
        <v>0</v>
      </c>
      <c r="BY69" s="28">
        <v>692889</v>
      </c>
      <c r="BZ69" s="28">
        <v>0</v>
      </c>
      <c r="CA69" s="28">
        <v>0</v>
      </c>
      <c r="CB69" s="28">
        <v>0</v>
      </c>
      <c r="CC69" s="28">
        <v>1267798</v>
      </c>
      <c r="CD69" s="28">
        <v>0</v>
      </c>
      <c r="CE69" s="28">
        <v>25047934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484051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484051</v>
      </c>
    </row>
    <row r="71" spans="1:83" x14ac:dyDescent="0.35">
      <c r="A71" s="29" t="s">
        <v>271</v>
      </c>
      <c r="B71" s="30"/>
      <c r="C71" s="239">
        <v>2068448</v>
      </c>
      <c r="D71" s="239">
        <v>0</v>
      </c>
      <c r="E71" s="239">
        <v>2804669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151446</v>
      </c>
      <c r="Q71" s="239">
        <v>39041</v>
      </c>
      <c r="R71" s="239">
        <v>0</v>
      </c>
      <c r="S71" s="239">
        <v>0</v>
      </c>
      <c r="T71" s="239">
        <v>0</v>
      </c>
      <c r="U71" s="239">
        <v>199775</v>
      </c>
      <c r="V71" s="239">
        <v>0</v>
      </c>
      <c r="W71" s="239">
        <v>0</v>
      </c>
      <c r="X71" s="239">
        <v>0</v>
      </c>
      <c r="Y71" s="239">
        <v>49476</v>
      </c>
      <c r="Z71" s="239">
        <v>0</v>
      </c>
      <c r="AA71" s="239">
        <v>0</v>
      </c>
      <c r="AB71" s="239">
        <v>0</v>
      </c>
      <c r="AC71" s="239">
        <v>6434</v>
      </c>
      <c r="AD71" s="239">
        <v>0</v>
      </c>
      <c r="AE71" s="239">
        <v>8503</v>
      </c>
      <c r="AF71" s="239">
        <v>0</v>
      </c>
      <c r="AG71" s="239">
        <v>473980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35100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653290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6490162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261643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261643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27215</v>
      </c>
      <c r="BK75" s="239">
        <v>0</v>
      </c>
      <c r="BL75" s="239">
        <v>0</v>
      </c>
      <c r="BM75" s="239">
        <v>0</v>
      </c>
      <c r="BN75" s="239">
        <v>122690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3800</v>
      </c>
      <c r="CD75" s="239">
        <v>0</v>
      </c>
      <c r="CE75" s="28">
        <v>153705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917085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917085</v>
      </c>
    </row>
    <row r="77" spans="1:83" x14ac:dyDescent="0.35">
      <c r="A77" s="29" t="s">
        <v>277</v>
      </c>
      <c r="B77" s="30"/>
      <c r="C77" s="239">
        <v>3260</v>
      </c>
      <c r="D77" s="239">
        <v>0</v>
      </c>
      <c r="E77" s="239">
        <v>7729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88916</v>
      </c>
      <c r="Q77" s="239">
        <v>-1632</v>
      </c>
      <c r="R77" s="239">
        <v>4035</v>
      </c>
      <c r="S77" s="239">
        <v>-2385</v>
      </c>
      <c r="T77" s="239">
        <v>-454</v>
      </c>
      <c r="U77" s="239">
        <v>-2997</v>
      </c>
      <c r="V77" s="239">
        <v>117</v>
      </c>
      <c r="W77" s="239">
        <v>663</v>
      </c>
      <c r="X77" s="239">
        <v>0</v>
      </c>
      <c r="Y77" s="239">
        <v>4108</v>
      </c>
      <c r="Z77" s="239">
        <v>0</v>
      </c>
      <c r="AA77" s="239">
        <v>0</v>
      </c>
      <c r="AB77" s="239">
        <v>7365</v>
      </c>
      <c r="AC77" s="239">
        <v>10364</v>
      </c>
      <c r="AD77" s="239">
        <v>0</v>
      </c>
      <c r="AE77" s="239">
        <v>99</v>
      </c>
      <c r="AF77" s="239">
        <v>0</v>
      </c>
      <c r="AG77" s="239">
        <v>9321</v>
      </c>
      <c r="AH77" s="239">
        <v>0</v>
      </c>
      <c r="AI77" s="239">
        <v>1770</v>
      </c>
      <c r="AJ77" s="239">
        <v>33876</v>
      </c>
      <c r="AK77" s="239">
        <v>0</v>
      </c>
      <c r="AL77" s="239">
        <v>485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-2348</v>
      </c>
      <c r="AW77" s="239">
        <v>0</v>
      </c>
      <c r="AX77" s="239">
        <v>0</v>
      </c>
      <c r="AY77" s="239">
        <v>9406</v>
      </c>
      <c r="AZ77" s="239">
        <v>0</v>
      </c>
      <c r="BA77" s="239">
        <v>0</v>
      </c>
      <c r="BB77" s="239">
        <v>0</v>
      </c>
      <c r="BC77" s="239">
        <v>0</v>
      </c>
      <c r="BD77" s="239">
        <v>772</v>
      </c>
      <c r="BE77" s="239">
        <v>273554</v>
      </c>
      <c r="BF77" s="239">
        <v>3302</v>
      </c>
      <c r="BG77" s="239">
        <v>0</v>
      </c>
      <c r="BH77" s="239">
        <v>41415</v>
      </c>
      <c r="BI77" s="239">
        <v>0</v>
      </c>
      <c r="BJ77" s="239">
        <v>50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2134</v>
      </c>
      <c r="BR77" s="239">
        <v>1986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10</v>
      </c>
      <c r="CD77" s="239">
        <v>0</v>
      </c>
      <c r="CE77" s="28">
        <v>494921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14501192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14501192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29</v>
      </c>
      <c r="Q81" s="239">
        <v>0</v>
      </c>
      <c r="R81" s="239">
        <v>0</v>
      </c>
      <c r="S81" s="239">
        <v>0</v>
      </c>
      <c r="T81" s="239">
        <v>0</v>
      </c>
      <c r="U81" s="239">
        <v>6825</v>
      </c>
      <c r="V81" s="239">
        <v>105</v>
      </c>
      <c r="W81" s="239">
        <v>0</v>
      </c>
      <c r="X81" s="239">
        <v>0</v>
      </c>
      <c r="Y81" s="239">
        <v>11559</v>
      </c>
      <c r="Z81" s="239">
        <v>0</v>
      </c>
      <c r="AA81" s="239">
        <v>0</v>
      </c>
      <c r="AB81" s="239">
        <v>7407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47771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815</v>
      </c>
      <c r="AZ81" s="239">
        <v>0</v>
      </c>
      <c r="BA81" s="239">
        <v>0</v>
      </c>
      <c r="BB81" s="239">
        <v>30</v>
      </c>
      <c r="BC81" s="239">
        <v>0</v>
      </c>
      <c r="BD81" s="239">
        <v>-94</v>
      </c>
      <c r="BE81" s="239">
        <v>1784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-8900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939361</v>
      </c>
      <c r="CD81" s="239">
        <v>0</v>
      </c>
      <c r="CE81" s="28">
        <v>1006692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285</v>
      </c>
      <c r="D83" s="20">
        <v>0</v>
      </c>
      <c r="E83" s="26">
        <v>5189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88904</v>
      </c>
      <c r="Q83" s="26">
        <v>0</v>
      </c>
      <c r="R83" s="27">
        <v>0</v>
      </c>
      <c r="S83" s="26">
        <v>0</v>
      </c>
      <c r="T83" s="20">
        <v>0</v>
      </c>
      <c r="U83" s="26">
        <v>1827</v>
      </c>
      <c r="V83" s="26">
        <v>710</v>
      </c>
      <c r="W83" s="20">
        <v>663</v>
      </c>
      <c r="X83" s="26">
        <v>224</v>
      </c>
      <c r="Y83" s="26">
        <v>17938</v>
      </c>
      <c r="Z83" s="26">
        <v>0</v>
      </c>
      <c r="AA83" s="26">
        <v>0</v>
      </c>
      <c r="AB83" s="26">
        <v>52082</v>
      </c>
      <c r="AC83" s="26">
        <v>136</v>
      </c>
      <c r="AD83" s="26">
        <v>0</v>
      </c>
      <c r="AE83" s="26">
        <v>7814</v>
      </c>
      <c r="AF83" s="26">
        <v>0</v>
      </c>
      <c r="AG83" s="26">
        <v>12867</v>
      </c>
      <c r="AH83" s="26">
        <v>0</v>
      </c>
      <c r="AI83" s="26">
        <v>0</v>
      </c>
      <c r="AJ83" s="26">
        <v>147297</v>
      </c>
      <c r="AK83" s="26">
        <v>0</v>
      </c>
      <c r="AL83" s="26">
        <v>6221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2748</v>
      </c>
      <c r="AW83" s="26">
        <v>0</v>
      </c>
      <c r="AX83" s="26">
        <v>0</v>
      </c>
      <c r="AY83" s="26">
        <v>-85</v>
      </c>
      <c r="AZ83" s="26">
        <v>0</v>
      </c>
      <c r="BA83" s="26">
        <v>0</v>
      </c>
      <c r="BB83" s="26">
        <v>0</v>
      </c>
      <c r="BC83" s="26">
        <v>0</v>
      </c>
      <c r="BD83" s="26">
        <v>-276392</v>
      </c>
      <c r="BE83" s="26">
        <v>435</v>
      </c>
      <c r="BF83" s="26">
        <v>14121</v>
      </c>
      <c r="BG83" s="26">
        <v>0</v>
      </c>
      <c r="BH83" s="27">
        <v>32428</v>
      </c>
      <c r="BI83" s="26">
        <v>22307</v>
      </c>
      <c r="BJ83" s="26">
        <v>4089</v>
      </c>
      <c r="BK83" s="26">
        <v>0</v>
      </c>
      <c r="BL83" s="26">
        <v>2664</v>
      </c>
      <c r="BM83" s="26">
        <v>0</v>
      </c>
      <c r="BN83" s="26">
        <v>215753</v>
      </c>
      <c r="BO83" s="26">
        <v>0</v>
      </c>
      <c r="BP83" s="26">
        <v>0</v>
      </c>
      <c r="BQ83" s="26">
        <v>650</v>
      </c>
      <c r="BR83" s="26">
        <v>5728</v>
      </c>
      <c r="BS83" s="26">
        <v>0</v>
      </c>
      <c r="BT83" s="26">
        <v>0</v>
      </c>
      <c r="BU83" s="26">
        <v>0</v>
      </c>
      <c r="BV83" s="26">
        <v>7654</v>
      </c>
      <c r="BW83" s="26">
        <v>0</v>
      </c>
      <c r="BX83" s="26">
        <v>0</v>
      </c>
      <c r="BY83" s="26">
        <v>39599</v>
      </c>
      <c r="BZ83" s="26">
        <v>0</v>
      </c>
      <c r="CA83" s="26">
        <v>0</v>
      </c>
      <c r="CB83" s="26">
        <v>0</v>
      </c>
      <c r="CC83" s="26">
        <v>324627</v>
      </c>
      <c r="CD83" s="31">
        <v>0</v>
      </c>
      <c r="CE83" s="28">
        <v>738483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3729352</v>
      </c>
      <c r="D85" s="28">
        <v>0</v>
      </c>
      <c r="E85" s="28">
        <v>8036296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75674</v>
      </c>
      <c r="P85" s="28">
        <v>5571323</v>
      </c>
      <c r="Q85" s="28">
        <v>693708</v>
      </c>
      <c r="R85" s="28">
        <v>1299462</v>
      </c>
      <c r="S85" s="28">
        <v>95748</v>
      </c>
      <c r="T85" s="28">
        <v>137828</v>
      </c>
      <c r="U85" s="28">
        <v>4530984</v>
      </c>
      <c r="V85" s="28">
        <v>249504</v>
      </c>
      <c r="W85" s="28">
        <v>342717</v>
      </c>
      <c r="X85" s="28">
        <v>339281</v>
      </c>
      <c r="Y85" s="28">
        <v>5877566</v>
      </c>
      <c r="Z85" s="28">
        <v>0</v>
      </c>
      <c r="AA85" s="28">
        <v>186674</v>
      </c>
      <c r="AB85" s="28">
        <v>6458210</v>
      </c>
      <c r="AC85" s="28">
        <v>1013871</v>
      </c>
      <c r="AD85" s="28">
        <v>405757</v>
      </c>
      <c r="AE85" s="28">
        <v>665598</v>
      </c>
      <c r="AF85" s="28">
        <v>0</v>
      </c>
      <c r="AG85" s="28">
        <v>6692075</v>
      </c>
      <c r="AH85" s="28">
        <v>0</v>
      </c>
      <c r="AI85" s="28">
        <v>831752</v>
      </c>
      <c r="AJ85" s="28">
        <v>16991467</v>
      </c>
      <c r="AK85" s="28">
        <v>0</v>
      </c>
      <c r="AL85" s="28">
        <v>318324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1923538</v>
      </c>
      <c r="AW85" s="28">
        <v>0</v>
      </c>
      <c r="AX85" s="28">
        <v>0</v>
      </c>
      <c r="AY85" s="28">
        <v>996694</v>
      </c>
      <c r="AZ85" s="28">
        <v>0</v>
      </c>
      <c r="BA85" s="28">
        <v>275037</v>
      </c>
      <c r="BB85" s="28">
        <v>125104</v>
      </c>
      <c r="BC85" s="28">
        <v>0</v>
      </c>
      <c r="BD85" s="28">
        <v>-32633</v>
      </c>
      <c r="BE85" s="28">
        <v>1599462</v>
      </c>
      <c r="BF85" s="28">
        <v>1245384</v>
      </c>
      <c r="BG85" s="28">
        <v>0</v>
      </c>
      <c r="BH85" s="28">
        <v>1616473</v>
      </c>
      <c r="BI85" s="28">
        <v>212935</v>
      </c>
      <c r="BJ85" s="28">
        <v>419705</v>
      </c>
      <c r="BK85" s="28">
        <v>42458</v>
      </c>
      <c r="BL85" s="28">
        <v>1139789</v>
      </c>
      <c r="BM85" s="28">
        <v>0</v>
      </c>
      <c r="BN85" s="28">
        <v>15571367</v>
      </c>
      <c r="BO85" s="28">
        <v>0</v>
      </c>
      <c r="BP85" s="28">
        <v>0</v>
      </c>
      <c r="BQ85" s="28">
        <v>303962</v>
      </c>
      <c r="BR85" s="28">
        <v>65212</v>
      </c>
      <c r="BS85" s="28">
        <v>0</v>
      </c>
      <c r="BT85" s="28">
        <v>0</v>
      </c>
      <c r="BU85" s="28">
        <v>0</v>
      </c>
      <c r="BV85" s="28">
        <v>669875</v>
      </c>
      <c r="BW85" s="28">
        <v>0</v>
      </c>
      <c r="BX85" s="28">
        <v>0</v>
      </c>
      <c r="BY85" s="28">
        <v>1397367</v>
      </c>
      <c r="BZ85" s="28">
        <v>0</v>
      </c>
      <c r="CA85" s="28">
        <v>0</v>
      </c>
      <c r="CB85" s="28">
        <v>0</v>
      </c>
      <c r="CC85" s="28">
        <v>1786707</v>
      </c>
      <c r="CD85" s="28">
        <v>0</v>
      </c>
      <c r="CE85" s="28">
        <v>93901607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8267064</v>
      </c>
      <c r="D87" s="20">
        <v>0</v>
      </c>
      <c r="E87" s="20">
        <v>14114320</v>
      </c>
      <c r="F87" s="20">
        <v>0</v>
      </c>
      <c r="G87" s="20">
        <v>0</v>
      </c>
      <c r="H87" s="20">
        <v>0</v>
      </c>
      <c r="I87" s="20">
        <v>0</v>
      </c>
      <c r="J87" s="20">
        <v>878576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10850315</v>
      </c>
      <c r="Q87" s="20">
        <v>1294634</v>
      </c>
      <c r="R87" s="20">
        <v>2421810</v>
      </c>
      <c r="S87" s="20">
        <v>9179423</v>
      </c>
      <c r="T87" s="20">
        <v>939520</v>
      </c>
      <c r="U87" s="20">
        <v>9953126</v>
      </c>
      <c r="V87" s="20">
        <v>1256079</v>
      </c>
      <c r="W87" s="20">
        <v>773411</v>
      </c>
      <c r="X87" s="20">
        <v>4315419</v>
      </c>
      <c r="Y87" s="20">
        <v>7920906</v>
      </c>
      <c r="Z87" s="20">
        <v>0</v>
      </c>
      <c r="AA87" s="20">
        <v>106566</v>
      </c>
      <c r="AB87" s="20">
        <v>7277101</v>
      </c>
      <c r="AC87" s="20">
        <v>2386189</v>
      </c>
      <c r="AD87" s="20">
        <v>2046479</v>
      </c>
      <c r="AE87" s="20">
        <v>360194</v>
      </c>
      <c r="AF87" s="20">
        <v>0</v>
      </c>
      <c r="AG87" s="20">
        <v>1831546</v>
      </c>
      <c r="AH87" s="20">
        <v>0</v>
      </c>
      <c r="AI87" s="20">
        <v>17833</v>
      </c>
      <c r="AJ87" s="20">
        <v>1380111</v>
      </c>
      <c r="AK87" s="20">
        <v>0</v>
      </c>
      <c r="AL87" s="20">
        <v>131237</v>
      </c>
      <c r="AM87" s="20">
        <v>0</v>
      </c>
      <c r="AN87" s="20">
        <v>0</v>
      </c>
      <c r="AO87" s="20">
        <v>2826972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185127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90713958</v>
      </c>
    </row>
    <row r="88" spans="1:84" x14ac:dyDescent="0.35">
      <c r="A88" s="22" t="s">
        <v>288</v>
      </c>
      <c r="B88" s="16"/>
      <c r="C88" s="20">
        <v>15792</v>
      </c>
      <c r="D88" s="20">
        <v>0</v>
      </c>
      <c r="E88" s="20">
        <v>1729876</v>
      </c>
      <c r="F88" s="20">
        <v>0</v>
      </c>
      <c r="G88" s="20">
        <v>0</v>
      </c>
      <c r="H88" s="20">
        <v>0</v>
      </c>
      <c r="I88" s="20">
        <v>0</v>
      </c>
      <c r="J88" s="20">
        <v>78636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22158278</v>
      </c>
      <c r="Q88" s="20">
        <v>3435984</v>
      </c>
      <c r="R88" s="20">
        <v>5929382</v>
      </c>
      <c r="S88" s="20">
        <v>7750221</v>
      </c>
      <c r="T88" s="20">
        <v>70526</v>
      </c>
      <c r="U88" s="20">
        <v>29118307</v>
      </c>
      <c r="V88" s="20">
        <v>1166037</v>
      </c>
      <c r="W88" s="20">
        <v>6705908</v>
      </c>
      <c r="X88" s="20">
        <v>17208503</v>
      </c>
      <c r="Y88" s="20">
        <v>26395695</v>
      </c>
      <c r="Z88" s="20">
        <v>0</v>
      </c>
      <c r="AA88" s="20">
        <v>789712</v>
      </c>
      <c r="AB88" s="20">
        <v>23410323</v>
      </c>
      <c r="AC88" s="20">
        <v>1757574</v>
      </c>
      <c r="AD88" s="20">
        <v>133053</v>
      </c>
      <c r="AE88" s="20">
        <v>1986241</v>
      </c>
      <c r="AF88" s="20">
        <v>0</v>
      </c>
      <c r="AG88" s="20">
        <v>20991070</v>
      </c>
      <c r="AH88" s="20">
        <v>0</v>
      </c>
      <c r="AI88" s="20">
        <v>1522230</v>
      </c>
      <c r="AJ88" s="20">
        <v>14208532</v>
      </c>
      <c r="AK88" s="20">
        <v>0</v>
      </c>
      <c r="AL88" s="20">
        <v>1736265</v>
      </c>
      <c r="AM88" s="20">
        <v>0</v>
      </c>
      <c r="AN88" s="20">
        <v>0</v>
      </c>
      <c r="AO88" s="20">
        <v>355697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5691515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194345357</v>
      </c>
    </row>
    <row r="89" spans="1:84" x14ac:dyDescent="0.35">
      <c r="A89" s="22" t="s">
        <v>289</v>
      </c>
      <c r="B89" s="16"/>
      <c r="C89" s="28">
        <v>8282856</v>
      </c>
      <c r="D89" s="28">
        <v>0</v>
      </c>
      <c r="E89" s="28">
        <v>15844196</v>
      </c>
      <c r="F89" s="28">
        <v>0</v>
      </c>
      <c r="G89" s="28">
        <v>0</v>
      </c>
      <c r="H89" s="28">
        <v>0</v>
      </c>
      <c r="I89" s="28">
        <v>0</v>
      </c>
      <c r="J89" s="28">
        <v>957212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33008593</v>
      </c>
      <c r="Q89" s="28">
        <v>4730618</v>
      </c>
      <c r="R89" s="28">
        <v>8351192</v>
      </c>
      <c r="S89" s="28">
        <v>16929644</v>
      </c>
      <c r="T89" s="28">
        <v>1010046</v>
      </c>
      <c r="U89" s="28">
        <v>39071433</v>
      </c>
      <c r="V89" s="28">
        <v>2422116</v>
      </c>
      <c r="W89" s="28">
        <v>7479319</v>
      </c>
      <c r="X89" s="28">
        <v>21523922</v>
      </c>
      <c r="Y89" s="28">
        <v>34316601</v>
      </c>
      <c r="Z89" s="28">
        <v>0</v>
      </c>
      <c r="AA89" s="28">
        <v>896278</v>
      </c>
      <c r="AB89" s="28">
        <v>30687424</v>
      </c>
      <c r="AC89" s="28">
        <v>4143763</v>
      </c>
      <c r="AD89" s="28">
        <v>2179532</v>
      </c>
      <c r="AE89" s="28">
        <v>2346435</v>
      </c>
      <c r="AF89" s="28">
        <v>0</v>
      </c>
      <c r="AG89" s="28">
        <v>22822616</v>
      </c>
      <c r="AH89" s="28">
        <v>0</v>
      </c>
      <c r="AI89" s="28">
        <v>1540063</v>
      </c>
      <c r="AJ89" s="28">
        <v>15588643</v>
      </c>
      <c r="AK89" s="28">
        <v>0</v>
      </c>
      <c r="AL89" s="28">
        <v>1867502</v>
      </c>
      <c r="AM89" s="28">
        <v>0</v>
      </c>
      <c r="AN89" s="28">
        <v>0</v>
      </c>
      <c r="AO89" s="28">
        <v>3182669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5876642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285059315</v>
      </c>
    </row>
    <row r="90" spans="1:84" x14ac:dyDescent="0.35">
      <c r="A90" s="35" t="s">
        <v>290</v>
      </c>
      <c r="B90" s="28"/>
      <c r="C90" s="20">
        <v>2235</v>
      </c>
      <c r="D90" s="20">
        <v>0</v>
      </c>
      <c r="E90" s="20">
        <v>19589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3750</v>
      </c>
      <c r="P90" s="20">
        <v>3840</v>
      </c>
      <c r="Q90" s="20">
        <v>1155</v>
      </c>
      <c r="R90" s="20">
        <v>0</v>
      </c>
      <c r="S90" s="20">
        <v>1549</v>
      </c>
      <c r="T90" s="20">
        <v>0</v>
      </c>
      <c r="U90" s="20">
        <v>0</v>
      </c>
      <c r="V90" s="20">
        <v>2569</v>
      </c>
      <c r="W90" s="20">
        <v>0</v>
      </c>
      <c r="X90" s="20">
        <v>0</v>
      </c>
      <c r="Y90" s="20">
        <v>4374</v>
      </c>
      <c r="Z90" s="20">
        <v>0</v>
      </c>
      <c r="AA90" s="20">
        <v>234</v>
      </c>
      <c r="AB90" s="20">
        <v>0</v>
      </c>
      <c r="AC90" s="20">
        <v>246</v>
      </c>
      <c r="AD90" s="20">
        <v>0</v>
      </c>
      <c r="AE90" s="20">
        <v>0</v>
      </c>
      <c r="AF90" s="20">
        <v>0</v>
      </c>
      <c r="AG90" s="20">
        <v>8072</v>
      </c>
      <c r="AH90" s="20">
        <v>0</v>
      </c>
      <c r="AI90" s="20">
        <v>0</v>
      </c>
      <c r="AJ90" s="20">
        <v>29384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627</v>
      </c>
      <c r="AW90" s="20">
        <v>0</v>
      </c>
      <c r="AX90" s="20">
        <v>0</v>
      </c>
      <c r="AY90" s="20">
        <v>3136</v>
      </c>
      <c r="AZ90" s="20">
        <v>0</v>
      </c>
      <c r="BA90" s="20">
        <v>667</v>
      </c>
      <c r="BB90" s="20">
        <v>97</v>
      </c>
      <c r="BC90" s="20">
        <v>0</v>
      </c>
      <c r="BD90" s="20">
        <v>0</v>
      </c>
      <c r="BE90" s="20">
        <v>7789</v>
      </c>
      <c r="BF90" s="20">
        <v>111</v>
      </c>
      <c r="BG90" s="20">
        <v>0</v>
      </c>
      <c r="BH90" s="20">
        <v>0</v>
      </c>
      <c r="BI90" s="20">
        <v>0</v>
      </c>
      <c r="BJ90" s="20">
        <v>0</v>
      </c>
      <c r="BK90" s="20">
        <v>2104</v>
      </c>
      <c r="BL90" s="20">
        <v>0</v>
      </c>
      <c r="BM90" s="20">
        <v>0</v>
      </c>
      <c r="BN90" s="20">
        <v>16560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2657</v>
      </c>
      <c r="BW90" s="20">
        <v>0</v>
      </c>
      <c r="BX90" s="20">
        <v>0</v>
      </c>
      <c r="BY90" s="20">
        <v>187</v>
      </c>
      <c r="BZ90" s="20">
        <v>0</v>
      </c>
      <c r="CA90" s="20">
        <v>0</v>
      </c>
      <c r="CB90" s="20">
        <v>0</v>
      </c>
      <c r="CC90" s="20">
        <v>1314</v>
      </c>
      <c r="CD90" s="234" t="s">
        <v>248</v>
      </c>
      <c r="CE90" s="28">
        <v>112246</v>
      </c>
      <c r="CF90" s="28">
        <v>0</v>
      </c>
    </row>
    <row r="91" spans="1:84" x14ac:dyDescent="0.35">
      <c r="A91" s="22" t="s">
        <v>291</v>
      </c>
      <c r="B91" s="16"/>
      <c r="C91" s="20">
        <v>4522</v>
      </c>
      <c r="D91" s="20">
        <v>0</v>
      </c>
      <c r="E91" s="20">
        <v>19069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1922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25513</v>
      </c>
      <c r="CF91" s="28">
        <v>0</v>
      </c>
    </row>
    <row r="92" spans="1:84" x14ac:dyDescent="0.35">
      <c r="A92" s="22" t="s">
        <v>292</v>
      </c>
      <c r="B92" s="16"/>
      <c r="C92" s="20">
        <v>2315</v>
      </c>
      <c r="D92" s="20">
        <v>0</v>
      </c>
      <c r="E92" s="20">
        <v>9100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3473</v>
      </c>
      <c r="Q92" s="20">
        <v>546</v>
      </c>
      <c r="R92" s="20">
        <v>0</v>
      </c>
      <c r="S92" s="20">
        <v>438</v>
      </c>
      <c r="T92" s="20">
        <v>0</v>
      </c>
      <c r="U92" s="20">
        <v>893</v>
      </c>
      <c r="V92" s="20">
        <v>156</v>
      </c>
      <c r="W92" s="20">
        <v>174</v>
      </c>
      <c r="X92" s="20">
        <v>0</v>
      </c>
      <c r="Y92" s="20">
        <v>1626</v>
      </c>
      <c r="Z92" s="20">
        <v>0</v>
      </c>
      <c r="AA92" s="20">
        <v>0</v>
      </c>
      <c r="AB92" s="20">
        <v>336</v>
      </c>
      <c r="AC92" s="20">
        <v>486</v>
      </c>
      <c r="AD92" s="20">
        <v>0</v>
      </c>
      <c r="AE92" s="20">
        <v>540</v>
      </c>
      <c r="AF92" s="20">
        <v>0</v>
      </c>
      <c r="AG92" s="20">
        <v>4247</v>
      </c>
      <c r="AH92" s="20">
        <v>0</v>
      </c>
      <c r="AI92" s="20">
        <v>1242</v>
      </c>
      <c r="AJ92" s="20">
        <v>10323</v>
      </c>
      <c r="AK92" s="20">
        <v>0</v>
      </c>
      <c r="AL92" s="20">
        <v>1476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1391</v>
      </c>
      <c r="AW92" s="20">
        <v>0</v>
      </c>
      <c r="AX92" s="251" t="s">
        <v>248</v>
      </c>
      <c r="AY92" s="251" t="s">
        <v>248</v>
      </c>
      <c r="AZ92" s="25"/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/>
      <c r="BG92" s="25"/>
      <c r="BH92" s="20">
        <v>0</v>
      </c>
      <c r="BI92" s="20">
        <v>0</v>
      </c>
      <c r="BJ92" s="25" t="s">
        <v>248</v>
      </c>
      <c r="BK92" s="20">
        <v>540</v>
      </c>
      <c r="BL92" s="20">
        <v>924</v>
      </c>
      <c r="BM92" s="20">
        <v>150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0</v>
      </c>
      <c r="BT92" s="20">
        <v>0</v>
      </c>
      <c r="BU92" s="20">
        <v>0</v>
      </c>
      <c r="BV92" s="20">
        <v>150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40526</v>
      </c>
      <c r="CF92" s="16"/>
    </row>
    <row r="93" spans="1:84" x14ac:dyDescent="0.35">
      <c r="A93" s="22" t="s">
        <v>293</v>
      </c>
      <c r="B93" s="16"/>
      <c r="C93" s="20">
        <v>53368.26</v>
      </c>
      <c r="D93" s="20">
        <v>0</v>
      </c>
      <c r="E93" s="20">
        <v>133209.44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27120.65</v>
      </c>
      <c r="Q93" s="20">
        <v>13349.11</v>
      </c>
      <c r="R93" s="20">
        <v>0</v>
      </c>
      <c r="S93" s="20">
        <v>337.95</v>
      </c>
      <c r="T93" s="20">
        <v>0</v>
      </c>
      <c r="U93" s="20">
        <v>140.81</v>
      </c>
      <c r="V93" s="20">
        <v>929.37</v>
      </c>
      <c r="W93" s="20">
        <v>2731.78</v>
      </c>
      <c r="X93" s="20">
        <v>3520.33</v>
      </c>
      <c r="Y93" s="20">
        <v>36132.869999999995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84825.96</v>
      </c>
      <c r="AH93" s="20">
        <v>0</v>
      </c>
      <c r="AI93" s="20">
        <v>20051.82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7237.8099999999995</v>
      </c>
      <c r="AW93" s="20">
        <v>0</v>
      </c>
      <c r="AX93" s="251" t="s">
        <v>248</v>
      </c>
      <c r="AY93" s="251" t="s">
        <v>248</v>
      </c>
      <c r="AZ93" s="25"/>
      <c r="BA93" s="25"/>
      <c r="BB93" s="20">
        <v>0</v>
      </c>
      <c r="BC93" s="20">
        <v>0</v>
      </c>
      <c r="BD93" s="25" t="s">
        <v>248</v>
      </c>
      <c r="BE93" s="25" t="s">
        <v>248</v>
      </c>
      <c r="BF93" s="25"/>
      <c r="BG93" s="25"/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382956.16000000003</v>
      </c>
      <c r="CF93" s="28">
        <v>0</v>
      </c>
    </row>
    <row r="94" spans="1:84" x14ac:dyDescent="0.35">
      <c r="A94" s="22" t="s">
        <v>294</v>
      </c>
      <c r="B94" s="16"/>
      <c r="C94" s="245">
        <v>12.21</v>
      </c>
      <c r="D94" s="245">
        <v>0</v>
      </c>
      <c r="E94" s="245">
        <v>28.97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12.63</v>
      </c>
      <c r="Q94" s="246">
        <v>3.26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19.899999999999999</v>
      </c>
      <c r="AH94" s="246">
        <v>0</v>
      </c>
      <c r="AI94" s="246">
        <v>5.23</v>
      </c>
      <c r="AJ94" s="246">
        <v>0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82.2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98944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1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1338</v>
      </c>
      <c r="D127" s="46">
        <v>6250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235</v>
      </c>
      <c r="D130" s="46">
        <v>322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7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14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4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25</v>
      </c>
    </row>
    <row r="144" spans="1:5" x14ac:dyDescent="0.35">
      <c r="A144" s="16" t="s">
        <v>353</v>
      </c>
      <c r="B144" s="42" t="s">
        <v>299</v>
      </c>
      <c r="C144" s="43">
        <v>38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6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728</v>
      </c>
      <c r="C154" s="46">
        <v>343</v>
      </c>
      <c r="D154" s="46">
        <v>267</v>
      </c>
      <c r="E154" s="28">
        <v>1338</v>
      </c>
    </row>
    <row r="155" spans="1:6" x14ac:dyDescent="0.35">
      <c r="A155" s="16" t="s">
        <v>242</v>
      </c>
      <c r="B155" s="46">
        <v>3407</v>
      </c>
      <c r="C155" s="46">
        <v>1606</v>
      </c>
      <c r="D155" s="46">
        <v>1237</v>
      </c>
      <c r="E155" s="28">
        <v>6250</v>
      </c>
    </row>
    <row r="156" spans="1:6" x14ac:dyDescent="0.35">
      <c r="A156" s="16" t="s">
        <v>360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48698253</v>
      </c>
      <c r="C157" s="46">
        <v>22836328</v>
      </c>
      <c r="D157" s="46">
        <v>19179377</v>
      </c>
      <c r="E157" s="28">
        <v>90713958</v>
      </c>
      <c r="F157" s="14"/>
    </row>
    <row r="158" spans="1:6" x14ac:dyDescent="0.35">
      <c r="A158" s="16" t="s">
        <v>288</v>
      </c>
      <c r="B158" s="46">
        <v>66902242</v>
      </c>
      <c r="C158" s="46">
        <v>69885171</v>
      </c>
      <c r="D158" s="46">
        <v>57557944</v>
      </c>
      <c r="E158" s="28">
        <v>194345357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2013763.12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106342.64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371177.71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4530652.12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880245.39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9292.68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7911473.6599999992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544788.35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460124.82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1004913.1699999999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1869832.7000000002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49528.88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1919361.58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75128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931564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1006692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4575199.21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54648.790000000037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4629848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5072349</v>
      </c>
      <c r="C211" s="43">
        <v>0</v>
      </c>
      <c r="D211" s="46">
        <v>0</v>
      </c>
      <c r="E211" s="28">
        <v>5072349</v>
      </c>
    </row>
    <row r="212" spans="1:5" x14ac:dyDescent="0.35">
      <c r="A212" s="16" t="s">
        <v>395</v>
      </c>
      <c r="B212" s="46">
        <v>1430910</v>
      </c>
      <c r="C212" s="43">
        <v>0</v>
      </c>
      <c r="D212" s="46">
        <v>0</v>
      </c>
      <c r="E212" s="28">
        <v>1430910</v>
      </c>
    </row>
    <row r="213" spans="1:5" x14ac:dyDescent="0.35">
      <c r="A213" s="16" t="s">
        <v>396</v>
      </c>
      <c r="B213" s="46">
        <v>24903609</v>
      </c>
      <c r="C213" s="43">
        <v>238207</v>
      </c>
      <c r="D213" s="46">
        <v>0</v>
      </c>
      <c r="E213" s="28">
        <v>25141816</v>
      </c>
    </row>
    <row r="214" spans="1:5" x14ac:dyDescent="0.35">
      <c r="A214" s="16" t="s">
        <v>397</v>
      </c>
      <c r="B214" s="46">
        <v>2817279</v>
      </c>
      <c r="C214" s="43">
        <v>40943</v>
      </c>
      <c r="D214" s="46">
        <v>0</v>
      </c>
      <c r="E214" s="28">
        <v>2858222</v>
      </c>
    </row>
    <row r="215" spans="1:5" x14ac:dyDescent="0.35">
      <c r="A215" s="16" t="s">
        <v>398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399</v>
      </c>
      <c r="B216" s="46">
        <v>27123066</v>
      </c>
      <c r="C216" s="43">
        <v>506271</v>
      </c>
      <c r="D216" s="46">
        <v>0</v>
      </c>
      <c r="E216" s="28">
        <v>27629337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2658937</v>
      </c>
      <c r="D218" s="46">
        <v>0</v>
      </c>
      <c r="E218" s="28">
        <v>2658937</v>
      </c>
    </row>
    <row r="219" spans="1:5" x14ac:dyDescent="0.35">
      <c r="A219" s="16" t="s">
        <v>402</v>
      </c>
      <c r="B219" s="46">
        <v>0</v>
      </c>
      <c r="C219" s="43">
        <v>8516318</v>
      </c>
      <c r="D219" s="46">
        <v>2783220</v>
      </c>
      <c r="E219" s="28">
        <v>5733098</v>
      </c>
    </row>
    <row r="220" spans="1:5" x14ac:dyDescent="0.35">
      <c r="A220" s="16" t="s">
        <v>230</v>
      </c>
      <c r="B220" s="28">
        <v>61347213</v>
      </c>
      <c r="C220" s="235">
        <v>11960676</v>
      </c>
      <c r="D220" s="28">
        <v>2783220</v>
      </c>
      <c r="E220" s="28">
        <v>70524669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1066433</v>
      </c>
      <c r="C225" s="43">
        <v>16761</v>
      </c>
      <c r="D225" s="46">
        <v>0</v>
      </c>
      <c r="E225" s="28">
        <v>1083194</v>
      </c>
    </row>
    <row r="226" spans="1:6" x14ac:dyDescent="0.35">
      <c r="A226" s="16" t="s">
        <v>396</v>
      </c>
      <c r="B226" s="46">
        <v>16353968</v>
      </c>
      <c r="C226" s="43">
        <v>649884</v>
      </c>
      <c r="D226" s="46">
        <v>0</v>
      </c>
      <c r="E226" s="28">
        <v>17003852</v>
      </c>
    </row>
    <row r="227" spans="1:6" x14ac:dyDescent="0.35">
      <c r="A227" s="16" t="s">
        <v>397</v>
      </c>
      <c r="B227" s="46">
        <v>2580072</v>
      </c>
      <c r="C227" s="43">
        <v>23216</v>
      </c>
      <c r="D227" s="46">
        <v>0</v>
      </c>
      <c r="E227" s="28">
        <v>2603288</v>
      </c>
    </row>
    <row r="228" spans="1:6" x14ac:dyDescent="0.35">
      <c r="A228" s="16" t="s">
        <v>398</v>
      </c>
      <c r="B228" s="46">
        <v>0</v>
      </c>
      <c r="C228" s="43">
        <v>0</v>
      </c>
      <c r="D228" s="46">
        <v>0</v>
      </c>
      <c r="E228" s="28">
        <v>0</v>
      </c>
    </row>
    <row r="229" spans="1:6" x14ac:dyDescent="0.35">
      <c r="A229" s="16" t="s">
        <v>399</v>
      </c>
      <c r="B229" s="46">
        <v>22881943</v>
      </c>
      <c r="C229" s="43">
        <v>1483798</v>
      </c>
      <c r="D229" s="46">
        <v>0</v>
      </c>
      <c r="E229" s="28">
        <v>24365741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404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42882416</v>
      </c>
      <c r="C233" s="235">
        <v>2173659</v>
      </c>
      <c r="D233" s="28">
        <v>0</v>
      </c>
      <c r="E233" s="28">
        <v>45056075</v>
      </c>
    </row>
    <row r="234" spans="1:6" x14ac:dyDescent="0.35">
      <c r="A234" s="16"/>
      <c r="B234" s="16"/>
      <c r="C234" s="23"/>
      <c r="D234" s="16"/>
      <c r="E234" s="16"/>
      <c r="F234" s="11">
        <v>25468594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2" t="s">
        <v>406</v>
      </c>
      <c r="C236" s="342"/>
      <c r="D236" s="34"/>
      <c r="E236" s="34"/>
    </row>
    <row r="237" spans="1:6" x14ac:dyDescent="0.35">
      <c r="A237" s="52" t="s">
        <v>406</v>
      </c>
      <c r="B237" s="34"/>
      <c r="C237" s="43">
        <v>5965953</v>
      </c>
      <c r="D237" s="36">
        <v>5965953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299</v>
      </c>
      <c r="C239" s="43">
        <v>79932329</v>
      </c>
      <c r="D239" s="16"/>
      <c r="E239" s="16"/>
    </row>
    <row r="240" spans="1:6" x14ac:dyDescent="0.35">
      <c r="A240" s="16" t="s">
        <v>409</v>
      </c>
      <c r="B240" s="42" t="s">
        <v>299</v>
      </c>
      <c r="C240" s="43">
        <v>69992443</v>
      </c>
      <c r="D240" s="16"/>
      <c r="E240" s="16"/>
    </row>
    <row r="241" spans="1:5" x14ac:dyDescent="0.35">
      <c r="A241" s="16" t="s">
        <v>410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411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412</v>
      </c>
      <c r="B243" s="42" t="s">
        <v>299</v>
      </c>
      <c r="C243" s="43">
        <v>14657685</v>
      </c>
      <c r="D243" s="16"/>
      <c r="E243" s="16"/>
    </row>
    <row r="244" spans="1:5" x14ac:dyDescent="0.35">
      <c r="A244" s="16" t="s">
        <v>413</v>
      </c>
      <c r="B244" s="42" t="s">
        <v>299</v>
      </c>
      <c r="C244" s="43">
        <v>7980215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v>172562672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299</v>
      </c>
      <c r="C249" s="43">
        <v>0</v>
      </c>
      <c r="D249" s="16"/>
      <c r="E249" s="16"/>
    </row>
    <row r="250" spans="1:5" x14ac:dyDescent="0.35">
      <c r="A250" s="22" t="s">
        <v>418</v>
      </c>
      <c r="B250" s="42" t="s">
        <v>299</v>
      </c>
      <c r="C250" s="43">
        <v>3753852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v>3753852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420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v>182282477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299</v>
      </c>
      <c r="C266" s="43">
        <v>2897040</v>
      </c>
      <c r="D266" s="16"/>
      <c r="E266" s="16"/>
    </row>
    <row r="267" spans="1:5" x14ac:dyDescent="0.35">
      <c r="A267" s="16" t="s">
        <v>427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428</v>
      </c>
      <c r="B268" s="42" t="s">
        <v>299</v>
      </c>
      <c r="C268" s="43">
        <v>75132443</v>
      </c>
      <c r="D268" s="16"/>
      <c r="E268" s="16"/>
    </row>
    <row r="269" spans="1:5" x14ac:dyDescent="0.35">
      <c r="A269" s="16" t="s">
        <v>429</v>
      </c>
      <c r="B269" s="42" t="s">
        <v>299</v>
      </c>
      <c r="C269" s="43">
        <v>58467839</v>
      </c>
      <c r="D269" s="16"/>
      <c r="E269" s="16"/>
    </row>
    <row r="270" spans="1:5" x14ac:dyDescent="0.35">
      <c r="A270" s="16" t="s">
        <v>430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431</v>
      </c>
      <c r="B271" s="42" t="s">
        <v>299</v>
      </c>
      <c r="C271" s="43">
        <v>15389455</v>
      </c>
      <c r="D271" s="16"/>
      <c r="E271" s="16"/>
    </row>
    <row r="272" spans="1:5" x14ac:dyDescent="0.35">
      <c r="A272" s="16" t="s">
        <v>432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433</v>
      </c>
      <c r="B273" s="42" t="s">
        <v>299</v>
      </c>
      <c r="C273" s="43">
        <v>2828935</v>
      </c>
      <c r="D273" s="16"/>
      <c r="E273" s="16"/>
    </row>
    <row r="274" spans="1:5" x14ac:dyDescent="0.35">
      <c r="A274" s="16" t="s">
        <v>434</v>
      </c>
      <c r="B274" s="42" t="s">
        <v>299</v>
      </c>
      <c r="C274" s="43">
        <v>306230</v>
      </c>
      <c r="D274" s="16"/>
      <c r="E274" s="16"/>
    </row>
    <row r="275" spans="1:5" x14ac:dyDescent="0.35">
      <c r="A275" s="16" t="s">
        <v>435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38086264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427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0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5072349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1430910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24903609</v>
      </c>
      <c r="D285" s="16"/>
      <c r="E285" s="16"/>
    </row>
    <row r="286" spans="1:5" x14ac:dyDescent="0.35">
      <c r="A286" s="16" t="s">
        <v>441</v>
      </c>
      <c r="B286" s="42" t="s">
        <v>299</v>
      </c>
      <c r="C286" s="43">
        <v>2858222</v>
      </c>
      <c r="D286" s="16"/>
      <c r="E286" s="16"/>
    </row>
    <row r="287" spans="1:5" x14ac:dyDescent="0.35">
      <c r="A287" s="16" t="s">
        <v>442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443</v>
      </c>
      <c r="B288" s="42" t="s">
        <v>299</v>
      </c>
      <c r="C288" s="43">
        <v>27629337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2658937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65582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64618946</v>
      </c>
      <c r="E291" s="16"/>
    </row>
    <row r="292" spans="1:5" x14ac:dyDescent="0.35">
      <c r="A292" s="16" t="s">
        <v>445</v>
      </c>
      <c r="B292" s="42" t="s">
        <v>299</v>
      </c>
      <c r="C292" s="43">
        <v>45114408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19504538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43">
        <v>858022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858022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456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v>58448824</v>
      </c>
      <c r="E308" s="16"/>
    </row>
    <row r="309" spans="1:6" x14ac:dyDescent="0.35">
      <c r="A309" s="16"/>
      <c r="B309" s="16"/>
      <c r="C309" s="23"/>
      <c r="D309" s="16"/>
      <c r="E309" s="16"/>
      <c r="F309" s="11">
        <v>58448824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462</v>
      </c>
      <c r="B315" s="42" t="s">
        <v>299</v>
      </c>
      <c r="C315" s="43">
        <v>5237006</v>
      </c>
      <c r="D315" s="16"/>
      <c r="E315" s="16"/>
    </row>
    <row r="316" spans="1:6" x14ac:dyDescent="0.35">
      <c r="A316" s="16" t="s">
        <v>463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464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465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466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467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43">
        <v>1345960</v>
      </c>
      <c r="D322" s="16"/>
      <c r="E322" s="16"/>
    </row>
    <row r="323" spans="1:5" x14ac:dyDescent="0.35">
      <c r="A323" s="16" t="s">
        <v>470</v>
      </c>
      <c r="B323" s="42" t="s">
        <v>299</v>
      </c>
      <c r="C323" s="43">
        <v>500032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12432685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481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482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483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486</v>
      </c>
      <c r="B340" s="16"/>
      <c r="C340" s="23"/>
      <c r="D340" s="28">
        <v>500032</v>
      </c>
      <c r="E340" s="16"/>
    </row>
    <row r="341" spans="1:5" x14ac:dyDescent="0.35">
      <c r="A341" s="16" t="s">
        <v>487</v>
      </c>
      <c r="B341" s="16"/>
      <c r="C341" s="23"/>
      <c r="D341" s="28">
        <v>7293026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257">
        <v>44325803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64051514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58448824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213">
        <v>90713958</v>
      </c>
      <c r="D358" s="16"/>
      <c r="E358" s="16"/>
    </row>
    <row r="359" spans="1:5" x14ac:dyDescent="0.35">
      <c r="A359" s="16" t="s">
        <v>499</v>
      </c>
      <c r="B359" s="42" t="s">
        <v>299</v>
      </c>
      <c r="C359" s="213">
        <v>194345357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285059315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43">
        <v>5965953</v>
      </c>
      <c r="D362" s="16"/>
      <c r="E362" s="41"/>
    </row>
    <row r="363" spans="1:5" x14ac:dyDescent="0.35">
      <c r="A363" s="16" t="s">
        <v>502</v>
      </c>
      <c r="B363" s="42" t="s">
        <v>299</v>
      </c>
      <c r="C363" s="43">
        <v>172562672</v>
      </c>
      <c r="D363" s="16"/>
      <c r="E363" s="16"/>
    </row>
    <row r="364" spans="1:5" x14ac:dyDescent="0.35">
      <c r="A364" s="16" t="s">
        <v>503</v>
      </c>
      <c r="B364" s="42" t="s">
        <v>299</v>
      </c>
      <c r="C364" s="43">
        <v>3753852</v>
      </c>
      <c r="D364" s="16"/>
      <c r="E364" s="16"/>
    </row>
    <row r="365" spans="1:5" x14ac:dyDescent="0.35">
      <c r="A365" s="16" t="s">
        <v>504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v>182282477</v>
      </c>
      <c r="E366" s="16"/>
    </row>
    <row r="367" spans="1:5" x14ac:dyDescent="0.35">
      <c r="A367" s="16" t="s">
        <v>505</v>
      </c>
      <c r="B367" s="16"/>
      <c r="C367" s="23"/>
      <c r="D367" s="28">
        <v>102776838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238">
        <v>412915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238">
        <v>4926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238">
        <v>174506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214">
        <v>116928</v>
      </c>
      <c r="D380" s="28">
        <v>0</v>
      </c>
      <c r="E380" s="215"/>
      <c r="F380" s="56"/>
    </row>
    <row r="381" spans="1:6" x14ac:dyDescent="0.35">
      <c r="A381" s="57" t="s">
        <v>519</v>
      </c>
      <c r="B381" s="42"/>
      <c r="C381" s="42"/>
      <c r="D381" s="28">
        <v>709275</v>
      </c>
      <c r="E381" s="28"/>
      <c r="F381" s="56"/>
    </row>
    <row r="382" spans="1:6" x14ac:dyDescent="0.35">
      <c r="A382" s="52" t="s">
        <v>520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709275</v>
      </c>
      <c r="E383" s="16"/>
    </row>
    <row r="384" spans="1:6" x14ac:dyDescent="0.35">
      <c r="A384" s="16" t="s">
        <v>522</v>
      </c>
      <c r="B384" s="16"/>
      <c r="C384" s="23"/>
      <c r="D384" s="28">
        <v>103486113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43">
        <v>30739422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7911474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1936519</v>
      </c>
      <c r="D391" s="16"/>
      <c r="E391" s="16"/>
    </row>
    <row r="392" spans="1:5" x14ac:dyDescent="0.35">
      <c r="A392" s="16" t="s">
        <v>525</v>
      </c>
      <c r="B392" s="42" t="s">
        <v>299</v>
      </c>
      <c r="C392" s="43">
        <v>13249903</v>
      </c>
      <c r="D392" s="16"/>
      <c r="E392" s="16"/>
    </row>
    <row r="393" spans="1:5" x14ac:dyDescent="0.35">
      <c r="A393" s="16" t="s">
        <v>526</v>
      </c>
      <c r="B393" s="42" t="s">
        <v>299</v>
      </c>
      <c r="C393" s="43">
        <v>843535</v>
      </c>
      <c r="D393" s="16"/>
      <c r="E393" s="16"/>
    </row>
    <row r="394" spans="1:5" x14ac:dyDescent="0.35">
      <c r="A394" s="16" t="s">
        <v>527</v>
      </c>
      <c r="B394" s="42" t="s">
        <v>299</v>
      </c>
      <c r="C394" s="43">
        <v>10902800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2265107</v>
      </c>
      <c r="D395" s="16"/>
      <c r="E395" s="16"/>
    </row>
    <row r="396" spans="1:5" x14ac:dyDescent="0.35">
      <c r="A396" s="16" t="s">
        <v>528</v>
      </c>
      <c r="B396" s="42" t="s">
        <v>299</v>
      </c>
      <c r="C396" s="43">
        <v>1004913</v>
      </c>
      <c r="D396" s="16"/>
      <c r="E396" s="16"/>
    </row>
    <row r="397" spans="1:5" x14ac:dyDescent="0.35">
      <c r="A397" s="16" t="s">
        <v>529</v>
      </c>
      <c r="B397" s="42" t="s">
        <v>299</v>
      </c>
      <c r="C397" s="43">
        <v>1919362</v>
      </c>
      <c r="D397" s="16"/>
      <c r="E397" s="16"/>
    </row>
    <row r="398" spans="1:5" x14ac:dyDescent="0.35">
      <c r="A398" s="16" t="s">
        <v>530</v>
      </c>
      <c r="B398" s="42" t="s">
        <v>299</v>
      </c>
      <c r="C398" s="43">
        <v>1006692</v>
      </c>
      <c r="D398" s="16"/>
      <c r="E398" s="16"/>
    </row>
    <row r="399" spans="1:5" x14ac:dyDescent="0.35">
      <c r="A399" s="16" t="s">
        <v>531</v>
      </c>
      <c r="B399" s="42" t="s">
        <v>299</v>
      </c>
      <c r="C399" s="43">
        <v>4629848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484051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6490162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261643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153705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917085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494921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14501192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738483</v>
      </c>
      <c r="D414" s="28">
        <v>0</v>
      </c>
      <c r="E414" s="215"/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24041242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100450817</v>
      </c>
      <c r="E416" s="28"/>
    </row>
    <row r="417" spans="1:13" x14ac:dyDescent="0.35">
      <c r="A417" s="28" t="s">
        <v>536</v>
      </c>
      <c r="B417" s="16"/>
      <c r="C417" s="23"/>
      <c r="D417" s="28">
        <v>3035296</v>
      </c>
      <c r="E417" s="28"/>
    </row>
    <row r="418" spans="1:13" x14ac:dyDescent="0.35">
      <c r="A418" s="28" t="s">
        <v>537</v>
      </c>
      <c r="B418" s="16"/>
      <c r="C418" s="214">
        <v>-58043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-58043</v>
      </c>
      <c r="E420" s="28"/>
      <c r="F420" s="11">
        <v>-4687891</v>
      </c>
    </row>
    <row r="421" spans="1:13" x14ac:dyDescent="0.35">
      <c r="A421" s="28" t="s">
        <v>540</v>
      </c>
      <c r="B421" s="16"/>
      <c r="C421" s="23"/>
      <c r="D421" s="28">
        <v>2977253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43">
        <v>-446826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2530427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544</v>
      </c>
      <c r="D613" s="227">
        <f>CE91-(BE91+CD91)</f>
        <v>25513</v>
      </c>
      <c r="E613" s="229">
        <f>SUM(C625:D648)+SUM(C669:D714)</f>
        <v>0</v>
      </c>
      <c r="F613" s="229">
        <f>CE65-(AX65+BD65+BE65+BG65+BJ65+BN65+BP65+BQ65+CB65+CC65+CD65)</f>
        <v>363357</v>
      </c>
      <c r="G613" s="227">
        <f>CE92-(AX92+AY92+BD92+BE92+BG92+BJ92+BN92+BP92+BQ92+CB92+CC92+CD92)</f>
        <v>40526</v>
      </c>
      <c r="H613" s="232">
        <f>CE61-(AX61+AY61+AZ61+BD61+BE61+BG61+BJ61+BN61+BO61+BP61+BQ61+BR61+CB61+CC61+CD61)</f>
        <v>29241290</v>
      </c>
      <c r="I613" s="227">
        <f>CE93-(AX93+AY93+AZ93+BD93+BE93+BF93+BG93+BJ93+BN93+BO93+BP93+BQ93+BR93+CB93+CC93+CD93)</f>
        <v>382956.16000000003</v>
      </c>
      <c r="J613" s="227">
        <f>CE94-(AX94+AY94+AZ94+BA94+BD94+BE94+BF94+BG94+BJ94+BN94+BO94+BP94+BQ94+BR94+CB94+CC94+CD94)</f>
        <v>82.2</v>
      </c>
      <c r="K613" s="227">
        <f>CE90-(AW90+AX90+AY90+AZ90+BA90+BB90+BC90+BD90+BE90+BF90+BG90+BH90+BI90+BJ90+BK90+BL90+BM90+BN90+BO90+BP90+BQ90+BR90+BS90+BT90+BU90+BV90+BW90+BX90+CB90+CC90+CD90)</f>
        <v>77811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545</v>
      </c>
      <c r="D614" s="228" t="s">
        <v>546</v>
      </c>
      <c r="E614" s="230" t="s">
        <v>547</v>
      </c>
      <c r="F614" s="231" t="s">
        <v>548</v>
      </c>
      <c r="G614" s="228" t="s">
        <v>549</v>
      </c>
      <c r="H614" s="231" t="s">
        <v>550</v>
      </c>
      <c r="I614" s="228" t="s">
        <v>551</v>
      </c>
      <c r="J614" s="228" t="s">
        <v>552</v>
      </c>
      <c r="K614" s="220" t="s">
        <v>553</v>
      </c>
      <c r="L614" s="221" t="s">
        <v>554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/>
      <c r="B616" s="221" t="s">
        <v>556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8310</v>
      </c>
      <c r="B617" s="226" t="s">
        <v>558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8470</v>
      </c>
      <c r="B619" s="226" t="s">
        <v>561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8610</v>
      </c>
      <c r="B620" s="226" t="s">
        <v>563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8790</v>
      </c>
      <c r="B621" s="226" t="s">
        <v>565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8630</v>
      </c>
      <c r="B622" s="226" t="s">
        <v>567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8770</v>
      </c>
      <c r="B623" s="221" t="s">
        <v>569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8640</v>
      </c>
      <c r="B624" s="226" t="s">
        <v>571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8620</v>
      </c>
      <c r="B628" s="221" t="s">
        <v>576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577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578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579</v>
      </c>
    </row>
    <row r="631" spans="1:14" s="211" customFormat="1" ht="12.65" customHeight="1" x14ac:dyDescent="0.3">
      <c r="A631" s="222">
        <v>8350</v>
      </c>
      <c r="B631" s="226" t="s">
        <v>580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581</v>
      </c>
    </row>
    <row r="632" spans="1:14" s="211" customFormat="1" ht="12.65" customHeight="1" x14ac:dyDescent="0.3">
      <c r="A632" s="222">
        <v>8200</v>
      </c>
      <c r="B632" s="226" t="s">
        <v>582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583</v>
      </c>
    </row>
    <row r="633" spans="1:14" s="211" customFormat="1" ht="12.65" customHeight="1" x14ac:dyDescent="0.3">
      <c r="A633" s="222">
        <v>8360</v>
      </c>
      <c r="B633" s="226" t="s">
        <v>584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585</v>
      </c>
    </row>
    <row r="634" spans="1:14" s="211" customFormat="1" ht="12.65" customHeight="1" x14ac:dyDescent="0.3">
      <c r="A634" s="222">
        <v>8370</v>
      </c>
      <c r="B634" s="226" t="s">
        <v>586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587</v>
      </c>
    </row>
    <row r="635" spans="1:14" s="211" customFormat="1" ht="12.65" customHeight="1" x14ac:dyDescent="0.3">
      <c r="A635" s="222">
        <v>8490</v>
      </c>
      <c r="B635" s="226" t="s">
        <v>588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589</v>
      </c>
    </row>
    <row r="636" spans="1:14" s="211" customFormat="1" ht="12.65" customHeight="1" x14ac:dyDescent="0.3">
      <c r="A636" s="222">
        <v>8530</v>
      </c>
      <c r="B636" s="226" t="s">
        <v>590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591</v>
      </c>
    </row>
    <row r="637" spans="1:14" s="211" customFormat="1" ht="12.65" customHeight="1" x14ac:dyDescent="0.3">
      <c r="A637" s="222">
        <v>8480</v>
      </c>
      <c r="B637" s="226" t="s">
        <v>592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593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594</v>
      </c>
    </row>
    <row r="639" spans="1:14" s="211" customFormat="1" ht="12.65" customHeight="1" x14ac:dyDescent="0.3">
      <c r="A639" s="222">
        <v>8590</v>
      </c>
      <c r="B639" s="226" t="s">
        <v>595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596</v>
      </c>
    </row>
    <row r="640" spans="1:14" s="211" customFormat="1" ht="12.65" customHeight="1" x14ac:dyDescent="0.3">
      <c r="A640" s="222">
        <v>8660</v>
      </c>
      <c r="B640" s="226" t="s">
        <v>597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598</v>
      </c>
    </row>
    <row r="641" spans="1:14" s="211" customFormat="1" ht="12.65" customHeight="1" x14ac:dyDescent="0.3">
      <c r="A641" s="222">
        <v>8670</v>
      </c>
      <c r="B641" s="226" t="s">
        <v>599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600</v>
      </c>
    </row>
    <row r="642" spans="1:14" s="211" customFormat="1" ht="12.65" customHeight="1" x14ac:dyDescent="0.3">
      <c r="A642" s="222">
        <v>8680</v>
      </c>
      <c r="B642" s="226" t="s">
        <v>601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602</v>
      </c>
    </row>
    <row r="643" spans="1:14" s="211" customFormat="1" ht="12.65" customHeight="1" x14ac:dyDescent="0.3">
      <c r="A643" s="222">
        <v>8690</v>
      </c>
      <c r="B643" s="226" t="s">
        <v>603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604</v>
      </c>
    </row>
    <row r="644" spans="1:14" s="211" customFormat="1" ht="12.65" customHeight="1" x14ac:dyDescent="0.3">
      <c r="A644" s="222">
        <v>8700</v>
      </c>
      <c r="B644" s="226" t="s">
        <v>605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606</v>
      </c>
    </row>
    <row r="645" spans="1:14" s="211" customFormat="1" ht="12.65" customHeight="1" x14ac:dyDescent="0.3">
      <c r="A645" s="222">
        <v>8710</v>
      </c>
      <c r="B645" s="226" t="s">
        <v>607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608</v>
      </c>
    </row>
    <row r="646" spans="1:14" s="211" customFormat="1" ht="12.65" customHeight="1" x14ac:dyDescent="0.3">
      <c r="A646" s="222">
        <v>8720</v>
      </c>
      <c r="B646" s="226" t="s">
        <v>609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8730</v>
      </c>
      <c r="B647" s="226" t="s">
        <v>611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612</v>
      </c>
    </row>
    <row r="648" spans="1:14" s="211" customFormat="1" ht="12.65" customHeight="1" x14ac:dyDescent="0.3">
      <c r="A648" s="222">
        <v>8740</v>
      </c>
      <c r="B648" s="226" t="s">
        <v>613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614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615</v>
      </c>
      <c r="M667" s="220" t="s">
        <v>616</v>
      </c>
    </row>
    <row r="668" spans="1:14" s="211" customFormat="1" ht="12.65" customHeight="1" x14ac:dyDescent="0.3">
      <c r="C668" s="220" t="s">
        <v>545</v>
      </c>
      <c r="D668" s="220" t="s">
        <v>546</v>
      </c>
      <c r="E668" s="221" t="s">
        <v>547</v>
      </c>
      <c r="F668" s="220" t="s">
        <v>548</v>
      </c>
      <c r="G668" s="220" t="s">
        <v>549</v>
      </c>
      <c r="H668" s="220" t="s">
        <v>550</v>
      </c>
      <c r="I668" s="220" t="s">
        <v>551</v>
      </c>
      <c r="J668" s="220" t="s">
        <v>552</v>
      </c>
      <c r="K668" s="220" t="s">
        <v>553</v>
      </c>
      <c r="L668" s="221" t="s">
        <v>554</v>
      </c>
      <c r="M668" s="220" t="s">
        <v>617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618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619</v>
      </c>
    </row>
    <row r="671" spans="1:14" s="211" customFormat="1" ht="12.65" customHeight="1" x14ac:dyDescent="0.3">
      <c r="A671" s="222">
        <v>6070</v>
      </c>
      <c r="B671" s="221" t="s">
        <v>620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621</v>
      </c>
    </row>
    <row r="672" spans="1:14" s="211" customFormat="1" ht="12.65" customHeight="1" x14ac:dyDescent="0.3">
      <c r="A672" s="222">
        <v>6100</v>
      </c>
      <c r="B672" s="221" t="s">
        <v>622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623</v>
      </c>
    </row>
    <row r="673" spans="1:14" s="211" customFormat="1" ht="12.65" customHeight="1" x14ac:dyDescent="0.3">
      <c r="A673" s="222">
        <v>6120</v>
      </c>
      <c r="B673" s="221" t="s">
        <v>624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625</v>
      </c>
    </row>
    <row r="674" spans="1:14" s="211" customFormat="1" ht="12.65" customHeight="1" x14ac:dyDescent="0.3">
      <c r="A674" s="222">
        <v>6140</v>
      </c>
      <c r="B674" s="221" t="s">
        <v>626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627</v>
      </c>
    </row>
    <row r="675" spans="1:14" s="211" customFormat="1" ht="12.65" customHeight="1" x14ac:dyDescent="0.3">
      <c r="A675" s="222">
        <v>6150</v>
      </c>
      <c r="B675" s="221" t="s">
        <v>628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629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630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631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632</v>
      </c>
    </row>
    <row r="679" spans="1:14" s="211" customFormat="1" ht="12.65" customHeight="1" x14ac:dyDescent="0.3">
      <c r="A679" s="222">
        <v>6330</v>
      </c>
      <c r="B679" s="221" t="s">
        <v>633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634</v>
      </c>
    </row>
    <row r="680" spans="1:14" s="211" customFormat="1" ht="12.65" customHeight="1" x14ac:dyDescent="0.3">
      <c r="A680" s="222">
        <v>6400</v>
      </c>
      <c r="B680" s="221" t="s">
        <v>635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636</v>
      </c>
    </row>
    <row r="681" spans="1:14" s="211" customFormat="1" ht="12.65" customHeight="1" x14ac:dyDescent="0.3">
      <c r="A681" s="222">
        <v>7010</v>
      </c>
      <c r="B681" s="221" t="s">
        <v>637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638</v>
      </c>
    </row>
    <row r="682" spans="1:14" s="211" customFormat="1" ht="12.65" customHeight="1" x14ac:dyDescent="0.3">
      <c r="A682" s="222">
        <v>7020</v>
      </c>
      <c r="B682" s="221" t="s">
        <v>639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640</v>
      </c>
    </row>
    <row r="683" spans="1:14" s="211" customFormat="1" ht="12.65" customHeight="1" x14ac:dyDescent="0.3">
      <c r="A683" s="222">
        <v>7030</v>
      </c>
      <c r="B683" s="221" t="s">
        <v>641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642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643</v>
      </c>
    </row>
    <row r="685" spans="1:14" s="211" customFormat="1" ht="12.65" customHeight="1" x14ac:dyDescent="0.3">
      <c r="A685" s="222">
        <v>7050</v>
      </c>
      <c r="B685" s="221" t="s">
        <v>644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645</v>
      </c>
    </row>
    <row r="686" spans="1:14" s="211" customFormat="1" ht="12.65" customHeight="1" x14ac:dyDescent="0.3">
      <c r="A686" s="222">
        <v>7060</v>
      </c>
      <c r="B686" s="221" t="s">
        <v>646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647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648</v>
      </c>
    </row>
    <row r="688" spans="1:14" s="211" customFormat="1" ht="12.65" customHeight="1" x14ac:dyDescent="0.3">
      <c r="A688" s="222">
        <v>7110</v>
      </c>
      <c r="B688" s="221" t="s">
        <v>649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650</v>
      </c>
    </row>
    <row r="689" spans="1:14" s="211" customFormat="1" ht="12.65" customHeight="1" x14ac:dyDescent="0.3">
      <c r="A689" s="222">
        <v>7120</v>
      </c>
      <c r="B689" s="221" t="s">
        <v>651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652</v>
      </c>
    </row>
    <row r="690" spans="1:14" s="211" customFormat="1" ht="12.65" customHeight="1" x14ac:dyDescent="0.3">
      <c r="A690" s="222">
        <v>7130</v>
      </c>
      <c r="B690" s="221" t="s">
        <v>653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654</v>
      </c>
    </row>
    <row r="691" spans="1:14" s="211" customFormat="1" ht="12.65" customHeight="1" x14ac:dyDescent="0.3">
      <c r="A691" s="222">
        <v>7140</v>
      </c>
      <c r="B691" s="221" t="s">
        <v>655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656</v>
      </c>
    </row>
    <row r="692" spans="1:14" s="211" customFormat="1" ht="12.65" customHeight="1" x14ac:dyDescent="0.3">
      <c r="A692" s="222">
        <v>7150</v>
      </c>
      <c r="B692" s="221" t="s">
        <v>657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658</v>
      </c>
    </row>
    <row r="693" spans="1:14" s="211" customFormat="1" ht="12.65" customHeight="1" x14ac:dyDescent="0.3">
      <c r="A693" s="222">
        <v>7160</v>
      </c>
      <c r="B693" s="221" t="s">
        <v>659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660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661</v>
      </c>
    </row>
    <row r="695" spans="1:14" s="211" customFormat="1" ht="12.65" customHeight="1" x14ac:dyDescent="0.3">
      <c r="A695" s="222">
        <v>7180</v>
      </c>
      <c r="B695" s="221" t="s">
        <v>662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663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664</v>
      </c>
    </row>
    <row r="697" spans="1:14" s="211" customFormat="1" ht="12.65" customHeight="1" x14ac:dyDescent="0.3">
      <c r="A697" s="222">
        <v>7200</v>
      </c>
      <c r="B697" s="221" t="s">
        <v>665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666</v>
      </c>
    </row>
    <row r="698" spans="1:14" s="211" customFormat="1" ht="12.65" customHeight="1" x14ac:dyDescent="0.3">
      <c r="A698" s="222">
        <v>7220</v>
      </c>
      <c r="B698" s="221" t="s">
        <v>667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668</v>
      </c>
    </row>
    <row r="699" spans="1:14" s="211" customFormat="1" ht="12.65" customHeight="1" x14ac:dyDescent="0.3">
      <c r="A699" s="222">
        <v>7230</v>
      </c>
      <c r="B699" s="221" t="s">
        <v>669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670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671</v>
      </c>
    </row>
    <row r="701" spans="1:14" s="211" customFormat="1" ht="12.65" customHeight="1" x14ac:dyDescent="0.3">
      <c r="A701" s="222">
        <v>7250</v>
      </c>
      <c r="B701" s="221" t="s">
        <v>672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673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674</v>
      </c>
    </row>
    <row r="703" spans="1:14" s="211" customFormat="1" ht="12.65" customHeight="1" x14ac:dyDescent="0.3">
      <c r="A703" s="222">
        <v>7310</v>
      </c>
      <c r="B703" s="221" t="s">
        <v>675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676</v>
      </c>
    </row>
    <row r="704" spans="1:14" s="211" customFormat="1" ht="12.65" customHeight="1" x14ac:dyDescent="0.3">
      <c r="A704" s="222">
        <v>7320</v>
      </c>
      <c r="B704" s="221" t="s">
        <v>677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678</v>
      </c>
    </row>
    <row r="705" spans="1:14" s="211" customFormat="1" ht="12.65" customHeight="1" x14ac:dyDescent="0.3">
      <c r="A705" s="222">
        <v>7330</v>
      </c>
      <c r="B705" s="221" t="s">
        <v>679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680</v>
      </c>
    </row>
    <row r="706" spans="1:14" s="211" customFormat="1" ht="12.65" customHeight="1" x14ac:dyDescent="0.3">
      <c r="A706" s="222">
        <v>7340</v>
      </c>
      <c r="B706" s="221" t="s">
        <v>681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682</v>
      </c>
    </row>
    <row r="707" spans="1:14" s="211" customFormat="1" ht="12.65" customHeight="1" x14ac:dyDescent="0.3">
      <c r="A707" s="222">
        <v>7350</v>
      </c>
      <c r="B707" s="221" t="s">
        <v>683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684</v>
      </c>
    </row>
    <row r="708" spans="1:14" s="211" customFormat="1" ht="12.65" customHeight="1" x14ac:dyDescent="0.3">
      <c r="A708" s="222">
        <v>7380</v>
      </c>
      <c r="B708" s="221" t="s">
        <v>685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686</v>
      </c>
    </row>
    <row r="709" spans="1:14" s="211" customFormat="1" ht="12.65" customHeight="1" x14ac:dyDescent="0.3">
      <c r="A709" s="222">
        <v>7390</v>
      </c>
      <c r="B709" s="221" t="s">
        <v>687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688</v>
      </c>
    </row>
    <row r="710" spans="1:14" s="211" customFormat="1" ht="12.65" customHeight="1" x14ac:dyDescent="0.3">
      <c r="A710" s="222">
        <v>7400</v>
      </c>
      <c r="B710" s="221" t="s">
        <v>689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690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691</v>
      </c>
    </row>
    <row r="712" spans="1:14" s="211" customFormat="1" ht="12.65" customHeight="1" x14ac:dyDescent="0.3">
      <c r="A712" s="222">
        <v>7420</v>
      </c>
      <c r="B712" s="221" t="s">
        <v>692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693</v>
      </c>
    </row>
    <row r="713" spans="1:14" s="211" customFormat="1" ht="12.65" customHeight="1" x14ac:dyDescent="0.3">
      <c r="A713" s="222">
        <v>7430</v>
      </c>
      <c r="B713" s="221" t="s">
        <v>694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695</v>
      </c>
    </row>
    <row r="714" spans="1:14" s="211" customFormat="1" ht="12.65" customHeight="1" x14ac:dyDescent="0.3">
      <c r="A714" s="222">
        <v>7490</v>
      </c>
      <c r="B714" s="221" t="s">
        <v>696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697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698</v>
      </c>
    </row>
    <row r="717" spans="1:14" s="211" customFormat="1" ht="12.65" customHeight="1" x14ac:dyDescent="0.3">
      <c r="C717" s="224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AAEF-551B-482E-95C8-8D1ED474CE90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198</v>
      </c>
      <c r="C2" s="11" t="str">
        <f>SUBSTITUTE(LEFT(data!C98,49),",","")</f>
        <v>Astria Sunnyside Hospital</v>
      </c>
      <c r="D2" s="11" t="str">
        <f>LEFT(data!C99, 49)</f>
        <v>PO Box 719</v>
      </c>
      <c r="E2" s="11" t="str">
        <f>LEFT(data!C100, 100)</f>
        <v xml:space="preserve">Sunnyside </v>
      </c>
      <c r="F2" s="11" t="str">
        <f>LEFT(data!C101, 2)</f>
        <v>WA</v>
      </c>
      <c r="G2" s="11" t="str">
        <f>LEFT(data!C102, 100)</f>
        <v>98944</v>
      </c>
      <c r="H2" s="11" t="str">
        <f>LEFT(data!C103, 100)</f>
        <v>Yakima</v>
      </c>
      <c r="I2" s="11" t="str">
        <f>LEFT(data!C104, 49)</f>
        <v>Brian P. Gibbons, Jr</v>
      </c>
      <c r="J2" s="11" t="str">
        <f>LEFT(data!C105, 49)</f>
        <v>Maxwell Owens</v>
      </c>
      <c r="K2" s="11" t="str">
        <f>LEFT(data!C107, 49)</f>
        <v>(509) 837-1641</v>
      </c>
      <c r="L2" s="11" t="str">
        <f>LEFT(data!C108, 49)</f>
        <v>(509) 837-1512</v>
      </c>
      <c r="M2" s="11" t="str">
        <f>LEFT(data!C109, 49)</f>
        <v>Sandra Cortez</v>
      </c>
      <c r="N2" s="11" t="str">
        <f>LEFT(data!C110, 49)</f>
        <v>sandra.cortez@astria.health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91F00-03B7-4B29-B306-E790FCC87A41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7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75" style="9" bestFit="1" customWidth="1"/>
    <col min="56" max="57" width="10.58203125" style="9" bestFit="1" customWidth="1"/>
    <col min="58" max="58" width="9.58203125" style="9" bestFit="1" customWidth="1"/>
    <col min="59" max="59" width="9.7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7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8" customFormat="1" ht="12.65" customHeight="1" x14ac:dyDescent="0.35">
      <c r="A2" s="12" t="str">
        <f>RIGHT(data!C97,3)</f>
        <v>198</v>
      </c>
      <c r="B2" s="209" t="str">
        <f>RIGHT(data!C96,4)</f>
        <v>2023</v>
      </c>
      <c r="C2" s="12" t="s">
        <v>1158</v>
      </c>
      <c r="D2" s="208">
        <f>ROUND(N(data!C181),0)</f>
        <v>2149999</v>
      </c>
      <c r="E2" s="208">
        <f>ROUND(N(data!C182),0)</f>
        <v>129509</v>
      </c>
      <c r="F2" s="208">
        <f>ROUND(N(data!C183),0)</f>
        <v>386501</v>
      </c>
      <c r="G2" s="208">
        <f>ROUND(N(data!C184),0)</f>
        <v>5754166</v>
      </c>
      <c r="H2" s="208">
        <f>ROUND(N(data!C185),0)</f>
        <v>0</v>
      </c>
      <c r="I2" s="208">
        <f>ROUND(N(data!C186),0)</f>
        <v>984621</v>
      </c>
      <c r="J2" s="208">
        <f>ROUND(N(data!C187)+N(data!C188),0)</f>
        <v>53117</v>
      </c>
      <c r="K2" s="208">
        <f>ROUND(N(data!C191),0)</f>
        <v>779397</v>
      </c>
      <c r="L2" s="208">
        <f>ROUND(N(data!C192),0)</f>
        <v>400015</v>
      </c>
      <c r="M2" s="208">
        <f>ROUND(N(data!C195),0)</f>
        <v>1754537</v>
      </c>
      <c r="N2" s="208">
        <f>ROUND(N(data!C196),0)</f>
        <v>14898</v>
      </c>
      <c r="O2" s="208">
        <f>ROUND(N(data!C199),0)</f>
        <v>131614</v>
      </c>
      <c r="P2" s="208">
        <f>ROUND(N(data!C200),0)</f>
        <v>1089637</v>
      </c>
      <c r="Q2" s="208">
        <f>ROUND(N(data!C201),0)</f>
        <v>0</v>
      </c>
      <c r="R2" s="208">
        <f>ROUND(N(data!C204),0)</f>
        <v>4371676</v>
      </c>
      <c r="S2" s="208">
        <f>ROUND(N(data!C205),0)</f>
        <v>100088</v>
      </c>
      <c r="T2" s="208">
        <f>ROUND(N(data!B211),0)</f>
        <v>5072349</v>
      </c>
      <c r="U2" s="208">
        <f>ROUND(N(data!C211),0)</f>
        <v>0</v>
      </c>
      <c r="V2" s="208">
        <f>ROUND(N(data!D211),0)</f>
        <v>0</v>
      </c>
      <c r="W2" s="208">
        <f>ROUND(N(data!B212),0)</f>
        <v>1430910</v>
      </c>
      <c r="X2" s="208">
        <f>ROUND(N(data!C212),0)</f>
        <v>0</v>
      </c>
      <c r="Y2" s="208">
        <f>ROUND(N(data!D212),0)</f>
        <v>0</v>
      </c>
      <c r="Z2" s="208">
        <f>ROUND(N(data!B213),0)</f>
        <v>24903609</v>
      </c>
      <c r="AA2" s="208">
        <f>ROUND(N(data!C213),0)</f>
        <v>252889</v>
      </c>
      <c r="AB2" s="208">
        <f>ROUND(N(data!D213),0)</f>
        <v>0</v>
      </c>
      <c r="AC2" s="208">
        <f>ROUND(N(data!B214),0)</f>
        <v>2858222</v>
      </c>
      <c r="AD2" s="208">
        <f>ROUND(N(data!C214),0)</f>
        <v>30711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27629337</v>
      </c>
      <c r="AJ2" s="208">
        <f>ROUND(N(data!C216),0)</f>
        <v>280473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2658937</v>
      </c>
      <c r="AP2" s="208">
        <f>ROUND(N(data!C218),0)</f>
        <v>628337</v>
      </c>
      <c r="AQ2" s="208">
        <f>ROUND(N(data!D218),0)</f>
        <v>0</v>
      </c>
      <c r="AR2" s="208">
        <f>ROUND(N(data!B219),0)</f>
        <v>65582</v>
      </c>
      <c r="AS2" s="208">
        <f>ROUND(N(data!C219),0)</f>
        <v>465444</v>
      </c>
      <c r="AT2" s="208">
        <f>ROUND(N(data!D219),0)</f>
        <v>500908</v>
      </c>
      <c r="AU2" s="208">
        <v>0</v>
      </c>
      <c r="AV2" s="208">
        <v>0</v>
      </c>
      <c r="AW2" s="208">
        <v>0</v>
      </c>
      <c r="AX2" s="208">
        <f>ROUND(N(data!B225),0)</f>
        <v>1083194</v>
      </c>
      <c r="AY2" s="208">
        <f>ROUND(N(data!C225),0)</f>
        <v>16761</v>
      </c>
      <c r="AZ2" s="208">
        <f>ROUND(N(data!D225),0)</f>
        <v>0</v>
      </c>
      <c r="BA2" s="208">
        <f>ROUND(N(data!B226),0)</f>
        <v>17003852</v>
      </c>
      <c r="BB2" s="208">
        <f>ROUND(N(data!C226),0)</f>
        <v>611527</v>
      </c>
      <c r="BC2" s="208">
        <f>ROUND(N(data!D226),0)</f>
        <v>0</v>
      </c>
      <c r="BD2" s="208">
        <f>ROUND(N(data!B227),0)</f>
        <v>2603288</v>
      </c>
      <c r="BE2" s="208">
        <f>ROUND(N(data!C227),0)</f>
        <v>25700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24365741</v>
      </c>
      <c r="BK2" s="208">
        <f>ROUND(N(data!C229),0)</f>
        <v>1405410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82327975</v>
      </c>
      <c r="BW2" s="208">
        <f>ROUND(N(data!C240),0)</f>
        <v>70357024</v>
      </c>
      <c r="BX2" s="208">
        <f>ROUND(N(data!C241),0)</f>
        <v>0</v>
      </c>
      <c r="BY2" s="208">
        <f>ROUND(N(data!C242),0)</f>
        <v>0</v>
      </c>
      <c r="BZ2" s="208">
        <f>ROUND(N(data!C243),0)</f>
        <v>16769342</v>
      </c>
      <c r="CA2" s="208">
        <f>ROUND(N(data!C244),0)</f>
        <v>11261274</v>
      </c>
      <c r="CB2" s="208">
        <f>ROUND(N(data!C247),0)</f>
        <v>0</v>
      </c>
      <c r="CC2" s="208">
        <f>ROUND(N(data!C249),0)</f>
        <v>0</v>
      </c>
      <c r="CD2" s="208">
        <f>ROUND(N(data!C250),0)</f>
        <v>4005389</v>
      </c>
      <c r="CE2" s="208">
        <f>ROUND(N(data!C254)+N(data!C255),0)</f>
        <v>0</v>
      </c>
      <c r="CF2" s="208">
        <f>ROUND(N(data!D237),0)</f>
        <v>10777901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FFF0-016C-42D7-B8F9-B7D0E3BCFED4}">
  <sheetPr codeName="Sheet15"/>
  <dimension ref="A1:CI2"/>
  <sheetViews>
    <sheetView workbookViewId="0">
      <selection activeCell="E22" sqref="E22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198</v>
      </c>
      <c r="B2" s="12" t="str">
        <f>RIGHT(data!C96,4)</f>
        <v>2023</v>
      </c>
      <c r="C2" s="12" t="s">
        <v>1158</v>
      </c>
      <c r="D2" s="207">
        <f>ROUND(N(data!C127),0)</f>
        <v>1274</v>
      </c>
      <c r="E2" s="207">
        <f>ROUND(N(data!C128),0)</f>
        <v>1</v>
      </c>
      <c r="F2" s="207">
        <f>ROUND(N(data!C129),0)</f>
        <v>0</v>
      </c>
      <c r="G2" s="207">
        <f>ROUND(N(data!C130),0)</f>
        <v>223</v>
      </c>
      <c r="H2" s="207">
        <f>ROUND(N(data!D127),0)</f>
        <v>6338</v>
      </c>
      <c r="I2" s="207">
        <f>ROUND(N(data!D128),0)</f>
        <v>6</v>
      </c>
      <c r="J2" s="207">
        <f>ROUND(N(data!D129),0)</f>
        <v>0</v>
      </c>
      <c r="K2" s="207">
        <f>ROUND(N(data!D130),0)</f>
        <v>289</v>
      </c>
      <c r="L2" s="207">
        <f>ROUND(N(data!C132),0)</f>
        <v>7</v>
      </c>
      <c r="M2" s="207">
        <f>ROUND(N(data!C133),0)</f>
        <v>0</v>
      </c>
      <c r="N2" s="207">
        <f>ROUND(N(data!C134),0)</f>
        <v>14</v>
      </c>
      <c r="O2" s="207">
        <f>ROUND(N(data!C135),0)</f>
        <v>0</v>
      </c>
      <c r="P2" s="207">
        <f>ROUND(N(data!C136),0)</f>
        <v>4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38</v>
      </c>
      <c r="X2" s="207">
        <f>ROUND(N(data!C145),0)</f>
        <v>6</v>
      </c>
      <c r="Y2" s="207">
        <f>ROUND(N(data!B154),0)</f>
        <v>666</v>
      </c>
      <c r="Z2" s="207">
        <f>ROUND(N(data!B155),0)</f>
        <v>3323</v>
      </c>
      <c r="AA2" s="207">
        <f>ROUND(N(data!B156),0)</f>
        <v>28064</v>
      </c>
      <c r="AB2" s="207">
        <f>ROUND(N(data!B157),0)</f>
        <v>41351062</v>
      </c>
      <c r="AC2" s="207">
        <f>ROUND(N(data!B158),0)</f>
        <v>86389408</v>
      </c>
      <c r="AD2" s="207">
        <f>ROUND(N(data!C154),0)</f>
        <v>361</v>
      </c>
      <c r="AE2" s="207">
        <f>ROUND(N(data!C155),0)</f>
        <v>1787</v>
      </c>
      <c r="AF2" s="207">
        <f>ROUND(N(data!C156),0)</f>
        <v>25544</v>
      </c>
      <c r="AG2" s="207">
        <f>ROUND(N(data!C157),0)</f>
        <v>22274144</v>
      </c>
      <c r="AH2" s="207">
        <f>ROUND(N(data!C158),0)</f>
        <v>78630510</v>
      </c>
      <c r="AI2" s="207">
        <f>ROUND(N(data!D154),0)</f>
        <v>247</v>
      </c>
      <c r="AJ2" s="207">
        <f>ROUND(N(data!D155),0)</f>
        <v>1228</v>
      </c>
      <c r="AK2" s="207">
        <f>ROUND(N(data!D156),0)</f>
        <v>22441</v>
      </c>
      <c r="AL2" s="207">
        <f>ROUND(N(data!D157),0)</f>
        <v>15289700</v>
      </c>
      <c r="AM2" s="207">
        <f>ROUND(N(data!D158),0)</f>
        <v>69078527</v>
      </c>
      <c r="AN2" s="207">
        <f>ROUND(N(data!B160),0)</f>
        <v>1</v>
      </c>
      <c r="AO2" s="207">
        <f>ROUND(N(data!B161),0)</f>
        <v>6</v>
      </c>
      <c r="AP2" s="207">
        <f>ROUND(N(data!B162),0)</f>
        <v>0</v>
      </c>
      <c r="AQ2" s="207">
        <f>ROUND(N(data!B163),0)</f>
        <v>13782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92B4-D5DC-4D3C-B451-AC164CB7F6A8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7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6" width="8.7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75" style="9" bestFit="1" customWidth="1"/>
    <col min="22" max="22" width="10.58203125" style="9" bestFit="1" customWidth="1"/>
    <col min="23" max="23" width="9.58203125" style="9" bestFit="1" customWidth="1"/>
    <col min="24" max="25" width="9.75" style="9" bestFit="1" customWidth="1"/>
    <col min="26" max="26" width="11.75" style="9" bestFit="1" customWidth="1"/>
    <col min="27" max="27" width="9.58203125" style="9" bestFit="1" customWidth="1"/>
    <col min="28" max="28" width="8.7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75" style="9" customWidth="1"/>
    <col min="64" max="66" width="11.7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75" style="9" bestFit="1" customWidth="1"/>
    <col min="74" max="74" width="10.58203125" style="9" bestFit="1" customWidth="1"/>
    <col min="75" max="75" width="9.25" style="9" bestFit="1" customWidth="1"/>
    <col min="76" max="76" width="9.7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75" style="9" bestFit="1" customWidth="1"/>
    <col min="98" max="98" width="6.58203125" style="9" bestFit="1" customWidth="1"/>
    <col min="99" max="100" width="7.4140625" style="9" bestFit="1" customWidth="1"/>
    <col min="101" max="101" width="6.7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8" t="str">
        <f>RIGHT(data!C97,3)</f>
        <v>198</v>
      </c>
      <c r="B2" s="209" t="str">
        <f>RIGHT(data!C96,4)</f>
        <v>2023</v>
      </c>
      <c r="C2" s="12" t="s">
        <v>1158</v>
      </c>
      <c r="D2" s="207">
        <f>ROUND(N(data!C181),0)</f>
        <v>2149999</v>
      </c>
      <c r="E2" s="207">
        <f>ROUND(N(data!C267),0)</f>
        <v>0</v>
      </c>
      <c r="F2" s="207">
        <f>ROUND(N(data!C268),0)</f>
        <v>92963459</v>
      </c>
      <c r="G2" s="207">
        <f>ROUND(N(data!C269),0)</f>
        <v>71627620</v>
      </c>
      <c r="H2" s="207">
        <f>ROUND(N(data!C270),0)</f>
        <v>0</v>
      </c>
      <c r="I2" s="207">
        <f>ROUND(N(data!C271),0)</f>
        <v>19878721</v>
      </c>
      <c r="J2" s="207">
        <f>ROUND(N(data!C272),0)</f>
        <v>0</v>
      </c>
      <c r="K2" s="207">
        <f>ROUND(N(data!C273),0)</f>
        <v>2982615</v>
      </c>
      <c r="L2" s="207">
        <f>ROUND(N(data!C274),0)</f>
        <v>245610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5072349</v>
      </c>
      <c r="R2" s="207">
        <f>ROUND(N(data!C284),0)</f>
        <v>1430910</v>
      </c>
      <c r="S2" s="207">
        <f>ROUND(N(data!C285),0)</f>
        <v>25156498</v>
      </c>
      <c r="T2" s="207">
        <f>ROUND(N(data!C286),0)</f>
        <v>2888933</v>
      </c>
      <c r="U2" s="207">
        <f>ROUND(N(data!C287),0)</f>
        <v>0</v>
      </c>
      <c r="V2" s="207">
        <f>ROUND(N(data!C288),0)</f>
        <v>27909810</v>
      </c>
      <c r="W2" s="207">
        <f>ROUND(N(data!C289),0)</f>
        <v>3287273</v>
      </c>
      <c r="X2" s="207">
        <f>ROUND(N(data!C290),0)</f>
        <v>30117</v>
      </c>
      <c r="Y2" s="207">
        <f>ROUND(N(data!C291),0)</f>
        <v>0</v>
      </c>
      <c r="Z2" s="207">
        <f>ROUND(N(data!C292),0)</f>
        <v>47223806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819512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5773848</v>
      </c>
      <c r="AK2" s="207">
        <f>ROUND(N(data!C316),0)</f>
        <v>3433621</v>
      </c>
      <c r="AL2" s="207">
        <f>ROUND(N(data!C317),0)</f>
        <v>0</v>
      </c>
      <c r="AM2" s="207">
        <f>ROUND(N(data!C318),0)</f>
        <v>0</v>
      </c>
      <c r="AN2" s="207">
        <f>ROUND(N(data!C319),0)</f>
        <v>2034154</v>
      </c>
      <c r="AO2" s="207">
        <f>ROUND(N(data!C320),0)</f>
        <v>0</v>
      </c>
      <c r="AP2" s="207">
        <f>ROUND(N(data!C321),0)</f>
        <v>0</v>
      </c>
      <c r="AQ2" s="207">
        <f>ROUND(N(data!C322),0)</f>
        <v>2089603</v>
      </c>
      <c r="AR2" s="207">
        <f>ROUND(N(data!C323),0)</f>
        <v>675576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3324521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54825639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350.07</v>
      </c>
      <c r="BL2" s="207">
        <f>ROUND(N(data!C358),0)</f>
        <v>78914906</v>
      </c>
      <c r="BM2" s="207">
        <f>ROUND(N(data!C359),0)</f>
        <v>234098445</v>
      </c>
      <c r="BN2" s="207">
        <f>ROUND(N(data!C363),0)</f>
        <v>180715615</v>
      </c>
      <c r="BO2" s="207">
        <f>ROUND(N(data!C364),0)</f>
        <v>4005389</v>
      </c>
      <c r="BP2" s="207">
        <f>ROUND(N(data!C365),0)</f>
        <v>0</v>
      </c>
      <c r="BQ2" s="207">
        <f>ROUND(N(data!D381),0)</f>
        <v>604586</v>
      </c>
      <c r="BR2" s="207">
        <f>ROUND(N(data!C370),0)</f>
        <v>0</v>
      </c>
      <c r="BS2" s="207">
        <f>ROUND(N(data!C371),0)</f>
        <v>132175</v>
      </c>
      <c r="BT2" s="207">
        <f>ROUND(N(data!C372),0)</f>
        <v>0</v>
      </c>
      <c r="BU2" s="207">
        <f>ROUND(N(data!C373),0)</f>
        <v>0</v>
      </c>
      <c r="BV2" s="207">
        <f>ROUND(N(data!C374),0)</f>
        <v>6569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347269</v>
      </c>
      <c r="CB2" s="207">
        <f>ROUND(N(data!C380),0)</f>
        <v>118573</v>
      </c>
      <c r="CC2" s="207">
        <f>ROUND(N(data!C382),0)</f>
        <v>0</v>
      </c>
      <c r="CD2" s="207">
        <f>ROUND(N(data!C389),0)</f>
        <v>33676419</v>
      </c>
      <c r="CE2" s="207">
        <f>ROUND(N(data!C390),0)</f>
        <v>9457913</v>
      </c>
      <c r="CF2" s="207">
        <f>ROUND(N(data!C391),0)</f>
        <v>1997247</v>
      </c>
      <c r="CG2" s="207">
        <f>ROUND(N(data!C392),0)</f>
        <v>17314569</v>
      </c>
      <c r="CH2" s="207">
        <f>ROUND(N(data!C393),0)</f>
        <v>830096</v>
      </c>
      <c r="CI2" s="207">
        <f>ROUND(N(data!C394),0)</f>
        <v>9809131</v>
      </c>
      <c r="CJ2" s="207">
        <f>ROUND(N(data!C395),0)</f>
        <v>2154597</v>
      </c>
      <c r="CK2" s="207">
        <f>ROUND(N(data!C396),0)</f>
        <v>1179412</v>
      </c>
      <c r="CL2" s="207">
        <f>ROUND(N(data!C397),0)</f>
        <v>1769435</v>
      </c>
      <c r="CM2" s="207">
        <f>ROUND(N(data!C398),0)</f>
        <v>1221251</v>
      </c>
      <c r="CN2" s="207">
        <f>ROUND(N(data!C399),0)</f>
        <v>4471765</v>
      </c>
      <c r="CO2" s="207">
        <f>ROUND(N(data!C362),0)</f>
        <v>10777901</v>
      </c>
      <c r="CP2" s="207">
        <f>ROUND(N(data!D415),0)</f>
        <v>23446966</v>
      </c>
      <c r="CQ2" s="61">
        <f>ROUND(N(data!C401),0)</f>
        <v>392517</v>
      </c>
      <c r="CR2" s="61">
        <f>ROUND(N(data!C402),0)</f>
        <v>4881554</v>
      </c>
      <c r="CS2" s="61">
        <f>ROUND(N(data!C403),0)</f>
        <v>0</v>
      </c>
      <c r="CT2" s="61">
        <f>ROUND(N(data!C404),0)</f>
        <v>0</v>
      </c>
      <c r="CU2" s="61">
        <f>ROUND(N(data!C405),0)</f>
        <v>268721</v>
      </c>
      <c r="CV2" s="61">
        <f>ROUND(N(data!C406),0)</f>
        <v>252901</v>
      </c>
      <c r="CW2" s="61">
        <f>ROUND(N(data!C407),0)</f>
        <v>1299672</v>
      </c>
      <c r="CX2" s="61">
        <f>ROUND(N(data!C408),0)</f>
        <v>467661</v>
      </c>
      <c r="CY2" s="61">
        <f>ROUND(N(data!C409),0)</f>
        <v>14841774</v>
      </c>
      <c r="CZ2" s="61">
        <f>ROUND(N(data!C410),0)</f>
        <v>125402</v>
      </c>
      <c r="DA2" s="61">
        <f>ROUND(N(data!C411),0)</f>
        <v>132549</v>
      </c>
      <c r="DB2" s="61">
        <f>ROUND(N(data!C412),0)</f>
        <v>0</v>
      </c>
      <c r="DC2" s="61">
        <f>ROUND(N(data!C413),0)</f>
        <v>0</v>
      </c>
      <c r="DD2" s="61">
        <f>ROUND(N(data!C414),0)</f>
        <v>784215</v>
      </c>
      <c r="DE2" s="61">
        <f>ROUND(N(data!C419),0)</f>
        <v>0</v>
      </c>
      <c r="DF2" s="207">
        <f>ROUND(N(data!D420),0)</f>
        <v>-31745</v>
      </c>
      <c r="DG2" s="207">
        <f>ROUND(N(data!C422),0)</f>
        <v>-258650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2DA5-9A11-450D-B443-639B0A57A5E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7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198</v>
      </c>
      <c r="B2" s="209" t="str">
        <f>RIGHT(data!$C$96,4)</f>
        <v>2023</v>
      </c>
      <c r="C2" s="12" t="str">
        <f>data!C$55</f>
        <v>6010</v>
      </c>
      <c r="D2" s="12" t="s">
        <v>1158</v>
      </c>
      <c r="E2" s="207">
        <f>ROUND(N(data!C59), 0)</f>
        <v>0</v>
      </c>
      <c r="F2" s="315">
        <f>ROUND(N(data!C60), 2)</f>
        <v>12.18</v>
      </c>
      <c r="G2" s="207">
        <f>ROUND(N(data!C61), 0)</f>
        <v>1438200</v>
      </c>
      <c r="H2" s="207">
        <f>ROUND(N(data!C62), 0)</f>
        <v>410038</v>
      </c>
      <c r="I2" s="207">
        <f>ROUND(N(data!C63), 0)</f>
        <v>0</v>
      </c>
      <c r="J2" s="207">
        <f>ROUND(N(data!C64), 0)</f>
        <v>128854</v>
      </c>
      <c r="K2" s="207">
        <f>ROUND(N(data!C65), 0)</f>
        <v>0</v>
      </c>
      <c r="L2" s="207">
        <f>ROUND(N(data!C66), 0)</f>
        <v>13041</v>
      </c>
      <c r="M2" s="207">
        <f>ROUND(N(data!C67), 0)</f>
        <v>61550</v>
      </c>
      <c r="N2" s="207">
        <f>ROUND(N(data!C68), 0)</f>
        <v>9755</v>
      </c>
      <c r="O2" s="207">
        <f>ROUND(N(data!C69), 0)</f>
        <v>427098</v>
      </c>
      <c r="P2" s="207">
        <f>ROUND(N(data!C70), 0)</f>
        <v>0</v>
      </c>
      <c r="Q2" s="207">
        <f>ROUND(N(data!C71), 0)</f>
        <v>423156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3063</v>
      </c>
      <c r="X2" s="207">
        <f>ROUND(N(data!C78), 0)</f>
        <v>0</v>
      </c>
      <c r="Y2" s="207">
        <f>ROUND(N(data!C79), 0)</f>
        <v>0</v>
      </c>
      <c r="Z2" s="207">
        <f>ROUND(N(data!C80), 0)</f>
        <v>220</v>
      </c>
      <c r="AA2" s="207">
        <f>ROUND(N(data!C81), 0)</f>
        <v>280</v>
      </c>
      <c r="AB2" s="207">
        <f>ROUND(N(data!C82), 0)</f>
        <v>0</v>
      </c>
      <c r="AC2" s="207">
        <f>ROUND(N(data!C83), 0)</f>
        <v>379</v>
      </c>
      <c r="AD2" s="207">
        <f>ROUND(N(data!C84), 0)</f>
        <v>0</v>
      </c>
      <c r="AE2" s="207">
        <f>ROUND(N(data!C89), 0)</f>
        <v>5168013</v>
      </c>
      <c r="AF2" s="207">
        <f>ROUND(N(data!C87), 0)</f>
        <v>5166513</v>
      </c>
      <c r="AG2" s="207">
        <f>ROUND(N(data!C90), 0)</f>
        <v>2901</v>
      </c>
      <c r="AH2" s="207">
        <f>ROUND(N(data!C91), 0)</f>
        <v>2863</v>
      </c>
      <c r="AI2" s="207">
        <f>ROUND(N(data!C92), 0)</f>
        <v>2232</v>
      </c>
      <c r="AJ2" s="207">
        <f>ROUND(N(data!C93), 0)</f>
        <v>73917</v>
      </c>
      <c r="AK2" s="315">
        <f>ROUND(N(data!C94), 2)</f>
        <v>12.18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198</v>
      </c>
      <c r="B3" s="209" t="str">
        <f>RIGHT(data!$C$96,4)</f>
        <v>2023</v>
      </c>
      <c r="C3" s="12" t="str">
        <f>data!D$55</f>
        <v>6030</v>
      </c>
      <c r="D3" s="12" t="s">
        <v>1158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198</v>
      </c>
      <c r="B4" s="209" t="str">
        <f>RIGHT(data!$C$96,4)</f>
        <v>2023</v>
      </c>
      <c r="C4" s="12" t="str">
        <f>data!E$55</f>
        <v>6070</v>
      </c>
      <c r="D4" s="12" t="s">
        <v>1158</v>
      </c>
      <c r="E4" s="207">
        <f>ROUND(N(data!E59), 0)</f>
        <v>0</v>
      </c>
      <c r="F4" s="315">
        <f>ROUND(N(data!E60), 2)</f>
        <v>32.65</v>
      </c>
      <c r="G4" s="207">
        <f>ROUND(N(data!E61), 0)</f>
        <v>3475424</v>
      </c>
      <c r="H4" s="207">
        <f>ROUND(N(data!E62), 0)</f>
        <v>999211</v>
      </c>
      <c r="I4" s="207">
        <f>ROUND(N(data!E63), 0)</f>
        <v>0</v>
      </c>
      <c r="J4" s="207">
        <f>ROUND(N(data!E64), 0)</f>
        <v>345180</v>
      </c>
      <c r="K4" s="207">
        <f>ROUND(N(data!E65), 0)</f>
        <v>0</v>
      </c>
      <c r="L4" s="207">
        <f>ROUND(N(data!E66), 0)</f>
        <v>1256560</v>
      </c>
      <c r="M4" s="207">
        <f>ROUND(N(data!E67), 0)</f>
        <v>373608</v>
      </c>
      <c r="N4" s="207">
        <f>ROUND(N(data!E68), 0)</f>
        <v>57644</v>
      </c>
      <c r="O4" s="207">
        <f>ROUND(N(data!E69), 0)</f>
        <v>2205316</v>
      </c>
      <c r="P4" s="207">
        <f>ROUND(N(data!E70), 0)</f>
        <v>0</v>
      </c>
      <c r="Q4" s="207">
        <f>ROUND(N(data!E71), 0)</f>
        <v>2189382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10094</v>
      </c>
      <c r="X4" s="207">
        <f>ROUND(N(data!E78), 0)</f>
        <v>0</v>
      </c>
      <c r="Y4" s="207">
        <f>ROUND(N(data!E79), 0)</f>
        <v>0</v>
      </c>
      <c r="Z4" s="207">
        <f>ROUND(N(data!E80), 0)</f>
        <v>4109</v>
      </c>
      <c r="AA4" s="207">
        <f>ROUND(N(data!E81), 0)</f>
        <v>0</v>
      </c>
      <c r="AB4" s="207">
        <f>ROUND(N(data!E82), 0)</f>
        <v>0</v>
      </c>
      <c r="AC4" s="207">
        <f>ROUND(N(data!E83), 0)</f>
        <v>1731</v>
      </c>
      <c r="AD4" s="207">
        <f>ROUND(N(data!E84), 0)</f>
        <v>0</v>
      </c>
      <c r="AE4" s="207">
        <f>ROUND(N(data!E89), 0)</f>
        <v>21345672</v>
      </c>
      <c r="AF4" s="207">
        <f>ROUND(N(data!E87), 0)</f>
        <v>16846229</v>
      </c>
      <c r="AG4" s="207">
        <f>ROUND(N(data!E90), 0)</f>
        <v>17609</v>
      </c>
      <c r="AH4" s="207">
        <f>ROUND(N(data!E91), 0)</f>
        <v>19973</v>
      </c>
      <c r="AI4" s="207">
        <f>ROUND(N(data!E92), 0)</f>
        <v>8772</v>
      </c>
      <c r="AJ4" s="207">
        <f>ROUND(N(data!E93), 0)</f>
        <v>184500</v>
      </c>
      <c r="AK4" s="315">
        <f>ROUND(N(data!E94), 2)</f>
        <v>32.65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198</v>
      </c>
      <c r="B5" s="209" t="str">
        <f>RIGHT(data!$C$96,4)</f>
        <v>2023</v>
      </c>
      <c r="C5" s="12" t="str">
        <f>data!F$55</f>
        <v>6100</v>
      </c>
      <c r="D5" s="12" t="s">
        <v>1158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198</v>
      </c>
      <c r="B6" s="209" t="str">
        <f>RIGHT(data!$C$96,4)</f>
        <v>2023</v>
      </c>
      <c r="C6" s="12" t="str">
        <f>data!G$55</f>
        <v>6120</v>
      </c>
      <c r="D6" s="12" t="s">
        <v>1158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198</v>
      </c>
      <c r="B7" s="209" t="str">
        <f>RIGHT(data!$C$96,4)</f>
        <v>2023</v>
      </c>
      <c r="C7" s="12" t="str">
        <f>data!H$55</f>
        <v>6140</v>
      </c>
      <c r="D7" s="12" t="s">
        <v>1158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198</v>
      </c>
      <c r="B8" s="209" t="str">
        <f>RIGHT(data!$C$96,4)</f>
        <v>2023</v>
      </c>
      <c r="C8" s="12" t="str">
        <f>data!I$55</f>
        <v>6150</v>
      </c>
      <c r="D8" s="12" t="s">
        <v>1158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198</v>
      </c>
      <c r="B9" s="209" t="str">
        <f>RIGHT(data!$C$96,4)</f>
        <v>2023</v>
      </c>
      <c r="C9" s="12" t="str">
        <f>data!J$55</f>
        <v>6170</v>
      </c>
      <c r="D9" s="12" t="s">
        <v>1158</v>
      </c>
      <c r="E9" s="207">
        <f>ROUND(N(data!J59), 0)</f>
        <v>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5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871535</v>
      </c>
      <c r="AF9" s="207">
        <f>ROUND(N(data!J87), 0)</f>
        <v>795719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198</v>
      </c>
      <c r="B10" s="209" t="str">
        <f>RIGHT(data!$C$96,4)</f>
        <v>2023</v>
      </c>
      <c r="C10" s="12" t="str">
        <f>data!K$55</f>
        <v>6200</v>
      </c>
      <c r="D10" s="12" t="s">
        <v>1158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198</v>
      </c>
      <c r="B11" s="209" t="str">
        <f>RIGHT(data!$C$96,4)</f>
        <v>2023</v>
      </c>
      <c r="C11" s="12" t="str">
        <f>data!L$55</f>
        <v>6210</v>
      </c>
      <c r="D11" s="12" t="s">
        <v>1158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198</v>
      </c>
      <c r="B12" s="209" t="str">
        <f>RIGHT(data!$C$96,4)</f>
        <v>2023</v>
      </c>
      <c r="C12" s="12" t="str">
        <f>data!M$55</f>
        <v>6330</v>
      </c>
      <c r="D12" s="12" t="s">
        <v>1158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198</v>
      </c>
      <c r="B13" s="209" t="str">
        <f>RIGHT(data!$C$96,4)</f>
        <v>2023</v>
      </c>
      <c r="C13" s="12" t="str">
        <f>data!N$55</f>
        <v>6400</v>
      </c>
      <c r="D13" s="12" t="s">
        <v>1158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198</v>
      </c>
      <c r="B14" s="209" t="str">
        <f>RIGHT(data!$C$96,4)</f>
        <v>2023</v>
      </c>
      <c r="C14" s="12" t="str">
        <f>data!O$55</f>
        <v>7010</v>
      </c>
      <c r="D14" s="12" t="s">
        <v>1158</v>
      </c>
      <c r="E14" s="207">
        <f>ROUND(N(data!O59), 0)</f>
        <v>0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198</v>
      </c>
      <c r="B15" s="209" t="str">
        <f>RIGHT(data!$C$96,4)</f>
        <v>2023</v>
      </c>
      <c r="C15" s="12" t="str">
        <f>data!P$55</f>
        <v>7020</v>
      </c>
      <c r="D15" s="12" t="s">
        <v>1158</v>
      </c>
      <c r="E15" s="207">
        <f>ROUND(N(data!P59), 0)</f>
        <v>0</v>
      </c>
      <c r="F15" s="315">
        <f>ROUND(N(data!P60), 2)</f>
        <v>12.59</v>
      </c>
      <c r="G15" s="207">
        <f>ROUND(N(data!P61), 0)</f>
        <v>1101405</v>
      </c>
      <c r="H15" s="207">
        <f>ROUND(N(data!P62), 0)</f>
        <v>330823</v>
      </c>
      <c r="I15" s="207">
        <f>ROUND(N(data!P63), 0)</f>
        <v>117</v>
      </c>
      <c r="J15" s="207">
        <f>ROUND(N(data!P64), 0)</f>
        <v>4299175</v>
      </c>
      <c r="K15" s="207">
        <f>ROUND(N(data!P65), 0)</f>
        <v>0</v>
      </c>
      <c r="L15" s="207">
        <f>ROUND(N(data!P66), 0)</f>
        <v>554353</v>
      </c>
      <c r="M15" s="207">
        <f>ROUND(N(data!P67), 0)</f>
        <v>92187</v>
      </c>
      <c r="N15" s="207">
        <f>ROUND(N(data!P68), 0)</f>
        <v>-491</v>
      </c>
      <c r="O15" s="207">
        <f>ROUND(N(data!P69), 0)</f>
        <v>1040121</v>
      </c>
      <c r="P15" s="207">
        <f>ROUND(N(data!P70), 0)</f>
        <v>0</v>
      </c>
      <c r="Q15" s="207">
        <f>ROUND(N(data!P71), 0)</f>
        <v>812093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51021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49181</v>
      </c>
      <c r="AB15" s="207">
        <f>ROUND(N(data!P82), 0)</f>
        <v>0</v>
      </c>
      <c r="AC15" s="207">
        <f>ROUND(N(data!P83), 0)</f>
        <v>127826</v>
      </c>
      <c r="AD15" s="207">
        <f>ROUND(N(data!P84), 0)</f>
        <v>0</v>
      </c>
      <c r="AE15" s="207">
        <f>ROUND(N(data!P89), 0)</f>
        <v>39286130</v>
      </c>
      <c r="AF15" s="207">
        <f>ROUND(N(data!P87), 0)</f>
        <v>11058919</v>
      </c>
      <c r="AG15" s="207">
        <f>ROUND(N(data!P90), 0)</f>
        <v>4345</v>
      </c>
      <c r="AH15" s="207">
        <f>ROUND(N(data!P91), 0)</f>
        <v>0</v>
      </c>
      <c r="AI15" s="207">
        <f>ROUND(N(data!P92), 0)</f>
        <v>3348</v>
      </c>
      <c r="AJ15" s="207">
        <f>ROUND(N(data!P93), 0)</f>
        <v>37563</v>
      </c>
      <c r="AK15" s="315">
        <f>ROUND(N(data!P94), 2)</f>
        <v>12.59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198</v>
      </c>
      <c r="B16" s="209" t="str">
        <f>RIGHT(data!$C$96,4)</f>
        <v>2023</v>
      </c>
      <c r="C16" s="12" t="str">
        <f>data!Q$55</f>
        <v>7030</v>
      </c>
      <c r="D16" s="12" t="s">
        <v>1158</v>
      </c>
      <c r="E16" s="207">
        <f>ROUND(N(data!Q59), 0)</f>
        <v>0</v>
      </c>
      <c r="F16" s="315">
        <f>ROUND(N(data!Q60), 2)</f>
        <v>3.19</v>
      </c>
      <c r="G16" s="207">
        <f>ROUND(N(data!Q61), 0)</f>
        <v>490852</v>
      </c>
      <c r="H16" s="207">
        <f>ROUND(N(data!Q62), 0)</f>
        <v>147925</v>
      </c>
      <c r="I16" s="207">
        <f>ROUND(N(data!Q63), 0)</f>
        <v>0</v>
      </c>
      <c r="J16" s="207">
        <f>ROUND(N(data!Q64), 0)</f>
        <v>32812</v>
      </c>
      <c r="K16" s="207">
        <f>ROUND(N(data!Q65), 0)</f>
        <v>0</v>
      </c>
      <c r="L16" s="207">
        <f>ROUND(N(data!Q66), 0)</f>
        <v>-202</v>
      </c>
      <c r="M16" s="207">
        <f>ROUND(N(data!Q67), 0)</f>
        <v>25269</v>
      </c>
      <c r="N16" s="207">
        <f>ROUND(N(data!Q68), 0)</f>
        <v>-531</v>
      </c>
      <c r="O16" s="207">
        <f>ROUND(N(data!Q69), 0)</f>
        <v>127481</v>
      </c>
      <c r="P16" s="207">
        <f>ROUND(N(data!Q70), 0)</f>
        <v>0</v>
      </c>
      <c r="Q16" s="207">
        <f>ROUND(N(data!Q71), 0)</f>
        <v>128328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-847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5164724</v>
      </c>
      <c r="AF16" s="207">
        <f>ROUND(N(data!Q87), 0)</f>
        <v>1485598</v>
      </c>
      <c r="AG16" s="207">
        <f>ROUND(N(data!Q90), 0)</f>
        <v>1191</v>
      </c>
      <c r="AH16" s="207">
        <f>ROUND(N(data!Q91), 0)</f>
        <v>0</v>
      </c>
      <c r="AI16" s="207">
        <f>ROUND(N(data!Q92), 0)</f>
        <v>526</v>
      </c>
      <c r="AJ16" s="207">
        <f>ROUND(N(data!Q93), 0)</f>
        <v>18489</v>
      </c>
      <c r="AK16" s="315">
        <f>ROUND(N(data!Q94), 2)</f>
        <v>3.19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198</v>
      </c>
      <c r="B17" s="209" t="str">
        <f>RIGHT(data!$C$96,4)</f>
        <v>2023</v>
      </c>
      <c r="C17" s="12" t="str">
        <f>data!R$55</f>
        <v>7040</v>
      </c>
      <c r="D17" s="12" t="s">
        <v>1158</v>
      </c>
      <c r="E17" s="207">
        <f>ROUND(N(data!R59), 0)</f>
        <v>0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114606</v>
      </c>
      <c r="K17" s="207">
        <f>ROUND(N(data!R65), 0)</f>
        <v>0</v>
      </c>
      <c r="L17" s="207">
        <f>ROUND(N(data!R66), 0)</f>
        <v>1053252</v>
      </c>
      <c r="M17" s="207">
        <f>ROUND(N(data!R67), 0)</f>
        <v>2016</v>
      </c>
      <c r="N17" s="207">
        <f>ROUND(N(data!R68), 0)</f>
        <v>0</v>
      </c>
      <c r="O17" s="207">
        <f>ROUND(N(data!R69), 0)</f>
        <v>15113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15078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35</v>
      </c>
      <c r="AD17" s="207">
        <f>ROUND(N(data!R84), 0)</f>
        <v>0</v>
      </c>
      <c r="AE17" s="207">
        <f>ROUND(N(data!R89), 0)</f>
        <v>9986983</v>
      </c>
      <c r="AF17" s="207">
        <f>ROUND(N(data!R87), 0)</f>
        <v>2594502</v>
      </c>
      <c r="AG17" s="207">
        <f>ROUND(N(data!R90), 0)</f>
        <v>95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198</v>
      </c>
      <c r="B18" s="209" t="str">
        <f>RIGHT(data!$C$96,4)</f>
        <v>2023</v>
      </c>
      <c r="C18" s="12" t="str">
        <f>data!S$55</f>
        <v>7050</v>
      </c>
      <c r="D18" s="12" t="s">
        <v>1158</v>
      </c>
      <c r="E18" s="207">
        <f>ROUND(N(data!S59), 0)</f>
        <v>0</v>
      </c>
      <c r="F18" s="315">
        <f>ROUND(N(data!S60), 2)</f>
        <v>1.9</v>
      </c>
      <c r="G18" s="207">
        <f>ROUND(N(data!S61), 0)</f>
        <v>81448</v>
      </c>
      <c r="H18" s="207">
        <f>ROUND(N(data!S62), 0)</f>
        <v>23548</v>
      </c>
      <c r="I18" s="207">
        <f>ROUND(N(data!S63), 0)</f>
        <v>0</v>
      </c>
      <c r="J18" s="207">
        <f>ROUND(N(data!S64), 0)</f>
        <v>102858</v>
      </c>
      <c r="K18" s="207">
        <f>ROUND(N(data!S65), 0)</f>
        <v>0</v>
      </c>
      <c r="L18" s="207">
        <f>ROUND(N(data!S66), 0)</f>
        <v>-4695</v>
      </c>
      <c r="M18" s="207">
        <f>ROUND(N(data!S67), 0)</f>
        <v>11096</v>
      </c>
      <c r="N18" s="207">
        <f>ROUND(N(data!S68), 0)</f>
        <v>0</v>
      </c>
      <c r="O18" s="207">
        <f>ROUND(N(data!S69), 0)</f>
        <v>8042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8042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22640359</v>
      </c>
      <c r="AF18" s="207">
        <f>ROUND(N(data!S87), 0)</f>
        <v>9275960</v>
      </c>
      <c r="AG18" s="207">
        <f>ROUND(N(data!S90), 0)</f>
        <v>523</v>
      </c>
      <c r="AH18" s="207">
        <f>ROUND(N(data!S91), 0)</f>
        <v>0</v>
      </c>
      <c r="AI18" s="207">
        <f>ROUND(N(data!S92), 0)</f>
        <v>422</v>
      </c>
      <c r="AJ18" s="207">
        <f>ROUND(N(data!S93), 0)</f>
        <v>468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198</v>
      </c>
      <c r="B19" s="209" t="str">
        <f>RIGHT(data!$C$96,4)</f>
        <v>2023</v>
      </c>
      <c r="C19" s="12" t="str">
        <f>data!T$55</f>
        <v>7060</v>
      </c>
      <c r="D19" s="12" t="s">
        <v>1158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134499</v>
      </c>
      <c r="K19" s="207">
        <f>ROUND(N(data!T65), 0)</f>
        <v>0</v>
      </c>
      <c r="L19" s="207">
        <f>ROUND(N(data!T66), 0)</f>
        <v>0</v>
      </c>
      <c r="M19" s="207">
        <f>ROUND(N(data!T67), 0)</f>
        <v>3968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1369310</v>
      </c>
      <c r="AF19" s="207">
        <f>ROUND(N(data!T87), 0)</f>
        <v>961247</v>
      </c>
      <c r="AG19" s="207">
        <f>ROUND(N(data!T90), 0)</f>
        <v>187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198</v>
      </c>
      <c r="B20" s="209" t="str">
        <f>RIGHT(data!$C$96,4)</f>
        <v>2023</v>
      </c>
      <c r="C20" s="12" t="str">
        <f>data!U$55</f>
        <v>7070</v>
      </c>
      <c r="D20" s="12" t="s">
        <v>1158</v>
      </c>
      <c r="E20" s="207">
        <f>ROUND(N(data!U59), 0)</f>
        <v>0</v>
      </c>
      <c r="F20" s="315">
        <f>ROUND(N(data!U60), 2)</f>
        <v>21.38</v>
      </c>
      <c r="G20" s="207">
        <f>ROUND(N(data!U61), 0)</f>
        <v>1386383</v>
      </c>
      <c r="H20" s="207">
        <f>ROUND(N(data!U62), 0)</f>
        <v>409811</v>
      </c>
      <c r="I20" s="207">
        <f>ROUND(N(data!U63), 0)</f>
        <v>35000</v>
      </c>
      <c r="J20" s="207">
        <f>ROUND(N(data!U64), 0)</f>
        <v>1304764</v>
      </c>
      <c r="K20" s="207">
        <f>ROUND(N(data!U65), 0)</f>
        <v>120</v>
      </c>
      <c r="L20" s="207">
        <f>ROUND(N(data!U66), 0)</f>
        <v>11802</v>
      </c>
      <c r="M20" s="207">
        <f>ROUND(N(data!U67), 0)</f>
        <v>54634</v>
      </c>
      <c r="N20" s="207">
        <f>ROUND(N(data!U68), 0)</f>
        <v>83654</v>
      </c>
      <c r="O20" s="207">
        <f>ROUND(N(data!U69), 0)</f>
        <v>1959847</v>
      </c>
      <c r="P20" s="207">
        <f>ROUND(N(data!U70), 0)</f>
        <v>392517</v>
      </c>
      <c r="Q20" s="207">
        <f>ROUND(N(data!U71), 0)</f>
        <v>219463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1299672</v>
      </c>
      <c r="W20" s="207">
        <f>ROUND(N(data!U77), 0)</f>
        <v>19295</v>
      </c>
      <c r="X20" s="207">
        <f>ROUND(N(data!U78), 0)</f>
        <v>0</v>
      </c>
      <c r="Y20" s="207">
        <f>ROUND(N(data!U79), 0)</f>
        <v>0</v>
      </c>
      <c r="Z20" s="207">
        <f>ROUND(N(data!U80), 0)</f>
        <v>4166</v>
      </c>
      <c r="AA20" s="207">
        <f>ROUND(N(data!U81), 0)</f>
        <v>11186</v>
      </c>
      <c r="AB20" s="207">
        <f>ROUND(N(data!U82), 0)</f>
        <v>0</v>
      </c>
      <c r="AC20" s="207">
        <f>ROUND(N(data!U83), 0)</f>
        <v>13548</v>
      </c>
      <c r="AD20" s="207">
        <f>ROUND(N(data!U84), 0)</f>
        <v>0</v>
      </c>
      <c r="AE20" s="207">
        <f>ROUND(N(data!U89), 0)</f>
        <v>50003208</v>
      </c>
      <c r="AF20" s="207">
        <f>ROUND(N(data!U87), 0)</f>
        <v>8889478</v>
      </c>
      <c r="AG20" s="207">
        <f>ROUND(N(data!U90), 0)</f>
        <v>2575</v>
      </c>
      <c r="AH20" s="207">
        <f>ROUND(N(data!U91), 0)</f>
        <v>0</v>
      </c>
      <c r="AI20" s="207">
        <f>ROUND(N(data!U92), 0)</f>
        <v>861</v>
      </c>
      <c r="AJ20" s="207">
        <f>ROUND(N(data!U93), 0)</f>
        <v>195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198</v>
      </c>
      <c r="B21" s="209" t="str">
        <f>RIGHT(data!$C$96,4)</f>
        <v>2023</v>
      </c>
      <c r="C21" s="12" t="str">
        <f>data!V$55</f>
        <v>7110</v>
      </c>
      <c r="D21" s="12" t="s">
        <v>1158</v>
      </c>
      <c r="E21" s="207">
        <f>ROUND(N(data!V59), 0)</f>
        <v>0</v>
      </c>
      <c r="F21" s="315">
        <f>ROUND(N(data!V60), 2)</f>
        <v>1.27</v>
      </c>
      <c r="G21" s="207">
        <f>ROUND(N(data!V61), 0)</f>
        <v>154803</v>
      </c>
      <c r="H21" s="207">
        <f>ROUND(N(data!V62), 0)</f>
        <v>45659</v>
      </c>
      <c r="I21" s="207">
        <f>ROUND(N(data!V63), 0)</f>
        <v>0</v>
      </c>
      <c r="J21" s="207">
        <f>ROUND(N(data!V64), 0)</f>
        <v>7699</v>
      </c>
      <c r="K21" s="207">
        <f>ROUND(N(data!V65), 0)</f>
        <v>0</v>
      </c>
      <c r="L21" s="207">
        <f>ROUND(N(data!V66), 0)</f>
        <v>7069</v>
      </c>
      <c r="M21" s="207">
        <f>ROUND(N(data!V67), 0)</f>
        <v>3267</v>
      </c>
      <c r="N21" s="207">
        <f>ROUND(N(data!V68), 0)</f>
        <v>0</v>
      </c>
      <c r="O21" s="207">
        <f>ROUND(N(data!V69), 0)</f>
        <v>2311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-101</v>
      </c>
      <c r="X21" s="207">
        <f>ROUND(N(data!V78), 0)</f>
        <v>0</v>
      </c>
      <c r="Y21" s="207">
        <f>ROUND(N(data!V79), 0)</f>
        <v>0</v>
      </c>
      <c r="Z21" s="207">
        <f>ROUND(N(data!V80), 0)</f>
        <v>155</v>
      </c>
      <c r="AA21" s="207">
        <f>ROUND(N(data!V81), 0)</f>
        <v>0</v>
      </c>
      <c r="AB21" s="207">
        <f>ROUND(N(data!V82), 0)</f>
        <v>0</v>
      </c>
      <c r="AC21" s="207">
        <f>ROUND(N(data!V83), 0)</f>
        <v>2257</v>
      </c>
      <c r="AD21" s="207">
        <f>ROUND(N(data!V84), 0)</f>
        <v>0</v>
      </c>
      <c r="AE21" s="207">
        <f>ROUND(N(data!V89), 0)</f>
        <v>1723419</v>
      </c>
      <c r="AF21" s="207">
        <f>ROUND(N(data!V87), 0)</f>
        <v>637841</v>
      </c>
      <c r="AG21" s="207">
        <f>ROUND(N(data!V90), 0)</f>
        <v>154</v>
      </c>
      <c r="AH21" s="207">
        <f>ROUND(N(data!V91), 0)</f>
        <v>0</v>
      </c>
      <c r="AI21" s="207">
        <f>ROUND(N(data!V92), 0)</f>
        <v>150</v>
      </c>
      <c r="AJ21" s="207">
        <f>ROUND(N(data!V93), 0)</f>
        <v>1287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198</v>
      </c>
      <c r="B22" s="209" t="str">
        <f>RIGHT(data!$C$96,4)</f>
        <v>2023</v>
      </c>
      <c r="C22" s="12" t="str">
        <f>data!W$55</f>
        <v>7120</v>
      </c>
      <c r="D22" s="12" t="s">
        <v>1158</v>
      </c>
      <c r="E22" s="207">
        <f>ROUND(N(data!W59), 0)</f>
        <v>0</v>
      </c>
      <c r="F22" s="315">
        <f>ROUND(N(data!W60), 2)</f>
        <v>1.43</v>
      </c>
      <c r="G22" s="207">
        <f>ROUND(N(data!W61), 0)</f>
        <v>134558</v>
      </c>
      <c r="H22" s="207">
        <f>ROUND(N(data!W62), 0)</f>
        <v>39920</v>
      </c>
      <c r="I22" s="207">
        <f>ROUND(N(data!W63), 0)</f>
        <v>0</v>
      </c>
      <c r="J22" s="207">
        <f>ROUND(N(data!W64), 0)</f>
        <v>2548</v>
      </c>
      <c r="K22" s="207">
        <f>ROUND(N(data!W65), 0)</f>
        <v>0</v>
      </c>
      <c r="L22" s="207">
        <f>ROUND(N(data!W66), 0)</f>
        <v>113002</v>
      </c>
      <c r="M22" s="207">
        <f>ROUND(N(data!W67), 0)</f>
        <v>19647</v>
      </c>
      <c r="N22" s="207">
        <f>ROUND(N(data!W68), 0)</f>
        <v>0</v>
      </c>
      <c r="O22" s="207">
        <f>ROUND(N(data!W69), 0)</f>
        <v>403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50</v>
      </c>
      <c r="AA22" s="207">
        <f>ROUND(N(data!W81), 0)</f>
        <v>0</v>
      </c>
      <c r="AB22" s="207">
        <f>ROUND(N(data!W82), 0)</f>
        <v>0</v>
      </c>
      <c r="AC22" s="207">
        <f>ROUND(N(data!W83), 0)</f>
        <v>353</v>
      </c>
      <c r="AD22" s="207">
        <f>ROUND(N(data!W84), 0)</f>
        <v>0</v>
      </c>
      <c r="AE22" s="207">
        <f>ROUND(N(data!W89), 0)</f>
        <v>4995066</v>
      </c>
      <c r="AF22" s="207">
        <f>ROUND(N(data!W87), 0)</f>
        <v>399588</v>
      </c>
      <c r="AG22" s="207">
        <f>ROUND(N(data!W90), 0)</f>
        <v>926</v>
      </c>
      <c r="AH22" s="207">
        <f>ROUND(N(data!W91), 0)</f>
        <v>0</v>
      </c>
      <c r="AI22" s="207">
        <f>ROUND(N(data!W92), 0)</f>
        <v>168</v>
      </c>
      <c r="AJ22" s="207">
        <f>ROUND(N(data!W93), 0)</f>
        <v>3784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198</v>
      </c>
      <c r="B23" s="209" t="str">
        <f>RIGHT(data!$C$96,4)</f>
        <v>2023</v>
      </c>
      <c r="C23" s="12" t="str">
        <f>data!X$55</f>
        <v>7130</v>
      </c>
      <c r="D23" s="12" t="s">
        <v>1158</v>
      </c>
      <c r="E23" s="207">
        <f>ROUND(N(data!X59), 0)</f>
        <v>0</v>
      </c>
      <c r="F23" s="315">
        <f>ROUND(N(data!X60), 2)</f>
        <v>2.02</v>
      </c>
      <c r="G23" s="207">
        <f>ROUND(N(data!X61), 0)</f>
        <v>190476</v>
      </c>
      <c r="H23" s="207">
        <f>ROUND(N(data!X62), 0)</f>
        <v>58807</v>
      </c>
      <c r="I23" s="207">
        <f>ROUND(N(data!X63), 0)</f>
        <v>0</v>
      </c>
      <c r="J23" s="207">
        <f>ROUND(N(data!X64), 0)</f>
        <v>39352</v>
      </c>
      <c r="K23" s="207">
        <f>ROUND(N(data!X65), 0)</f>
        <v>0</v>
      </c>
      <c r="L23" s="207">
        <f>ROUND(N(data!X66), 0)</f>
        <v>91568</v>
      </c>
      <c r="M23" s="207">
        <f>ROUND(N(data!X67), 0)</f>
        <v>9251</v>
      </c>
      <c r="N23" s="207">
        <f>ROUND(N(data!X68), 0)</f>
        <v>0</v>
      </c>
      <c r="O23" s="207">
        <f>ROUND(N(data!X69), 0)</f>
        <v>1915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1655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260</v>
      </c>
      <c r="AD23" s="207">
        <f>ROUND(N(data!X84), 0)</f>
        <v>0</v>
      </c>
      <c r="AE23" s="207">
        <f>ROUND(N(data!X89), 0)</f>
        <v>21452714</v>
      </c>
      <c r="AF23" s="207">
        <f>ROUND(N(data!X87), 0)</f>
        <v>3783499</v>
      </c>
      <c r="AG23" s="207">
        <f>ROUND(N(data!X90), 0)</f>
        <v>436</v>
      </c>
      <c r="AH23" s="207">
        <f>ROUND(N(data!X91), 0)</f>
        <v>0</v>
      </c>
      <c r="AI23" s="207">
        <f>ROUND(N(data!X92), 0)</f>
        <v>0</v>
      </c>
      <c r="AJ23" s="207">
        <f>ROUND(N(data!X93), 0)</f>
        <v>4876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198</v>
      </c>
      <c r="B24" s="209" t="str">
        <f>RIGHT(data!$C$96,4)</f>
        <v>2023</v>
      </c>
      <c r="C24" s="12" t="str">
        <f>data!Y$55</f>
        <v>7140</v>
      </c>
      <c r="D24" s="12" t="s">
        <v>1158</v>
      </c>
      <c r="E24" s="207">
        <f>ROUND(N(data!Y59), 0)</f>
        <v>0</v>
      </c>
      <c r="F24" s="315">
        <f>ROUND(N(data!Y60), 2)</f>
        <v>20.05</v>
      </c>
      <c r="G24" s="207">
        <f>ROUND(N(data!Y61), 0)</f>
        <v>2692628</v>
      </c>
      <c r="H24" s="207">
        <f>ROUND(N(data!Y62), 0)</f>
        <v>746950</v>
      </c>
      <c r="I24" s="207">
        <f>ROUND(N(data!Y63), 0)</f>
        <v>0</v>
      </c>
      <c r="J24" s="207">
        <f>ROUND(N(data!Y64), 0)</f>
        <v>579205</v>
      </c>
      <c r="K24" s="207">
        <f>ROUND(N(data!Y65), 0)</f>
        <v>4351</v>
      </c>
      <c r="L24" s="207">
        <f>ROUND(N(data!Y66), 0)</f>
        <v>1111572</v>
      </c>
      <c r="M24" s="207">
        <f>ROUND(N(data!Y67), 0)</f>
        <v>79288</v>
      </c>
      <c r="N24" s="207">
        <f>ROUND(N(data!Y68), 0)</f>
        <v>-788</v>
      </c>
      <c r="O24" s="207">
        <f>ROUND(N(data!Y69), 0)</f>
        <v>18563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5711</v>
      </c>
      <c r="X24" s="207">
        <f>ROUND(N(data!Y78), 0)</f>
        <v>0</v>
      </c>
      <c r="Y24" s="207">
        <f>ROUND(N(data!Y79), 0)</f>
        <v>0</v>
      </c>
      <c r="Z24" s="207">
        <f>ROUND(N(data!Y80), 0)</f>
        <v>6662</v>
      </c>
      <c r="AA24" s="207">
        <f>ROUND(N(data!Y81), 0)</f>
        <v>6241</v>
      </c>
      <c r="AB24" s="207">
        <f>ROUND(N(data!Y82), 0)</f>
        <v>0</v>
      </c>
      <c r="AC24" s="207">
        <f>ROUND(N(data!Y83), 0)</f>
        <v>-51</v>
      </c>
      <c r="AD24" s="207">
        <f>ROUND(N(data!Y84), 0)</f>
        <v>0</v>
      </c>
      <c r="AE24" s="207">
        <f>ROUND(N(data!Y89), 0)</f>
        <v>25297621</v>
      </c>
      <c r="AF24" s="207">
        <f>ROUND(N(data!Y87), 0)</f>
        <v>1579099</v>
      </c>
      <c r="AG24" s="207">
        <f>ROUND(N(data!Y90), 0)</f>
        <v>3737</v>
      </c>
      <c r="AH24" s="207">
        <f>ROUND(N(data!Y91), 0)</f>
        <v>0</v>
      </c>
      <c r="AI24" s="207">
        <f>ROUND(N(data!Y92), 0)</f>
        <v>1567</v>
      </c>
      <c r="AJ24" s="207">
        <f>ROUND(N(data!Y93), 0)</f>
        <v>38343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198</v>
      </c>
      <c r="B25" s="209" t="str">
        <f>RIGHT(data!$C$96,4)</f>
        <v>2023</v>
      </c>
      <c r="C25" s="12" t="str">
        <f>data!Z$55</f>
        <v>7150</v>
      </c>
      <c r="D25" s="12" t="s">
        <v>1158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198</v>
      </c>
      <c r="B26" s="209" t="str">
        <f>RIGHT(data!$C$96,4)</f>
        <v>2023</v>
      </c>
      <c r="C26" s="12" t="str">
        <f>data!AA$55</f>
        <v>7160</v>
      </c>
      <c r="D26" s="12" t="s">
        <v>1158</v>
      </c>
      <c r="E26" s="207">
        <f>ROUND(N(data!AA59), 0)</f>
        <v>0</v>
      </c>
      <c r="F26" s="315">
        <f>ROUND(N(data!AA60), 2)</f>
        <v>0.48</v>
      </c>
      <c r="G26" s="207">
        <f>ROUND(N(data!AA61), 0)</f>
        <v>82331</v>
      </c>
      <c r="H26" s="207">
        <f>ROUND(N(data!AA62), 0)</f>
        <v>19829</v>
      </c>
      <c r="I26" s="207">
        <f>ROUND(N(data!AA63), 0)</f>
        <v>0</v>
      </c>
      <c r="J26" s="207">
        <f>ROUND(N(data!AA64), 0)</f>
        <v>81093</v>
      </c>
      <c r="K26" s="207">
        <f>ROUND(N(data!AA65), 0)</f>
        <v>0</v>
      </c>
      <c r="L26" s="207">
        <f>ROUND(N(data!AA66), 0)</f>
        <v>36654</v>
      </c>
      <c r="M26" s="207">
        <f>ROUND(N(data!AA67), 0)</f>
        <v>8635</v>
      </c>
      <c r="N26" s="207">
        <f>ROUND(N(data!AA68), 0)</f>
        <v>0</v>
      </c>
      <c r="O26" s="207">
        <f>ROUND(N(data!AA69), 0)</f>
        <v>5780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5780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830855</v>
      </c>
      <c r="AF26" s="207">
        <f>ROUND(N(data!AA87), 0)</f>
        <v>33659</v>
      </c>
      <c r="AG26" s="207">
        <f>ROUND(N(data!AA90), 0)</f>
        <v>407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198</v>
      </c>
      <c r="B27" s="209" t="str">
        <f>RIGHT(data!$C$96,4)</f>
        <v>2023</v>
      </c>
      <c r="C27" s="12" t="str">
        <f>data!AB$55</f>
        <v>7170</v>
      </c>
      <c r="D27" s="12" t="s">
        <v>1158</v>
      </c>
      <c r="E27" s="207">
        <f>ROUND(N(data!AB59), 0)</f>
        <v>0</v>
      </c>
      <c r="F27" s="315">
        <f>ROUND(N(data!AB60), 2)</f>
        <v>7.68</v>
      </c>
      <c r="G27" s="207">
        <f>ROUND(N(data!AB61), 0)</f>
        <v>749401</v>
      </c>
      <c r="H27" s="207">
        <f>ROUND(N(data!AB62), 0)</f>
        <v>217262</v>
      </c>
      <c r="I27" s="207">
        <f>ROUND(N(data!AB63), 0)</f>
        <v>0</v>
      </c>
      <c r="J27" s="207">
        <f>ROUND(N(data!AB64), 0)</f>
        <v>6856476</v>
      </c>
      <c r="K27" s="207">
        <f>ROUND(N(data!AB65), 0)</f>
        <v>0</v>
      </c>
      <c r="L27" s="207">
        <f>ROUND(N(data!AB66), 0)</f>
        <v>145390</v>
      </c>
      <c r="M27" s="207">
        <f>ROUND(N(data!AB67), 0)</f>
        <v>18544</v>
      </c>
      <c r="N27" s="207">
        <f>ROUND(N(data!AB68), 0)</f>
        <v>174567</v>
      </c>
      <c r="O27" s="207">
        <f>ROUND(N(data!AB69), 0)</f>
        <v>55933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-97</v>
      </c>
      <c r="X27" s="207">
        <f>ROUND(N(data!AB78), 0)</f>
        <v>0</v>
      </c>
      <c r="Y27" s="207">
        <f>ROUND(N(data!AB79), 0)</f>
        <v>0</v>
      </c>
      <c r="Z27" s="207">
        <f>ROUND(N(data!AB80), 0)</f>
        <v>508</v>
      </c>
      <c r="AA27" s="207">
        <f>ROUND(N(data!AB81), 0)</f>
        <v>8670</v>
      </c>
      <c r="AB27" s="207">
        <f>ROUND(N(data!AB82), 0)</f>
        <v>0</v>
      </c>
      <c r="AC27" s="207">
        <f>ROUND(N(data!AB83), 0)</f>
        <v>46852</v>
      </c>
      <c r="AD27" s="207">
        <f>ROUND(N(data!AB84), 0)</f>
        <v>0</v>
      </c>
      <c r="AE27" s="207">
        <f>ROUND(N(data!AB89), 0)</f>
        <v>40800507</v>
      </c>
      <c r="AF27" s="207">
        <f>ROUND(N(data!AB87), 0)</f>
        <v>6178123</v>
      </c>
      <c r="AG27" s="207">
        <f>ROUND(N(data!AB90), 0)</f>
        <v>874</v>
      </c>
      <c r="AH27" s="207">
        <f>ROUND(N(data!AB91), 0)</f>
        <v>0</v>
      </c>
      <c r="AI27" s="207">
        <f>ROUND(N(data!AB92), 0)</f>
        <v>324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198</v>
      </c>
      <c r="B28" s="209" t="str">
        <f>RIGHT(data!$C$96,4)</f>
        <v>2023</v>
      </c>
      <c r="C28" s="12" t="str">
        <f>data!AC$55</f>
        <v>7180</v>
      </c>
      <c r="D28" s="12" t="s">
        <v>1158</v>
      </c>
      <c r="E28" s="207">
        <f>ROUND(N(data!AC59), 0)</f>
        <v>0</v>
      </c>
      <c r="F28" s="315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105762</v>
      </c>
      <c r="K28" s="207">
        <f>ROUND(N(data!AC65), 0)</f>
        <v>0</v>
      </c>
      <c r="L28" s="207">
        <f>ROUND(N(data!AC66), 0)</f>
        <v>802122</v>
      </c>
      <c r="M28" s="207">
        <f>ROUND(N(data!AC67), 0)</f>
        <v>6853</v>
      </c>
      <c r="N28" s="207">
        <f>ROUND(N(data!AC68), 0)</f>
        <v>59278</v>
      </c>
      <c r="O28" s="207">
        <f>ROUND(N(data!AC69), 0)</f>
        <v>7472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7346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126</v>
      </c>
      <c r="AD28" s="207">
        <f>ROUND(N(data!AC84), 0)</f>
        <v>0</v>
      </c>
      <c r="AE28" s="207">
        <f>ROUND(N(data!AC89), 0)</f>
        <v>2944541</v>
      </c>
      <c r="AF28" s="207">
        <f>ROUND(N(data!AC87), 0)</f>
        <v>1356986</v>
      </c>
      <c r="AG28" s="207">
        <f>ROUND(N(data!AC90), 0)</f>
        <v>323</v>
      </c>
      <c r="AH28" s="207">
        <f>ROUND(N(data!AC91), 0)</f>
        <v>0</v>
      </c>
      <c r="AI28" s="207">
        <f>ROUND(N(data!AC92), 0)</f>
        <v>468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198</v>
      </c>
      <c r="B29" s="209" t="str">
        <f>RIGHT(data!$C$96,4)</f>
        <v>2023</v>
      </c>
      <c r="C29" s="12" t="str">
        <f>data!AD$55</f>
        <v>7190</v>
      </c>
      <c r="D29" s="12" t="s">
        <v>1158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480548</v>
      </c>
      <c r="M29" s="207">
        <f>ROUND(N(data!AD67), 0)</f>
        <v>5644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1998598</v>
      </c>
      <c r="AF29" s="207">
        <f>ROUND(N(data!AD87), 0)</f>
        <v>1860754</v>
      </c>
      <c r="AG29" s="207">
        <f>ROUND(N(data!AD90), 0)</f>
        <v>266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198</v>
      </c>
      <c r="B30" s="209" t="str">
        <f>RIGHT(data!$C$96,4)</f>
        <v>2023</v>
      </c>
      <c r="C30" s="12" t="str">
        <f>data!AE$55</f>
        <v>7200</v>
      </c>
      <c r="D30" s="12" t="s">
        <v>1158</v>
      </c>
      <c r="E30" s="207">
        <f>ROUND(N(data!AE59), 0)</f>
        <v>0</v>
      </c>
      <c r="F30" s="315">
        <f>ROUND(N(data!AE60), 2)</f>
        <v>6.44</v>
      </c>
      <c r="G30" s="207">
        <f>ROUND(N(data!AE61), 0)</f>
        <v>456001</v>
      </c>
      <c r="H30" s="207">
        <f>ROUND(N(data!AE62), 0)</f>
        <v>138075</v>
      </c>
      <c r="I30" s="207">
        <f>ROUND(N(data!AE63), 0)</f>
        <v>0</v>
      </c>
      <c r="J30" s="207">
        <f>ROUND(N(data!AE64), 0)</f>
        <v>48326</v>
      </c>
      <c r="K30" s="207">
        <f>ROUND(N(data!AE65), 0)</f>
        <v>0</v>
      </c>
      <c r="L30" s="207">
        <f>ROUND(N(data!AE66), 0)</f>
        <v>7848</v>
      </c>
      <c r="M30" s="207">
        <f>ROUND(N(data!AE67), 0)</f>
        <v>6195</v>
      </c>
      <c r="N30" s="207">
        <f>ROUND(N(data!AE68), 0)</f>
        <v>28939</v>
      </c>
      <c r="O30" s="207">
        <f>ROUND(N(data!AE69), 0)</f>
        <v>149344</v>
      </c>
      <c r="P30" s="207">
        <f>ROUND(N(data!AE70), 0)</f>
        <v>0</v>
      </c>
      <c r="Q30" s="207">
        <f>ROUND(N(data!AE71), 0)</f>
        <v>55169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6839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650</v>
      </c>
      <c r="AB30" s="207">
        <f>ROUND(N(data!AE82), 0)</f>
        <v>0</v>
      </c>
      <c r="AC30" s="207">
        <f>ROUND(N(data!AE83), 0)</f>
        <v>86686</v>
      </c>
      <c r="AD30" s="207">
        <f>ROUND(N(data!AE84), 0)</f>
        <v>0</v>
      </c>
      <c r="AE30" s="207">
        <f>ROUND(N(data!AE89), 0)</f>
        <v>3245702</v>
      </c>
      <c r="AF30" s="207">
        <f>ROUND(N(data!AE87), 0)</f>
        <v>598099</v>
      </c>
      <c r="AG30" s="207">
        <f>ROUND(N(data!AE90), 0)</f>
        <v>292</v>
      </c>
      <c r="AH30" s="207">
        <f>ROUND(N(data!AE91), 0)</f>
        <v>0</v>
      </c>
      <c r="AI30" s="207">
        <f>ROUND(N(data!AE92), 0)</f>
        <v>520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198</v>
      </c>
      <c r="B31" s="209" t="str">
        <f>RIGHT(data!$C$96,4)</f>
        <v>2023</v>
      </c>
      <c r="C31" s="12" t="str">
        <f>data!AF$55</f>
        <v>7220</v>
      </c>
      <c r="D31" s="12" t="s">
        <v>1158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198</v>
      </c>
      <c r="B32" s="209" t="str">
        <f>RIGHT(data!$C$96,4)</f>
        <v>2023</v>
      </c>
      <c r="C32" s="12" t="str">
        <f>data!AG$55</f>
        <v>7230</v>
      </c>
      <c r="D32" s="12" t="s">
        <v>1158</v>
      </c>
      <c r="E32" s="207">
        <f>ROUND(N(data!AG59), 0)</f>
        <v>0</v>
      </c>
      <c r="F32" s="315">
        <f>ROUND(N(data!AG60), 2)</f>
        <v>21.63</v>
      </c>
      <c r="G32" s="207">
        <f>ROUND(N(data!AG61), 0)</f>
        <v>2796414</v>
      </c>
      <c r="H32" s="207">
        <f>ROUND(N(data!AG62), 0)</f>
        <v>797825</v>
      </c>
      <c r="I32" s="207">
        <f>ROUND(N(data!AG63), 0)</f>
        <v>798176</v>
      </c>
      <c r="J32" s="207">
        <f>ROUND(N(data!AG64), 0)</f>
        <v>486678</v>
      </c>
      <c r="K32" s="207">
        <f>ROUND(N(data!AG65), 0)</f>
        <v>0</v>
      </c>
      <c r="L32" s="207">
        <f>ROUND(N(data!AG66), 0)</f>
        <v>1540665</v>
      </c>
      <c r="M32" s="207">
        <f>ROUND(N(data!AG67), 0)</f>
        <v>151531</v>
      </c>
      <c r="N32" s="207">
        <f>ROUND(N(data!AG68), 0)</f>
        <v>-990</v>
      </c>
      <c r="O32" s="207">
        <f>ROUND(N(data!AG69), 0)</f>
        <v>815989</v>
      </c>
      <c r="P32" s="207">
        <f>ROUND(N(data!AG70), 0)</f>
        <v>0</v>
      </c>
      <c r="Q32" s="207">
        <f>ROUND(N(data!AG71), 0)</f>
        <v>784417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13763</v>
      </c>
      <c r="X32" s="207">
        <f>ROUND(N(data!AG78), 0)</f>
        <v>0</v>
      </c>
      <c r="Y32" s="207">
        <f>ROUND(N(data!AG79), 0)</f>
        <v>0</v>
      </c>
      <c r="Z32" s="207">
        <f>ROUND(N(data!AG80), 0)</f>
        <v>9168</v>
      </c>
      <c r="AA32" s="207">
        <f>ROUND(N(data!AG81), 0)</f>
        <v>325</v>
      </c>
      <c r="AB32" s="207">
        <f>ROUND(N(data!AG82), 0)</f>
        <v>0</v>
      </c>
      <c r="AC32" s="207">
        <f>ROUND(N(data!AG83), 0)</f>
        <v>8316</v>
      </c>
      <c r="AD32" s="207">
        <f>ROUND(N(data!AG84), 0)</f>
        <v>0</v>
      </c>
      <c r="AE32" s="207">
        <f>ROUND(N(data!AG89), 0)</f>
        <v>23525939</v>
      </c>
      <c r="AF32" s="207">
        <f>ROUND(N(data!AG87), 0)</f>
        <v>1633933</v>
      </c>
      <c r="AG32" s="207">
        <f>ROUND(N(data!AG90), 0)</f>
        <v>7142</v>
      </c>
      <c r="AH32" s="207">
        <f>ROUND(N(data!AG91), 0)</f>
        <v>0</v>
      </c>
      <c r="AI32" s="207">
        <f>ROUND(N(data!AG92), 0)</f>
        <v>4094</v>
      </c>
      <c r="AJ32" s="207">
        <f>ROUND(N(data!AG93), 0)</f>
        <v>117487</v>
      </c>
      <c r="AK32" s="315">
        <f>ROUND(N(data!AG94), 2)</f>
        <v>21.63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198</v>
      </c>
      <c r="B33" s="209" t="str">
        <f>RIGHT(data!$C$96,4)</f>
        <v>2023</v>
      </c>
      <c r="C33" s="12" t="str">
        <f>data!AH$55</f>
        <v>7240</v>
      </c>
      <c r="D33" s="12" t="s">
        <v>1158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198</v>
      </c>
      <c r="B34" s="209" t="str">
        <f>RIGHT(data!$C$96,4)</f>
        <v>2023</v>
      </c>
      <c r="C34" s="12" t="str">
        <f>data!AI$55</f>
        <v>7250</v>
      </c>
      <c r="D34" s="12" t="s">
        <v>1158</v>
      </c>
      <c r="E34" s="207">
        <f>ROUND(N(data!AI59), 0)</f>
        <v>0</v>
      </c>
      <c r="F34" s="315">
        <f>ROUND(N(data!AI60), 2)</f>
        <v>4.82</v>
      </c>
      <c r="G34" s="207">
        <f>ROUND(N(data!AI61), 0)</f>
        <v>494197</v>
      </c>
      <c r="H34" s="207">
        <f>ROUND(N(data!AI62), 0)</f>
        <v>146147</v>
      </c>
      <c r="I34" s="207">
        <f>ROUND(N(data!AI63), 0)</f>
        <v>0</v>
      </c>
      <c r="J34" s="207">
        <f>ROUND(N(data!AI64), 0)</f>
        <v>123245</v>
      </c>
      <c r="K34" s="207">
        <f>ROUND(N(data!AI65), 0)</f>
        <v>0</v>
      </c>
      <c r="L34" s="207">
        <f>ROUND(N(data!AI66), 0)</f>
        <v>0</v>
      </c>
      <c r="M34" s="207">
        <f>ROUND(N(data!AI67), 0)</f>
        <v>40503</v>
      </c>
      <c r="N34" s="207">
        <f>ROUND(N(data!AI68), 0)</f>
        <v>0</v>
      </c>
      <c r="O34" s="207">
        <f>ROUND(N(data!AI69), 0)</f>
        <v>133830</v>
      </c>
      <c r="P34" s="207">
        <f>ROUND(N(data!AI70), 0)</f>
        <v>0</v>
      </c>
      <c r="Q34" s="207">
        <f>ROUND(N(data!AI71), 0)</f>
        <v>127004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790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6036</v>
      </c>
      <c r="AD34" s="207">
        <f>ROUND(N(data!AI84), 0)</f>
        <v>0</v>
      </c>
      <c r="AE34" s="207">
        <f>ROUND(N(data!AI89), 0)</f>
        <v>1460845</v>
      </c>
      <c r="AF34" s="207">
        <f>ROUND(N(data!AI87), 0)</f>
        <v>4711</v>
      </c>
      <c r="AG34" s="207">
        <f>ROUND(N(data!AI90), 0)</f>
        <v>1909</v>
      </c>
      <c r="AH34" s="207">
        <f>ROUND(N(data!AI91), 0)</f>
        <v>2125</v>
      </c>
      <c r="AI34" s="207">
        <f>ROUND(N(data!AI92), 0)</f>
        <v>1197</v>
      </c>
      <c r="AJ34" s="207">
        <f>ROUND(N(data!AI93), 0)</f>
        <v>27773</v>
      </c>
      <c r="AK34" s="315">
        <f>ROUND(N(data!AI94), 2)</f>
        <v>4.82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198</v>
      </c>
      <c r="B35" s="209" t="str">
        <f>RIGHT(data!$C$96,4)</f>
        <v>2023</v>
      </c>
      <c r="C35" s="12" t="str">
        <f>data!AJ$55</f>
        <v>7260</v>
      </c>
      <c r="D35" s="12" t="s">
        <v>1158</v>
      </c>
      <c r="E35" s="207">
        <f>ROUND(N(data!AJ59), 0)</f>
        <v>0</v>
      </c>
      <c r="F35" s="315">
        <f>ROUND(N(data!AJ60), 2)</f>
        <v>80.91</v>
      </c>
      <c r="G35" s="207">
        <f>ROUND(N(data!AJ61), 0)</f>
        <v>10313088</v>
      </c>
      <c r="H35" s="207">
        <f>ROUND(N(data!AJ62), 0)</f>
        <v>2689975</v>
      </c>
      <c r="I35" s="207">
        <f>ROUND(N(data!AJ63), 0)</f>
        <v>493787</v>
      </c>
      <c r="J35" s="207">
        <f>ROUND(N(data!AJ64), 0)</f>
        <v>608639</v>
      </c>
      <c r="K35" s="207">
        <f>ROUND(N(data!AJ65), 0)</f>
        <v>173700</v>
      </c>
      <c r="L35" s="207">
        <f>ROUND(N(data!AJ66), 0)</f>
        <v>1382310</v>
      </c>
      <c r="M35" s="207">
        <f>ROUND(N(data!AJ67), 0)</f>
        <v>664301</v>
      </c>
      <c r="N35" s="207">
        <f>ROUND(N(data!AJ68), 0)</f>
        <v>608654</v>
      </c>
      <c r="O35" s="207">
        <f>ROUND(N(data!AJ69), 0)</f>
        <v>231216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78276</v>
      </c>
      <c r="X35" s="207">
        <f>ROUND(N(data!AJ78), 0)</f>
        <v>0</v>
      </c>
      <c r="Y35" s="207">
        <f>ROUND(N(data!AJ79), 0)</f>
        <v>0</v>
      </c>
      <c r="Z35" s="207">
        <f>ROUND(N(data!AJ80), 0)</f>
        <v>38423</v>
      </c>
      <c r="AA35" s="207">
        <f>ROUND(N(data!AJ81), 0)</f>
        <v>43837</v>
      </c>
      <c r="AB35" s="207">
        <f>ROUND(N(data!AJ82), 0)</f>
        <v>0</v>
      </c>
      <c r="AC35" s="207">
        <f>ROUND(N(data!AJ83), 0)</f>
        <v>70680</v>
      </c>
      <c r="AD35" s="207">
        <f>ROUND(N(data!AJ84), 0)</f>
        <v>0</v>
      </c>
      <c r="AE35" s="207">
        <f>ROUND(N(data!AJ89), 0)</f>
        <v>15349284</v>
      </c>
      <c r="AF35" s="207">
        <f>ROUND(N(data!AJ87), 0)</f>
        <v>83546</v>
      </c>
      <c r="AG35" s="207">
        <f>ROUND(N(data!AJ90), 0)</f>
        <v>31310</v>
      </c>
      <c r="AH35" s="207">
        <f>ROUND(N(data!AJ91), 0)</f>
        <v>0</v>
      </c>
      <c r="AI35" s="207">
        <f>ROUND(N(data!AJ92), 0)</f>
        <v>9952</v>
      </c>
      <c r="AJ35" s="207">
        <f>ROUND(N(data!AJ93), 0)</f>
        <v>11702</v>
      </c>
      <c r="AK35" s="315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198</v>
      </c>
      <c r="B36" s="209" t="str">
        <f>RIGHT(data!$C$96,4)</f>
        <v>2023</v>
      </c>
      <c r="C36" s="12" t="str">
        <f>data!AK$55</f>
        <v>7310</v>
      </c>
      <c r="D36" s="12" t="s">
        <v>1158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198</v>
      </c>
      <c r="B37" s="209" t="str">
        <f>RIGHT(data!$C$96,4)</f>
        <v>2023</v>
      </c>
      <c r="C37" s="12" t="str">
        <f>data!AL$55</f>
        <v>7320</v>
      </c>
      <c r="D37" s="12" t="s">
        <v>1158</v>
      </c>
      <c r="E37" s="207">
        <f>ROUND(N(data!AL59), 0)</f>
        <v>0</v>
      </c>
      <c r="F37" s="315">
        <f>ROUND(N(data!AL60), 2)</f>
        <v>2.67</v>
      </c>
      <c r="G37" s="207">
        <f>ROUND(N(data!AL61), 0)</f>
        <v>292842</v>
      </c>
      <c r="H37" s="207">
        <f>ROUND(N(data!AL62), 0)</f>
        <v>85358</v>
      </c>
      <c r="I37" s="207">
        <f>ROUND(N(data!AL63), 0)</f>
        <v>0</v>
      </c>
      <c r="J37" s="207">
        <f>ROUND(N(data!AL64), 0)</f>
        <v>59003</v>
      </c>
      <c r="K37" s="207">
        <f>ROUND(N(data!AL65), 0)</f>
        <v>7793</v>
      </c>
      <c r="L37" s="207">
        <f>ROUND(N(data!AL66), 0)</f>
        <v>3895</v>
      </c>
      <c r="M37" s="207">
        <f>ROUND(N(data!AL67), 0)</f>
        <v>0</v>
      </c>
      <c r="N37" s="207">
        <f>ROUND(N(data!AL68), 0)</f>
        <v>16254</v>
      </c>
      <c r="O37" s="207">
        <f>ROUND(N(data!AL69), 0)</f>
        <v>11649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3881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2229</v>
      </c>
      <c r="AB37" s="207">
        <f>ROUND(N(data!AL82), 0)</f>
        <v>0</v>
      </c>
      <c r="AC37" s="207">
        <f>ROUND(N(data!AL83), 0)</f>
        <v>5539</v>
      </c>
      <c r="AD37" s="207">
        <f>ROUND(N(data!AL84), 0)</f>
        <v>0</v>
      </c>
      <c r="AE37" s="207">
        <f>ROUND(N(data!AL89), 0)</f>
        <v>2383568</v>
      </c>
      <c r="AF37" s="207">
        <f>ROUND(N(data!AL87), 0)</f>
        <v>110219</v>
      </c>
      <c r="AG37" s="207">
        <f>ROUND(N(data!AL90), 0)</f>
        <v>0</v>
      </c>
      <c r="AH37" s="207">
        <f>ROUND(N(data!AL91), 0)</f>
        <v>0</v>
      </c>
      <c r="AI37" s="207">
        <f>ROUND(N(data!AL92), 0)</f>
        <v>1423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198</v>
      </c>
      <c r="B38" s="209" t="str">
        <f>RIGHT(data!$C$96,4)</f>
        <v>2023</v>
      </c>
      <c r="C38" s="12" t="str">
        <f>data!AM$55</f>
        <v>7330</v>
      </c>
      <c r="D38" s="12" t="s">
        <v>1158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198</v>
      </c>
      <c r="B39" s="209" t="str">
        <f>RIGHT(data!$C$96,4)</f>
        <v>2023</v>
      </c>
      <c r="C39" s="12" t="str">
        <f>data!AN$55</f>
        <v>7340</v>
      </c>
      <c r="D39" s="12" t="s">
        <v>1158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198</v>
      </c>
      <c r="B40" s="209" t="str">
        <f>RIGHT(data!$C$96,4)</f>
        <v>2023</v>
      </c>
      <c r="C40" s="12" t="str">
        <f>data!AO$55</f>
        <v>7350</v>
      </c>
      <c r="D40" s="12" t="s">
        <v>1158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3421834</v>
      </c>
      <c r="AF40" s="207">
        <f>ROUND(N(data!AO87), 0)</f>
        <v>3052758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198</v>
      </c>
      <c r="B41" s="209" t="str">
        <f>RIGHT(data!$C$96,4)</f>
        <v>2023</v>
      </c>
      <c r="C41" s="12" t="str">
        <f>data!AP$55</f>
        <v>7380</v>
      </c>
      <c r="D41" s="12" t="s">
        <v>1158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198</v>
      </c>
      <c r="B42" s="209" t="str">
        <f>RIGHT(data!$C$96,4)</f>
        <v>2023</v>
      </c>
      <c r="C42" s="12" t="str">
        <f>data!AQ$55</f>
        <v>7390</v>
      </c>
      <c r="D42" s="12" t="s">
        <v>1158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198</v>
      </c>
      <c r="B43" s="209" t="str">
        <f>RIGHT(data!$C$96,4)</f>
        <v>2023</v>
      </c>
      <c r="C43" s="12" t="str">
        <f>data!AR$55</f>
        <v>7400</v>
      </c>
      <c r="D43" s="12" t="s">
        <v>1158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198</v>
      </c>
      <c r="B44" s="209" t="str">
        <f>RIGHT(data!$C$96,4)</f>
        <v>2023</v>
      </c>
      <c r="C44" s="12" t="str">
        <f>data!AS$55</f>
        <v>7410</v>
      </c>
      <c r="D44" s="12" t="s">
        <v>1158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198</v>
      </c>
      <c r="B45" s="209" t="str">
        <f>RIGHT(data!$C$96,4)</f>
        <v>2023</v>
      </c>
      <c r="C45" s="12" t="str">
        <f>data!AT$55</f>
        <v>7420</v>
      </c>
      <c r="D45" s="12" t="s">
        <v>1158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198</v>
      </c>
      <c r="B46" s="209" t="str">
        <f>RIGHT(data!$C$96,4)</f>
        <v>2023</v>
      </c>
      <c r="C46" s="12" t="str">
        <f>data!AU$55</f>
        <v>7430</v>
      </c>
      <c r="D46" s="12" t="s">
        <v>1158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198</v>
      </c>
      <c r="B47" s="209" t="str">
        <f>RIGHT(data!$C$96,4)</f>
        <v>2023</v>
      </c>
      <c r="C47" s="12" t="str">
        <f>data!AV$55</f>
        <v>7490</v>
      </c>
      <c r="D47" s="12" t="s">
        <v>1158</v>
      </c>
      <c r="E47" s="207">
        <f>ROUND(N(data!AV59), 0)</f>
        <v>0</v>
      </c>
      <c r="F47" s="315">
        <f>ROUND(N(data!AV60), 2)</f>
        <v>12.98</v>
      </c>
      <c r="G47" s="207">
        <f>ROUND(N(data!AV61), 0)</f>
        <v>1538081</v>
      </c>
      <c r="H47" s="207">
        <f>ROUND(N(data!AV62), 0)</f>
        <v>449601</v>
      </c>
      <c r="I47" s="207">
        <f>ROUND(N(data!AV63), 0)</f>
        <v>667030</v>
      </c>
      <c r="J47" s="207">
        <f>ROUND(N(data!AV64), 0)</f>
        <v>459489</v>
      </c>
      <c r="K47" s="207">
        <f>ROUND(N(data!AV65), 0)</f>
        <v>4224</v>
      </c>
      <c r="L47" s="207">
        <f>ROUND(N(data!AV66), 0)</f>
        <v>304613</v>
      </c>
      <c r="M47" s="207">
        <f>ROUND(N(data!AV67), 0)</f>
        <v>29385</v>
      </c>
      <c r="N47" s="207">
        <f>ROUND(N(data!AV68), 0)</f>
        <v>-67</v>
      </c>
      <c r="O47" s="207">
        <f>ROUND(N(data!AV69), 0)</f>
        <v>13870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7487</v>
      </c>
      <c r="X47" s="207">
        <f>ROUND(N(data!AV78), 0)</f>
        <v>0</v>
      </c>
      <c r="Y47" s="207">
        <f>ROUND(N(data!AV79), 0)</f>
        <v>0</v>
      </c>
      <c r="Z47" s="207">
        <f>ROUND(N(data!AV80), 0)</f>
        <v>2584</v>
      </c>
      <c r="AA47" s="207">
        <f>ROUND(N(data!AV81), 0)</f>
        <v>1421</v>
      </c>
      <c r="AB47" s="207">
        <f>ROUND(N(data!AV82), 0)</f>
        <v>0</v>
      </c>
      <c r="AC47" s="207">
        <f>ROUND(N(data!AV83), 0)</f>
        <v>2378</v>
      </c>
      <c r="AD47" s="207">
        <f>ROUND(N(data!AV84), 0)</f>
        <v>0</v>
      </c>
      <c r="AE47" s="207">
        <f>ROUND(N(data!AV89), 0)</f>
        <v>7746924</v>
      </c>
      <c r="AF47" s="207">
        <f>ROUND(N(data!AV87), 0)</f>
        <v>527926</v>
      </c>
      <c r="AG47" s="207">
        <f>ROUND(N(data!AV90), 0)</f>
        <v>1385</v>
      </c>
      <c r="AH47" s="207">
        <f>ROUND(N(data!AV91), 0)</f>
        <v>0</v>
      </c>
      <c r="AI47" s="207">
        <f>ROUND(N(data!AV92), 0)</f>
        <v>1341</v>
      </c>
      <c r="AJ47" s="207">
        <f>ROUND(N(data!AV93), 0)</f>
        <v>10024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198</v>
      </c>
      <c r="B48" s="209" t="str">
        <f>RIGHT(data!$C$96,4)</f>
        <v>2023</v>
      </c>
      <c r="C48" s="12" t="str">
        <f>data!AW$55</f>
        <v>8200</v>
      </c>
      <c r="D48" s="12" t="s">
        <v>1158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198</v>
      </c>
      <c r="B49" s="209" t="str">
        <f>RIGHT(data!$C$96,4)</f>
        <v>2023</v>
      </c>
      <c r="C49" s="12" t="str">
        <f>data!AX$55</f>
        <v>8310</v>
      </c>
      <c r="D49" s="12" t="s">
        <v>1158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198</v>
      </c>
      <c r="B50" s="209" t="str">
        <f>RIGHT(data!$C$96,4)</f>
        <v>2023</v>
      </c>
      <c r="C50" s="12" t="str">
        <f>data!AY$55</f>
        <v>8320</v>
      </c>
      <c r="D50" s="12" t="s">
        <v>1158</v>
      </c>
      <c r="E50" s="207">
        <f>ROUND(N(data!AY59), 0)</f>
        <v>24961</v>
      </c>
      <c r="F50" s="315">
        <f>ROUND(N(data!AY60), 2)</f>
        <v>10.199999999999999</v>
      </c>
      <c r="G50" s="207">
        <f>ROUND(N(data!AY61), 0)</f>
        <v>425261</v>
      </c>
      <c r="H50" s="207">
        <f>ROUND(N(data!AY62), 0)</f>
        <v>123373</v>
      </c>
      <c r="I50" s="207">
        <f>ROUND(N(data!AY63), 0)</f>
        <v>0</v>
      </c>
      <c r="J50" s="207">
        <f>ROUND(N(data!AY64), 0)</f>
        <v>531953</v>
      </c>
      <c r="K50" s="207">
        <f>ROUND(N(data!AY65), 0)</f>
        <v>420</v>
      </c>
      <c r="L50" s="207">
        <f>ROUND(N(data!AY66), 0)</f>
        <v>4691</v>
      </c>
      <c r="M50" s="207">
        <f>ROUND(N(data!AY67), 0)</f>
        <v>54931</v>
      </c>
      <c r="N50" s="207">
        <f>ROUND(N(data!AY68), 0)</f>
        <v>1065</v>
      </c>
      <c r="O50" s="207">
        <f>ROUND(N(data!AY69), 0)</f>
        <v>60092</v>
      </c>
      <c r="P50" s="207">
        <f>ROUND(N(data!AY70), 0)</f>
        <v>0</v>
      </c>
      <c r="Q50" s="207">
        <f>ROUND(N(data!AY71), 0)</f>
        <v>57300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2369</v>
      </c>
      <c r="X50" s="207">
        <f>ROUND(N(data!AY78), 0)</f>
        <v>0</v>
      </c>
      <c r="Y50" s="207">
        <f>ROUND(N(data!AY79), 0)</f>
        <v>0</v>
      </c>
      <c r="Z50" s="207">
        <f>ROUND(N(data!AY80), 0)</f>
        <v>138</v>
      </c>
      <c r="AA50" s="207">
        <f>ROUND(N(data!AY81), 0)</f>
        <v>0</v>
      </c>
      <c r="AB50" s="207">
        <f>ROUND(N(data!AY82), 0)</f>
        <v>0</v>
      </c>
      <c r="AC50" s="207">
        <f>ROUND(N(data!AY83), 0)</f>
        <v>285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2589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198</v>
      </c>
      <c r="B51" s="209" t="str">
        <f>RIGHT(data!$C$96,4)</f>
        <v>2023</v>
      </c>
      <c r="C51" s="12" t="str">
        <f>data!AZ$55</f>
        <v>8330</v>
      </c>
      <c r="D51" s="12" t="s">
        <v>1158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198</v>
      </c>
      <c r="B52" s="209" t="str">
        <f>RIGHT(data!$C$96,4)</f>
        <v>2023</v>
      </c>
      <c r="C52" s="12" t="str">
        <f>data!BA$55</f>
        <v>8350</v>
      </c>
      <c r="D52" s="12" t="s">
        <v>1158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4505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268721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268721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198</v>
      </c>
      <c r="B53" s="209" t="str">
        <f>RIGHT(data!$C$96,4)</f>
        <v>2023</v>
      </c>
      <c r="C53" s="12" t="str">
        <f>data!BB$55</f>
        <v>8360</v>
      </c>
      <c r="D53" s="12" t="s">
        <v>1158</v>
      </c>
      <c r="E53" s="207">
        <f>ROUND(N(data!BB59), 0)</f>
        <v>0</v>
      </c>
      <c r="F53" s="315">
        <f>ROUND(N(data!BB60), 2)</f>
        <v>0</v>
      </c>
      <c r="G53" s="207">
        <f>ROUND(N(data!BB61), 0)</f>
        <v>107406</v>
      </c>
      <c r="H53" s="207">
        <f>ROUND(N(data!BB62), 0)</f>
        <v>32632</v>
      </c>
      <c r="I53" s="207">
        <f>ROUND(N(data!BB63), 0)</f>
        <v>0</v>
      </c>
      <c r="J53" s="207">
        <f>ROUND(N(data!BB64), 0)</f>
        <v>232</v>
      </c>
      <c r="K53" s="207">
        <f>ROUND(N(data!BB65), 0)</f>
        <v>0</v>
      </c>
      <c r="L53" s="207">
        <f>ROUND(N(data!BB66), 0)</f>
        <v>15255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198</v>
      </c>
      <c r="B54" s="209" t="str">
        <f>RIGHT(data!$C$96,4)</f>
        <v>2023</v>
      </c>
      <c r="C54" s="12" t="str">
        <f>data!BC$55</f>
        <v>8370</v>
      </c>
      <c r="D54" s="12" t="s">
        <v>1158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198</v>
      </c>
      <c r="B55" s="209" t="str">
        <f>RIGHT(data!$C$96,4)</f>
        <v>2023</v>
      </c>
      <c r="C55" s="12" t="str">
        <f>data!BD$55</f>
        <v>8420</v>
      </c>
      <c r="D55" s="12" t="s">
        <v>1158</v>
      </c>
      <c r="E55" s="207">
        <f>ROUND(N(data!BD59), 0)</f>
        <v>0</v>
      </c>
      <c r="F55" s="315">
        <f>ROUND(N(data!BD60), 2)</f>
        <v>4.55</v>
      </c>
      <c r="G55" s="207">
        <f>ROUND(N(data!BD61), 0)</f>
        <v>181761</v>
      </c>
      <c r="H55" s="207">
        <f>ROUND(N(data!BD62), 0)</f>
        <v>52377</v>
      </c>
      <c r="I55" s="207">
        <f>ROUND(N(data!BD63), 0)</f>
        <v>0</v>
      </c>
      <c r="J55" s="207">
        <f>ROUND(N(data!BD64), 0)</f>
        <v>-78619</v>
      </c>
      <c r="K55" s="207">
        <f>ROUND(N(data!BD65), 0)</f>
        <v>0</v>
      </c>
      <c r="L55" s="207">
        <f>ROUND(N(data!BD66), 0)</f>
        <v>1703</v>
      </c>
      <c r="M55" s="207">
        <f>ROUND(N(data!BD67), 0)</f>
        <v>17950</v>
      </c>
      <c r="N55" s="207">
        <f>ROUND(N(data!BD68), 0)</f>
        <v>0</v>
      </c>
      <c r="O55" s="207">
        <f>ROUND(N(data!BD69), 0)</f>
        <v>67110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228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66882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846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198</v>
      </c>
      <c r="B56" s="209" t="str">
        <f>RIGHT(data!$C$96,4)</f>
        <v>2023</v>
      </c>
      <c r="C56" s="12" t="str">
        <f>data!BE$55</f>
        <v>8430</v>
      </c>
      <c r="D56" s="12" t="s">
        <v>1158</v>
      </c>
      <c r="E56" s="207">
        <f>ROUND(N(data!BE59), 0)</f>
        <v>101551</v>
      </c>
      <c r="F56" s="315">
        <f>ROUND(N(data!BE60), 2)</f>
        <v>4.5199999999999996</v>
      </c>
      <c r="G56" s="207">
        <f>ROUND(N(data!BE61), 0)</f>
        <v>337110</v>
      </c>
      <c r="H56" s="207">
        <f>ROUND(N(data!BE62), 0)</f>
        <v>99414</v>
      </c>
      <c r="I56" s="207">
        <f>ROUND(N(data!BE63), 0)</f>
        <v>0</v>
      </c>
      <c r="J56" s="207">
        <f>ROUND(N(data!BE64), 0)</f>
        <v>85164</v>
      </c>
      <c r="K56" s="207">
        <f>ROUND(N(data!BE65), 0)</f>
        <v>542942</v>
      </c>
      <c r="L56" s="207">
        <f>ROUND(N(data!BE66), 0)</f>
        <v>355048</v>
      </c>
      <c r="M56" s="207">
        <f>ROUND(N(data!BE67), 0)</f>
        <v>265975</v>
      </c>
      <c r="N56" s="207">
        <f>ROUND(N(data!BE68), 0)</f>
        <v>37640</v>
      </c>
      <c r="O56" s="207">
        <f>ROUND(N(data!BE69), 0)</f>
        <v>204895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203351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1094</v>
      </c>
      <c r="AB56" s="207">
        <f>ROUND(N(data!BE82), 0)</f>
        <v>0</v>
      </c>
      <c r="AC56" s="207">
        <f>ROUND(N(data!BE83), 0)</f>
        <v>450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12536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198</v>
      </c>
      <c r="B57" s="209" t="str">
        <f>RIGHT(data!$C$96,4)</f>
        <v>2023</v>
      </c>
      <c r="C57" s="12" t="str">
        <f>data!BF$55</f>
        <v>8460</v>
      </c>
      <c r="D57" s="12" t="s">
        <v>1158</v>
      </c>
      <c r="E57" s="207">
        <f>ROUND(N(data!BF59), 0)</f>
        <v>0</v>
      </c>
      <c r="F57" s="315">
        <f>ROUND(N(data!BF60), 2)</f>
        <v>18.78</v>
      </c>
      <c r="G57" s="207">
        <f>ROUND(N(data!BF61), 0)</f>
        <v>794999</v>
      </c>
      <c r="H57" s="207">
        <f>ROUND(N(data!BF62), 0)</f>
        <v>235802</v>
      </c>
      <c r="I57" s="207">
        <f>ROUND(N(data!BF63), 0)</f>
        <v>0</v>
      </c>
      <c r="J57" s="207">
        <f>ROUND(N(data!BF64), 0)</f>
        <v>101908</v>
      </c>
      <c r="K57" s="207">
        <f>ROUND(N(data!BF65), 0)</f>
        <v>0</v>
      </c>
      <c r="L57" s="207">
        <f>ROUND(N(data!BF66), 0)</f>
        <v>149741</v>
      </c>
      <c r="M57" s="207">
        <f>ROUND(N(data!BF67), 0)</f>
        <v>21620</v>
      </c>
      <c r="N57" s="207">
        <f>ROUND(N(data!BF68), 0)</f>
        <v>0</v>
      </c>
      <c r="O57" s="207">
        <f>ROUND(N(data!BF69), 0)</f>
        <v>12697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1049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11648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1019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198</v>
      </c>
      <c r="B58" s="209" t="str">
        <f>RIGHT(data!$C$96,4)</f>
        <v>2023</v>
      </c>
      <c r="C58" s="12" t="str">
        <f>data!BG$55</f>
        <v>8470</v>
      </c>
      <c r="D58" s="12" t="s">
        <v>1158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198</v>
      </c>
      <c r="B59" s="209" t="str">
        <f>RIGHT(data!$C$96,4)</f>
        <v>2023</v>
      </c>
      <c r="C59" s="12" t="str">
        <f>data!BH$55</f>
        <v>8480</v>
      </c>
      <c r="D59" s="12" t="s">
        <v>1158</v>
      </c>
      <c r="E59" s="207">
        <f>ROUND(N(data!BH59), 0)</f>
        <v>0</v>
      </c>
      <c r="F59" s="315">
        <f>ROUND(N(data!BH60), 2)</f>
        <v>15.13</v>
      </c>
      <c r="G59" s="207">
        <f>ROUND(N(data!BH61), 0)</f>
        <v>1169041</v>
      </c>
      <c r="H59" s="207">
        <f>ROUND(N(data!BH62), 0)</f>
        <v>350220</v>
      </c>
      <c r="I59" s="207">
        <f>ROUND(N(data!BH63), 0)</f>
        <v>0</v>
      </c>
      <c r="J59" s="207">
        <f>ROUND(N(data!BH64), 0)</f>
        <v>573187</v>
      </c>
      <c r="K59" s="207">
        <f>ROUND(N(data!BH65), 0)</f>
        <v>93684</v>
      </c>
      <c r="L59" s="207">
        <f>ROUND(N(data!BH66), 0)</f>
        <v>-165180</v>
      </c>
      <c r="M59" s="207">
        <f>ROUND(N(data!BH67), 0)</f>
        <v>2376</v>
      </c>
      <c r="N59" s="207">
        <f>ROUND(N(data!BH68), 0)</f>
        <v>60459</v>
      </c>
      <c r="O59" s="207">
        <f>ROUND(N(data!BH69), 0)</f>
        <v>46129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17361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10755</v>
      </c>
      <c r="AB59" s="207">
        <f>ROUND(N(data!BH82), 0)</f>
        <v>0</v>
      </c>
      <c r="AC59" s="207">
        <f>ROUND(N(data!BH83), 0)</f>
        <v>18013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112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198</v>
      </c>
      <c r="B60" s="209" t="str">
        <f>RIGHT(data!$C$96,4)</f>
        <v>2023</v>
      </c>
      <c r="C60" s="12" t="str">
        <f>data!BI$55</f>
        <v>8490</v>
      </c>
      <c r="D60" s="12" t="s">
        <v>1158</v>
      </c>
      <c r="E60" s="207">
        <f>ROUND(N(data!BI59), 0)</f>
        <v>0</v>
      </c>
      <c r="F60" s="315">
        <f>ROUND(N(data!BI60), 2)</f>
        <v>2.1800000000000002</v>
      </c>
      <c r="G60" s="207">
        <f>ROUND(N(data!BI61), 0)</f>
        <v>203738</v>
      </c>
      <c r="H60" s="207">
        <f>ROUND(N(data!BI62), 0)</f>
        <v>58278</v>
      </c>
      <c r="I60" s="207">
        <f>ROUND(N(data!BI63), 0)</f>
        <v>0</v>
      </c>
      <c r="J60" s="207">
        <f>ROUND(N(data!BI64), 0)</f>
        <v>44098</v>
      </c>
      <c r="K60" s="207">
        <f>ROUND(N(data!BI65), 0)</f>
        <v>1783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4216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145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4071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198</v>
      </c>
      <c r="B61" s="209" t="str">
        <f>RIGHT(data!$C$96,4)</f>
        <v>2023</v>
      </c>
      <c r="C61" s="12" t="str">
        <f>data!BJ$55</f>
        <v>8510</v>
      </c>
      <c r="D61" s="12" t="s">
        <v>1158</v>
      </c>
      <c r="E61" s="207">
        <f>ROUND(N(data!BJ59), 0)</f>
        <v>0</v>
      </c>
      <c r="F61" s="315">
        <f>ROUND(N(data!BJ60), 2)</f>
        <v>4.05</v>
      </c>
      <c r="G61" s="207">
        <f>ROUND(N(data!BJ61), 0)</f>
        <v>275215</v>
      </c>
      <c r="H61" s="207">
        <f>ROUND(N(data!BJ62), 0)</f>
        <v>81474</v>
      </c>
      <c r="I61" s="207">
        <f>ROUND(N(data!BJ63), 0)</f>
        <v>0</v>
      </c>
      <c r="J61" s="207">
        <f>ROUND(N(data!BJ64), 0)</f>
        <v>4830</v>
      </c>
      <c r="K61" s="207">
        <f>ROUND(N(data!BJ65), 0)</f>
        <v>0</v>
      </c>
      <c r="L61" s="207">
        <f>ROUND(N(data!BJ66), 0)</f>
        <v>923</v>
      </c>
      <c r="M61" s="207">
        <f>ROUND(N(data!BJ67), 0)</f>
        <v>0</v>
      </c>
      <c r="N61" s="207">
        <f>ROUND(N(data!BJ68), 0)</f>
        <v>5</v>
      </c>
      <c r="O61" s="207">
        <f>ROUND(N(data!BJ69), 0)</f>
        <v>61035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59150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736</v>
      </c>
      <c r="AB61" s="207">
        <f>ROUND(N(data!BJ82), 0)</f>
        <v>0</v>
      </c>
      <c r="AC61" s="207">
        <f>ROUND(N(data!BJ83), 0)</f>
        <v>1149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198</v>
      </c>
      <c r="B62" s="209" t="str">
        <f>RIGHT(data!$C$96,4)</f>
        <v>2023</v>
      </c>
      <c r="C62" s="12" t="str">
        <f>data!BK$55</f>
        <v>8530</v>
      </c>
      <c r="D62" s="12" t="s">
        <v>1158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520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198</v>
      </c>
      <c r="B63" s="209" t="str">
        <f>RIGHT(data!$C$96,4)</f>
        <v>2023</v>
      </c>
      <c r="C63" s="12" t="str">
        <f>data!BL$55</f>
        <v>8560</v>
      </c>
      <c r="D63" s="12" t="s">
        <v>1158</v>
      </c>
      <c r="E63" s="207">
        <f>ROUND(N(data!BL59), 0)</f>
        <v>0</v>
      </c>
      <c r="F63" s="315">
        <f>ROUND(N(data!BL60), 2)</f>
        <v>20.11</v>
      </c>
      <c r="G63" s="207">
        <f>ROUND(N(data!BL61), 0)</f>
        <v>901075</v>
      </c>
      <c r="H63" s="207">
        <f>ROUND(N(data!BL62), 0)</f>
        <v>258646</v>
      </c>
      <c r="I63" s="207">
        <f>ROUND(N(data!BL63), 0)</f>
        <v>0</v>
      </c>
      <c r="J63" s="207">
        <f>ROUND(N(data!BL64), 0)</f>
        <v>20192</v>
      </c>
      <c r="K63" s="207">
        <f>ROUND(N(data!BL65), 0)</f>
        <v>0</v>
      </c>
      <c r="L63" s="207">
        <f>ROUND(N(data!BL66), 0)</f>
        <v>440</v>
      </c>
      <c r="M63" s="207">
        <f>ROUND(N(data!BL67), 0)</f>
        <v>3522</v>
      </c>
      <c r="N63" s="207">
        <f>ROUND(N(data!BL68), 0)</f>
        <v>0</v>
      </c>
      <c r="O63" s="207">
        <f>ROUND(N(data!BL69), 0)</f>
        <v>806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806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166</v>
      </c>
      <c r="AH63" s="207">
        <f>ROUND(N(data!BL91), 0)</f>
        <v>0</v>
      </c>
      <c r="AI63" s="207">
        <f>ROUND(N(data!BL92), 0)</f>
        <v>891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198</v>
      </c>
      <c r="B64" s="209" t="str">
        <f>RIGHT(data!$C$96,4)</f>
        <v>2023</v>
      </c>
      <c r="C64" s="12" t="str">
        <f>data!BM$55</f>
        <v>8590</v>
      </c>
      <c r="D64" s="12" t="s">
        <v>1158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145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198</v>
      </c>
      <c r="B65" s="209" t="str">
        <f>RIGHT(data!$C$96,4)</f>
        <v>2023</v>
      </c>
      <c r="C65" s="12" t="str">
        <f>data!BN$55</f>
        <v>8610</v>
      </c>
      <c r="D65" s="12" t="s">
        <v>1158</v>
      </c>
      <c r="E65" s="207">
        <f>ROUND(N(data!BN59), 0)</f>
        <v>0</v>
      </c>
      <c r="F65" s="315">
        <f>ROUND(N(data!BN60), 2)</f>
        <v>0.73</v>
      </c>
      <c r="G65" s="207">
        <f>ROUND(N(data!BN61), 0)</f>
        <v>56716</v>
      </c>
      <c r="H65" s="207">
        <f>ROUND(N(data!BN62), 0)</f>
        <v>19429</v>
      </c>
      <c r="I65" s="207">
        <f>ROUND(N(data!BN63), 0)</f>
        <v>0</v>
      </c>
      <c r="J65" s="207">
        <f>ROUND(N(data!BN64), 0)</f>
        <v>10313</v>
      </c>
      <c r="K65" s="207">
        <f>ROUND(N(data!BN65), 0)</f>
        <v>0</v>
      </c>
      <c r="L65" s="207">
        <f>ROUND(N(data!BN66), 0)</f>
        <v>118614</v>
      </c>
      <c r="M65" s="207">
        <f>ROUND(N(data!BN67), 0)</f>
        <v>48905</v>
      </c>
      <c r="N65" s="207">
        <f>ROUND(N(data!BN68), 0)</f>
        <v>35872</v>
      </c>
      <c r="O65" s="207">
        <f>ROUND(N(data!BN69), 0)</f>
        <v>14988690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16624</v>
      </c>
      <c r="V65" s="207">
        <f>ROUND(N(data!BN76), 0)</f>
        <v>0</v>
      </c>
      <c r="W65" s="207">
        <f>ROUND(N(data!BN77), 0)</f>
        <v>0</v>
      </c>
      <c r="X65" s="207">
        <f>ROUND(N(data!BN78), 0)</f>
        <v>14841774</v>
      </c>
      <c r="Y65" s="207">
        <f>ROUND(N(data!BN79), 0)</f>
        <v>0</v>
      </c>
      <c r="Z65" s="207">
        <f>ROUND(N(data!BN80), 0)</f>
        <v>0</v>
      </c>
      <c r="AA65" s="207">
        <f>ROUND(N(data!BN81), 0)</f>
        <v>10974</v>
      </c>
      <c r="AB65" s="207">
        <f>ROUND(N(data!BN82), 0)</f>
        <v>0</v>
      </c>
      <c r="AC65" s="207">
        <f>ROUND(N(data!BN83), 0)</f>
        <v>119318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2305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198</v>
      </c>
      <c r="B66" s="209" t="str">
        <f>RIGHT(data!$C$96,4)</f>
        <v>2023</v>
      </c>
      <c r="C66" s="12" t="str">
        <f>data!BO$55</f>
        <v>8620</v>
      </c>
      <c r="D66" s="12" t="s">
        <v>1158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100</v>
      </c>
      <c r="I66" s="207">
        <f>ROUND(N(data!BO63), 0)</f>
        <v>0</v>
      </c>
      <c r="J66" s="207">
        <f>ROUND(N(data!BO64), 0)</f>
        <v>4943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198</v>
      </c>
      <c r="B67" s="209" t="str">
        <f>RIGHT(data!$C$96,4)</f>
        <v>2023</v>
      </c>
      <c r="C67" s="12" t="str">
        <f>data!BP$55</f>
        <v>8630</v>
      </c>
      <c r="D67" s="12" t="s">
        <v>1158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198</v>
      </c>
      <c r="B68" s="209" t="str">
        <f>RIGHT(data!$C$96,4)</f>
        <v>2023</v>
      </c>
      <c r="C68" s="12" t="str">
        <f>data!BQ$55</f>
        <v>8640</v>
      </c>
      <c r="D68" s="12" t="s">
        <v>1158</v>
      </c>
      <c r="E68" s="207">
        <f>ROUND(N(data!BQ59), 0)</f>
        <v>0</v>
      </c>
      <c r="F68" s="315">
        <f>ROUND(N(data!BQ60), 2)</f>
        <v>3.08</v>
      </c>
      <c r="G68" s="207">
        <f>ROUND(N(data!BQ61), 0)</f>
        <v>256500</v>
      </c>
      <c r="H68" s="207">
        <f>ROUND(N(data!BQ62), 0)</f>
        <v>78956</v>
      </c>
      <c r="I68" s="207">
        <f>ROUND(N(data!BQ63), 0)</f>
        <v>0</v>
      </c>
      <c r="J68" s="207">
        <f>ROUND(N(data!BQ64), 0)</f>
        <v>5430</v>
      </c>
      <c r="K68" s="207">
        <f>ROUND(N(data!BQ65), 0)</f>
        <v>960</v>
      </c>
      <c r="L68" s="207">
        <f>ROUND(N(data!BQ66), 0)</f>
        <v>594</v>
      </c>
      <c r="M68" s="207">
        <f>ROUND(N(data!BQ67), 0)</f>
        <v>0</v>
      </c>
      <c r="N68" s="207">
        <f>ROUND(N(data!BQ68), 0)</f>
        <v>0</v>
      </c>
      <c r="O68" s="207">
        <f>ROUND(N(data!BQ69), 0)</f>
        <v>4394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3062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1332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198</v>
      </c>
      <c r="B69" s="209" t="str">
        <f>RIGHT(data!$C$96,4)</f>
        <v>2023</v>
      </c>
      <c r="C69" s="12" t="str">
        <f>data!BR$55</f>
        <v>8650</v>
      </c>
      <c r="D69" s="12" t="s">
        <v>1158</v>
      </c>
      <c r="E69" s="207">
        <f>ROUND(N(data!BR59), 0)</f>
        <v>0</v>
      </c>
      <c r="F69" s="315">
        <f>ROUND(N(data!BR60), 2)</f>
        <v>0.01</v>
      </c>
      <c r="G69" s="207">
        <f>ROUND(N(data!BR61), 0)</f>
        <v>216</v>
      </c>
      <c r="H69" s="207">
        <f>ROUND(N(data!BR62), 0)</f>
        <v>66</v>
      </c>
      <c r="I69" s="207">
        <f>ROUND(N(data!BR63), 0)</f>
        <v>0</v>
      </c>
      <c r="J69" s="207">
        <f>ROUND(N(data!BR64), 0)</f>
        <v>6834</v>
      </c>
      <c r="K69" s="207">
        <f>ROUND(N(data!BR65), 0)</f>
        <v>0</v>
      </c>
      <c r="L69" s="207">
        <f>ROUND(N(data!BR66), 0)</f>
        <v>39621</v>
      </c>
      <c r="M69" s="207">
        <f>ROUND(N(data!BR67), 0)</f>
        <v>0</v>
      </c>
      <c r="N69" s="207">
        <f>ROUND(N(data!BR68), 0)</f>
        <v>0</v>
      </c>
      <c r="O69" s="207">
        <f>ROUND(N(data!BR69), 0)</f>
        <v>125715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125402</v>
      </c>
      <c r="Z69" s="207">
        <f>ROUND(N(data!BR80), 0)</f>
        <v>221</v>
      </c>
      <c r="AA69" s="207">
        <f>ROUND(N(data!BR81), 0)</f>
        <v>0</v>
      </c>
      <c r="AB69" s="207">
        <f>ROUND(N(data!BR82), 0)</f>
        <v>0</v>
      </c>
      <c r="AC69" s="207">
        <f>ROUND(N(data!BR83), 0)</f>
        <v>92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198</v>
      </c>
      <c r="B70" s="209" t="str">
        <f>RIGHT(data!$C$96,4)</f>
        <v>2023</v>
      </c>
      <c r="C70" s="12" t="str">
        <f>data!BS$55</f>
        <v>8660</v>
      </c>
      <c r="D70" s="12" t="s">
        <v>1158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198</v>
      </c>
      <c r="B71" s="209" t="str">
        <f>RIGHT(data!$C$96,4)</f>
        <v>2023</v>
      </c>
      <c r="C71" s="12" t="str">
        <f>data!BT$55</f>
        <v>8670</v>
      </c>
      <c r="D71" s="12" t="s">
        <v>1158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198</v>
      </c>
      <c r="B72" s="209" t="str">
        <f>RIGHT(data!$C$96,4)</f>
        <v>2023</v>
      </c>
      <c r="C72" s="12" t="str">
        <f>data!BU$55</f>
        <v>8680</v>
      </c>
      <c r="D72" s="12" t="s">
        <v>1158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198</v>
      </c>
      <c r="B73" s="209" t="str">
        <f>RIGHT(data!$C$96,4)</f>
        <v>2023</v>
      </c>
      <c r="C73" s="12" t="str">
        <f>data!BV$55</f>
        <v>8690</v>
      </c>
      <c r="D73" s="12" t="s">
        <v>1158</v>
      </c>
      <c r="E73" s="207">
        <f>ROUND(N(data!BV59), 0)</f>
        <v>0</v>
      </c>
      <c r="F73" s="315">
        <f>ROUND(N(data!BV60), 2)</f>
        <v>5.13</v>
      </c>
      <c r="G73" s="207">
        <f>ROUND(N(data!BV61), 0)</f>
        <v>245951</v>
      </c>
      <c r="H73" s="207">
        <f>ROUND(N(data!BV62), 0)</f>
        <v>73450</v>
      </c>
      <c r="I73" s="207">
        <f>ROUND(N(data!BV63), 0)</f>
        <v>0</v>
      </c>
      <c r="J73" s="207">
        <f>ROUND(N(data!BV64), 0)</f>
        <v>54672</v>
      </c>
      <c r="K73" s="207">
        <f>ROUND(N(data!BV65), 0)</f>
        <v>0</v>
      </c>
      <c r="L73" s="207">
        <f>ROUND(N(data!BV66), 0)</f>
        <v>79533</v>
      </c>
      <c r="M73" s="207">
        <f>ROUND(N(data!BV67), 0)</f>
        <v>36790</v>
      </c>
      <c r="N73" s="207">
        <f>ROUND(N(data!BV68), 0)</f>
        <v>8397</v>
      </c>
      <c r="O73" s="207">
        <f>ROUND(N(data!BV69), 0)</f>
        <v>17762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2664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15098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1734</v>
      </c>
      <c r="AH73" s="207">
        <f>ROUND(N(data!BV91), 0)</f>
        <v>0</v>
      </c>
      <c r="AI73" s="207">
        <f>ROUND(N(data!BV92), 0)</f>
        <v>147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198</v>
      </c>
      <c r="B74" s="209" t="str">
        <f>RIGHT(data!$C$96,4)</f>
        <v>2023</v>
      </c>
      <c r="C74" s="12" t="str">
        <f>data!BW$55</f>
        <v>8700</v>
      </c>
      <c r="D74" s="12" t="s">
        <v>1158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198</v>
      </c>
      <c r="B75" s="209" t="str">
        <f>RIGHT(data!$C$96,4)</f>
        <v>2023</v>
      </c>
      <c r="C75" s="12" t="str">
        <f>data!BX$55</f>
        <v>8710</v>
      </c>
      <c r="D75" s="12" t="s">
        <v>1158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198</v>
      </c>
      <c r="B76" s="209" t="str">
        <f>RIGHT(data!$C$96,4)</f>
        <v>2023</v>
      </c>
      <c r="C76" s="12" t="str">
        <f>data!BY$55</f>
        <v>8720</v>
      </c>
      <c r="D76" s="12" t="s">
        <v>1158</v>
      </c>
      <c r="E76" s="207">
        <f>ROUND(N(data!BY59), 0)</f>
        <v>0</v>
      </c>
      <c r="F76" s="315">
        <f>ROUND(N(data!BY60), 2)</f>
        <v>4.67</v>
      </c>
      <c r="G76" s="207">
        <f>ROUND(N(data!BY61), 0)</f>
        <v>717595</v>
      </c>
      <c r="H76" s="207">
        <f>ROUND(N(data!BY62), 0)</f>
        <v>197728</v>
      </c>
      <c r="I76" s="207">
        <f>ROUND(N(data!BY63), 0)</f>
        <v>0</v>
      </c>
      <c r="J76" s="207">
        <f>ROUND(N(data!BY64), 0)</f>
        <v>15576</v>
      </c>
      <c r="K76" s="207">
        <f>ROUND(N(data!BY65), 0)</f>
        <v>0</v>
      </c>
      <c r="L76" s="207">
        <f>ROUND(N(data!BY66), 0)</f>
        <v>93794</v>
      </c>
      <c r="M76" s="207">
        <f>ROUND(N(data!BY67), 0)</f>
        <v>31634</v>
      </c>
      <c r="N76" s="207">
        <f>ROUND(N(data!BY68), 0)</f>
        <v>0</v>
      </c>
      <c r="O76" s="207">
        <f>ROUND(N(data!BY69), 0)</f>
        <v>178262</v>
      </c>
      <c r="P76" s="207">
        <f>ROUND(N(data!BY70), 0)</f>
        <v>0</v>
      </c>
      <c r="Q76" s="207">
        <f>ROUND(N(data!BY71), 0)</f>
        <v>85242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4182</v>
      </c>
      <c r="AA76" s="207">
        <f>ROUND(N(data!BY81), 0)</f>
        <v>0</v>
      </c>
      <c r="AB76" s="207">
        <f>ROUND(N(data!BY82), 0)</f>
        <v>0</v>
      </c>
      <c r="AC76" s="207">
        <f>ROUND(N(data!BY83), 0)</f>
        <v>88838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1491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198</v>
      </c>
      <c r="B77" s="209" t="str">
        <f>RIGHT(data!$C$96,4)</f>
        <v>2023</v>
      </c>
      <c r="C77" s="12" t="str">
        <f>data!BZ$55</f>
        <v>8730</v>
      </c>
      <c r="D77" s="12" t="s">
        <v>1158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198</v>
      </c>
      <c r="B78" s="209" t="str">
        <f>RIGHT(data!$C$96,4)</f>
        <v>2023</v>
      </c>
      <c r="C78" s="12" t="str">
        <f>data!CA$55</f>
        <v>8740</v>
      </c>
      <c r="D78" s="12" t="s">
        <v>1158</v>
      </c>
      <c r="E78" s="207">
        <f>ROUND(N(data!CA59), 0)</f>
        <v>0</v>
      </c>
      <c r="F78" s="315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198</v>
      </c>
      <c r="B79" s="209" t="str">
        <f>RIGHT(data!$C$96,4)</f>
        <v>2023</v>
      </c>
      <c r="C79" s="12" t="str">
        <f>data!CB$55</f>
        <v>8770</v>
      </c>
      <c r="D79" s="12" t="s">
        <v>1158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198</v>
      </c>
      <c r="B80" s="209" t="str">
        <f>RIGHT(data!$C$96,4)</f>
        <v>2023</v>
      </c>
      <c r="C80" s="12" t="str">
        <f>data!CC$55</f>
        <v>8790</v>
      </c>
      <c r="D80" s="12" t="s">
        <v>1158</v>
      </c>
      <c r="E80" s="207">
        <f>ROUND(N(data!CC59), 0)</f>
        <v>0</v>
      </c>
      <c r="F80" s="315">
        <f>ROUND(N(data!CC60), 2)</f>
        <v>10.66</v>
      </c>
      <c r="G80" s="207">
        <f>ROUND(N(data!CC61), 0)</f>
        <v>135303</v>
      </c>
      <c r="H80" s="207">
        <f>ROUND(N(data!CC62), 0)</f>
        <v>39204</v>
      </c>
      <c r="I80" s="207">
        <f>ROUND(N(data!CC63), 0)</f>
        <v>3137</v>
      </c>
      <c r="J80" s="207">
        <f>ROUND(N(data!CC64), 0)</f>
        <v>9083</v>
      </c>
      <c r="K80" s="207">
        <f>ROUND(N(data!CC65), 0)</f>
        <v>119</v>
      </c>
      <c r="L80" s="207">
        <f>ROUND(N(data!CC66), 0)</f>
        <v>202987</v>
      </c>
      <c r="M80" s="207">
        <f>ROUND(N(data!CC67), 0)</f>
        <v>3522</v>
      </c>
      <c r="N80" s="207">
        <f>ROUND(N(data!CC68), 0)</f>
        <v>96</v>
      </c>
      <c r="O80" s="207">
        <f>ROUND(N(data!CC69), 0)</f>
        <v>1396400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177127</v>
      </c>
      <c r="V80" s="207">
        <f>ROUND(N(data!CC76), 0)</f>
        <v>0</v>
      </c>
      <c r="W80" s="207">
        <f>ROUND(N(data!CC77), 0)</f>
        <v>6136</v>
      </c>
      <c r="X80" s="207">
        <f>ROUND(N(data!CC78), 0)</f>
        <v>0</v>
      </c>
      <c r="Y80" s="207">
        <f>ROUND(N(data!CC79), 0)</f>
        <v>0</v>
      </c>
      <c r="Z80" s="207">
        <f>ROUND(N(data!CC80), 0)</f>
        <v>61963</v>
      </c>
      <c r="AA80" s="207">
        <f>ROUND(N(data!CC81), 0)</f>
        <v>1067892</v>
      </c>
      <c r="AB80" s="207">
        <f>ROUND(N(data!CC82), 0)</f>
        <v>0</v>
      </c>
      <c r="AC80" s="207">
        <f>ROUND(N(data!CC83), 0)</f>
        <v>83282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166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2024-06-24T18:40:53Z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