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5FD58FE6-D0DC-490B-974C-049E5CFAAF5C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2" i="24" l="1"/>
  <c r="C240" i="24"/>
  <c r="D15" i="35"/>
  <c r="C269" i="24" l="1"/>
  <c r="C290" i="24"/>
  <c r="C314" i="24"/>
  <c r="C250" i="24"/>
  <c r="C237" i="24" l="1"/>
  <c r="C244" i="24"/>
  <c r="C243" i="24"/>
  <c r="C239" i="24"/>
  <c r="C181" i="24" l="1"/>
  <c r="C182" i="24"/>
  <c r="D156" i="24"/>
  <c r="C156" i="24"/>
  <c r="B156" i="24"/>
  <c r="C127" i="24"/>
  <c r="C399" i="24" l="1"/>
  <c r="C365" i="24"/>
  <c r="C358" i="24" l="1"/>
  <c r="C359" i="24"/>
  <c r="AU91" i="24"/>
  <c r="BL91" i="24"/>
  <c r="B52" i="24"/>
  <c r="H87" i="24"/>
  <c r="AU88" i="24"/>
  <c r="BW71" i="24" l="1"/>
  <c r="CC83" i="24"/>
  <c r="BN83" i="24"/>
  <c r="BE83" i="24"/>
  <c r="CC61" i="24"/>
  <c r="H61" i="24"/>
  <c r="H60" i="24"/>
  <c r="AU59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G122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H65" i="15" s="1"/>
  <c r="I65" i="15" s="1"/>
  <c r="F64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E54" i="15"/>
  <c r="D54" i="15"/>
  <c r="B54" i="15"/>
  <c r="H54" i="15" s="1"/>
  <c r="I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H50" i="15"/>
  <c r="I50" i="15" s="1"/>
  <c r="E50" i="15"/>
  <c r="D50" i="15"/>
  <c r="B50" i="15"/>
  <c r="F50" i="15" s="1"/>
  <c r="E49" i="15"/>
  <c r="D49" i="15"/>
  <c r="B49" i="15"/>
  <c r="H49" i="15" s="1"/>
  <c r="I49" i="15" s="1"/>
  <c r="E48" i="15"/>
  <c r="D48" i="15"/>
  <c r="B48" i="15"/>
  <c r="H48" i="15" s="1"/>
  <c r="I48" i="15" s="1"/>
  <c r="E47" i="15"/>
  <c r="D47" i="15"/>
  <c r="B47" i="15"/>
  <c r="E46" i="15"/>
  <c r="D46" i="15"/>
  <c r="B46" i="15"/>
  <c r="H46" i="15" s="1"/>
  <c r="I46" i="15" s="1"/>
  <c r="E45" i="15"/>
  <c r="D45" i="15"/>
  <c r="B45" i="15"/>
  <c r="H45" i="15" s="1"/>
  <c r="I45" i="15" s="1"/>
  <c r="E44" i="15"/>
  <c r="D44" i="15"/>
  <c r="B44" i="15"/>
  <c r="E43" i="15"/>
  <c r="D43" i="15"/>
  <c r="B43" i="15"/>
  <c r="H43" i="15" s="1"/>
  <c r="I43" i="15" s="1"/>
  <c r="E42" i="15"/>
  <c r="D42" i="15"/>
  <c r="B42" i="15"/>
  <c r="H42" i="15" s="1"/>
  <c r="I42" i="15" s="1"/>
  <c r="E41" i="15"/>
  <c r="D41" i="15"/>
  <c r="B41" i="15"/>
  <c r="H41" i="15" s="1"/>
  <c r="I41" i="15" s="1"/>
  <c r="I40" i="15"/>
  <c r="B40" i="15"/>
  <c r="E39" i="15"/>
  <c r="D39" i="15"/>
  <c r="B39" i="15"/>
  <c r="H39" i="15" s="1"/>
  <c r="I39" i="15" s="1"/>
  <c r="H38" i="15"/>
  <c r="I38" i="15" s="1"/>
  <c r="E38" i="15"/>
  <c r="D38" i="15"/>
  <c r="B38" i="15"/>
  <c r="F38" i="15" s="1"/>
  <c r="E37" i="15"/>
  <c r="D37" i="15"/>
  <c r="B37" i="15"/>
  <c r="H37" i="15" s="1"/>
  <c r="I37" i="15" s="1"/>
  <c r="E36" i="15"/>
  <c r="D36" i="15"/>
  <c r="B36" i="15"/>
  <c r="H36" i="15" s="1"/>
  <c r="I36" i="15" s="1"/>
  <c r="E35" i="15"/>
  <c r="D35" i="15"/>
  <c r="B35" i="15"/>
  <c r="F35" i="15" s="1"/>
  <c r="F34" i="15"/>
  <c r="E34" i="15"/>
  <c r="D34" i="15"/>
  <c r="B34" i="15"/>
  <c r="H34" i="15" s="1"/>
  <c r="I34" i="15" s="1"/>
  <c r="E33" i="15"/>
  <c r="D33" i="15"/>
  <c r="B33" i="15"/>
  <c r="H33" i="15" s="1"/>
  <c r="I33" i="15" s="1"/>
  <c r="I32" i="15"/>
  <c r="B32" i="15"/>
  <c r="I31" i="15"/>
  <c r="B31" i="15"/>
  <c r="E30" i="15"/>
  <c r="D30" i="15"/>
  <c r="B30" i="15"/>
  <c r="H30" i="15" s="1"/>
  <c r="I30" i="15" s="1"/>
  <c r="F29" i="15"/>
  <c r="E29" i="15"/>
  <c r="D29" i="15"/>
  <c r="B29" i="15"/>
  <c r="H29" i="15" s="1"/>
  <c r="I29" i="15" s="1"/>
  <c r="E28" i="15"/>
  <c r="D28" i="15"/>
  <c r="B28" i="15"/>
  <c r="H28" i="15" s="1"/>
  <c r="I28" i="15" s="1"/>
  <c r="E27" i="15"/>
  <c r="D27" i="15"/>
  <c r="B27" i="15"/>
  <c r="H27" i="15" s="1"/>
  <c r="I27" i="15" s="1"/>
  <c r="H26" i="15"/>
  <c r="I26" i="15" s="1"/>
  <c r="E26" i="15"/>
  <c r="D26" i="15"/>
  <c r="B26" i="15"/>
  <c r="F26" i="15" s="1"/>
  <c r="E25" i="15"/>
  <c r="D25" i="15"/>
  <c r="B25" i="15"/>
  <c r="H25" i="15" s="1"/>
  <c r="I25" i="15" s="1"/>
  <c r="H24" i="15"/>
  <c r="I24" i="15" s="1"/>
  <c r="E24" i="15"/>
  <c r="D24" i="15"/>
  <c r="B24" i="15"/>
  <c r="F24" i="15" s="1"/>
  <c r="F23" i="15"/>
  <c r="E23" i="15"/>
  <c r="D23" i="15"/>
  <c r="B23" i="15"/>
  <c r="H23" i="15" s="1"/>
  <c r="I23" i="15" s="1"/>
  <c r="E22" i="15"/>
  <c r="D22" i="15"/>
  <c r="B22" i="15"/>
  <c r="H22" i="15" s="1"/>
  <c r="I22" i="15" s="1"/>
  <c r="F21" i="15"/>
  <c r="E21" i="15"/>
  <c r="D21" i="15"/>
  <c r="B21" i="15"/>
  <c r="H21" i="15" s="1"/>
  <c r="I21" i="15" s="1"/>
  <c r="E20" i="15"/>
  <c r="D20" i="15"/>
  <c r="B20" i="15"/>
  <c r="E19" i="15"/>
  <c r="D19" i="15"/>
  <c r="B19" i="15"/>
  <c r="F19" i="15" s="1"/>
  <c r="H18" i="15"/>
  <c r="I18" i="15" s="1"/>
  <c r="E18" i="15"/>
  <c r="D18" i="15"/>
  <c r="B18" i="15"/>
  <c r="F18" i="15" s="1"/>
  <c r="E17" i="15"/>
  <c r="D17" i="15"/>
  <c r="B17" i="15"/>
  <c r="H17" i="15" s="1"/>
  <c r="I17" i="15" s="1"/>
  <c r="H16" i="15"/>
  <c r="I16" i="15" s="1"/>
  <c r="E16" i="15"/>
  <c r="D16" i="15"/>
  <c r="B16" i="15"/>
  <c r="F16" i="15" s="1"/>
  <c r="F15" i="15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J612" i="24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I382" i="36" s="1"/>
  <c r="CE91" i="24"/>
  <c r="CF91" i="2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AE2" i="31" s="1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O62" i="31" s="1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CE64" i="24"/>
  <c r="CE63" i="24"/>
  <c r="I365" i="36" s="1"/>
  <c r="CE61" i="24"/>
  <c r="I363" i="36" s="1"/>
  <c r="CE60" i="24"/>
  <c r="B53" i="24"/>
  <c r="CE51" i="24"/>
  <c r="B49" i="24"/>
  <c r="CE47" i="24"/>
  <c r="H19" i="15" l="1"/>
  <c r="I19" i="15" s="1"/>
  <c r="F20" i="15"/>
  <c r="F63" i="15"/>
  <c r="F69" i="15"/>
  <c r="F37" i="15"/>
  <c r="F28" i="15"/>
  <c r="H35" i="15"/>
  <c r="I35" i="15" s="1"/>
  <c r="F57" i="15"/>
  <c r="F48" i="15"/>
  <c r="F51" i="15"/>
  <c r="F25" i="15"/>
  <c r="F39" i="15"/>
  <c r="F49" i="15"/>
  <c r="F65" i="15"/>
  <c r="F17" i="15"/>
  <c r="F22" i="15"/>
  <c r="F30" i="15"/>
  <c r="F36" i="15"/>
  <c r="F56" i="15"/>
  <c r="F58" i="15"/>
  <c r="F27" i="15"/>
  <c r="F33" i="15"/>
  <c r="D341" i="24"/>
  <c r="C87" i="8" s="1"/>
  <c r="D258" i="24"/>
  <c r="G10" i="4"/>
  <c r="D383" i="24"/>
  <c r="C137" i="8" s="1"/>
  <c r="L612" i="24"/>
  <c r="BW52" i="24"/>
  <c r="BW67" i="24" s="1"/>
  <c r="E337" i="36" s="1"/>
  <c r="CE69" i="24"/>
  <c r="I371" i="36" s="1"/>
  <c r="G48" i="24"/>
  <c r="G62" i="24" s="1"/>
  <c r="N48" i="24"/>
  <c r="N62" i="24" s="1"/>
  <c r="F48" i="24"/>
  <c r="F62" i="24" s="1"/>
  <c r="O48" i="24"/>
  <c r="O62" i="24" s="1"/>
  <c r="H48" i="24"/>
  <c r="H62" i="24" s="1"/>
  <c r="T48" i="24"/>
  <c r="T62" i="24" s="1"/>
  <c r="H19" i="31" s="1"/>
  <c r="I48" i="24"/>
  <c r="I62" i="24" s="1"/>
  <c r="W48" i="24"/>
  <c r="W62" i="24" s="1"/>
  <c r="J48" i="24"/>
  <c r="J62" i="24" s="1"/>
  <c r="C48" i="24"/>
  <c r="C62" i="24" s="1"/>
  <c r="K48" i="24"/>
  <c r="K62" i="24" s="1"/>
  <c r="H10" i="31" s="1"/>
  <c r="D48" i="24"/>
  <c r="D62" i="24" s="1"/>
  <c r="D12" i="36" s="1"/>
  <c r="L48" i="24"/>
  <c r="L62" i="24" s="1"/>
  <c r="E48" i="24"/>
  <c r="E62" i="24" s="1"/>
  <c r="H4" i="31" s="1"/>
  <c r="M48" i="24"/>
  <c r="M62" i="24" s="1"/>
  <c r="Y48" i="24"/>
  <c r="Y62" i="24" s="1"/>
  <c r="Z48" i="24"/>
  <c r="Z62" i="24" s="1"/>
  <c r="P48" i="24"/>
  <c r="P62" i="24" s="1"/>
  <c r="Q48" i="24"/>
  <c r="Q62" i="24" s="1"/>
  <c r="H16" i="31" s="1"/>
  <c r="R48" i="24"/>
  <c r="R62" i="24" s="1"/>
  <c r="H17" i="31" s="1"/>
  <c r="S48" i="24"/>
  <c r="S62" i="24" s="1"/>
  <c r="AE48" i="24"/>
  <c r="AE62" i="24" s="1"/>
  <c r="H30" i="31" s="1"/>
  <c r="AF48" i="24"/>
  <c r="AF62" i="24" s="1"/>
  <c r="H31" i="31" s="1"/>
  <c r="U48" i="24"/>
  <c r="U62" i="24" s="1"/>
  <c r="H20" i="31" s="1"/>
  <c r="V48" i="24"/>
  <c r="V62" i="24" s="1"/>
  <c r="X48" i="24"/>
  <c r="X62" i="24" s="1"/>
  <c r="C108" i="36" s="1"/>
  <c r="AN48" i="24"/>
  <c r="AN62" i="24" s="1"/>
  <c r="H39" i="31" s="1"/>
  <c r="AO48" i="24"/>
  <c r="AO62" i="24" s="1"/>
  <c r="H40" i="31" s="1"/>
  <c r="AA48" i="24"/>
  <c r="AA62" i="24" s="1"/>
  <c r="F108" i="36" s="1"/>
  <c r="AB48" i="24"/>
  <c r="AB62" i="24" s="1"/>
  <c r="H27" i="31" s="1"/>
  <c r="AC48" i="24"/>
  <c r="AC62" i="24" s="1"/>
  <c r="H28" i="31" s="1"/>
  <c r="AD48" i="24"/>
  <c r="AD62" i="24" s="1"/>
  <c r="AP48" i="24"/>
  <c r="AP62" i="24" s="1"/>
  <c r="H41" i="31" s="1"/>
  <c r="AU48" i="24"/>
  <c r="AU62" i="24" s="1"/>
  <c r="H46" i="31" s="1"/>
  <c r="AG48" i="24"/>
  <c r="AG62" i="24" s="1"/>
  <c r="H32" i="31" s="1"/>
  <c r="AH48" i="24"/>
  <c r="AH62" i="24" s="1"/>
  <c r="H33" i="31" s="1"/>
  <c r="AI48" i="24"/>
  <c r="AI62" i="24" s="1"/>
  <c r="G140" i="36" s="1"/>
  <c r="AJ48" i="24"/>
  <c r="AJ62" i="24" s="1"/>
  <c r="H140" i="36" s="1"/>
  <c r="AV48" i="24"/>
  <c r="AV62" i="24" s="1"/>
  <c r="H47" i="31" s="1"/>
  <c r="AK48" i="24"/>
  <c r="AK62" i="24" s="1"/>
  <c r="H36" i="31" s="1"/>
  <c r="AL48" i="24"/>
  <c r="AL62" i="24" s="1"/>
  <c r="C172" i="36" s="1"/>
  <c r="AM48" i="24"/>
  <c r="AM62" i="24" s="1"/>
  <c r="H38" i="31" s="1"/>
  <c r="BA48" i="24"/>
  <c r="BA62" i="24" s="1"/>
  <c r="H52" i="31" s="1"/>
  <c r="BB48" i="24"/>
  <c r="BB62" i="24" s="1"/>
  <c r="E236" i="36" s="1"/>
  <c r="AQ48" i="24"/>
  <c r="AQ62" i="24" s="1"/>
  <c r="H42" i="31" s="1"/>
  <c r="AR48" i="24"/>
  <c r="AR62" i="24" s="1"/>
  <c r="I172" i="36" s="1"/>
  <c r="AS48" i="24"/>
  <c r="AS62" i="24" s="1"/>
  <c r="H44" i="31" s="1"/>
  <c r="AT48" i="24"/>
  <c r="AT62" i="24" s="1"/>
  <c r="H45" i="31" s="1"/>
  <c r="BG48" i="24"/>
  <c r="BG62" i="24" s="1"/>
  <c r="H58" i="31" s="1"/>
  <c r="BH48" i="24"/>
  <c r="BH62" i="24" s="1"/>
  <c r="AW48" i="24"/>
  <c r="AW62" i="24" s="1"/>
  <c r="H48" i="31" s="1"/>
  <c r="AX48" i="24"/>
  <c r="AX62" i="24" s="1"/>
  <c r="H49" i="31" s="1"/>
  <c r="AY48" i="24"/>
  <c r="AY62" i="24" s="1"/>
  <c r="I204" i="36" s="1"/>
  <c r="AZ48" i="24"/>
  <c r="AZ62" i="24" s="1"/>
  <c r="H51" i="31" s="1"/>
  <c r="BM48" i="24"/>
  <c r="BM62" i="24" s="1"/>
  <c r="H64" i="31" s="1"/>
  <c r="BN48" i="24"/>
  <c r="BN62" i="24" s="1"/>
  <c r="H65" i="31" s="1"/>
  <c r="BC48" i="24"/>
  <c r="BC62" i="24" s="1"/>
  <c r="BD48" i="24"/>
  <c r="BD62" i="24" s="1"/>
  <c r="H55" i="31" s="1"/>
  <c r="BE48" i="24"/>
  <c r="BE62" i="24" s="1"/>
  <c r="BF48" i="24"/>
  <c r="BF62" i="24" s="1"/>
  <c r="BS48" i="24"/>
  <c r="BS62" i="24" s="1"/>
  <c r="H300" i="36" s="1"/>
  <c r="BV48" i="24"/>
  <c r="BV62" i="24" s="1"/>
  <c r="H73" i="31" s="1"/>
  <c r="BI48" i="24"/>
  <c r="BI62" i="24" s="1"/>
  <c r="E268" i="36" s="1"/>
  <c r="BJ48" i="24"/>
  <c r="BJ62" i="24" s="1"/>
  <c r="H61" i="31" s="1"/>
  <c r="BK48" i="24"/>
  <c r="BK62" i="24" s="1"/>
  <c r="BL48" i="24"/>
  <c r="BL62" i="24" s="1"/>
  <c r="H268" i="36" s="1"/>
  <c r="BY48" i="24"/>
  <c r="BY62" i="24" s="1"/>
  <c r="G332" i="36" s="1"/>
  <c r="CA48" i="24"/>
  <c r="CA62" i="24" s="1"/>
  <c r="H78" i="31" s="1"/>
  <c r="BO48" i="24"/>
  <c r="BO62" i="24" s="1"/>
  <c r="H66" i="31" s="1"/>
  <c r="BQ48" i="24"/>
  <c r="BQ62" i="24" s="1"/>
  <c r="BR48" i="24"/>
  <c r="BR62" i="24" s="1"/>
  <c r="G300" i="36" s="1"/>
  <c r="BZ48" i="24"/>
  <c r="BZ62" i="24" s="1"/>
  <c r="BT48" i="24"/>
  <c r="BT62" i="24" s="1"/>
  <c r="I300" i="36" s="1"/>
  <c r="CB48" i="24"/>
  <c r="CB62" i="24" s="1"/>
  <c r="H79" i="31" s="1"/>
  <c r="BU48" i="24"/>
  <c r="BU62" i="24" s="1"/>
  <c r="C332" i="36" s="1"/>
  <c r="CC48" i="24"/>
  <c r="CC62" i="24" s="1"/>
  <c r="H80" i="31" s="1"/>
  <c r="CD48" i="24"/>
  <c r="BW48" i="24"/>
  <c r="BW62" i="24" s="1"/>
  <c r="BP48" i="24"/>
  <c r="BP62" i="24" s="1"/>
  <c r="H67" i="31" s="1"/>
  <c r="BX48" i="24"/>
  <c r="BX62" i="24" s="1"/>
  <c r="H12" i="31"/>
  <c r="F44" i="36"/>
  <c r="H108" i="36"/>
  <c r="H60" i="31"/>
  <c r="H76" i="31"/>
  <c r="M74" i="31"/>
  <c r="H5" i="31"/>
  <c r="F12" i="36"/>
  <c r="H13" i="31"/>
  <c r="G44" i="36"/>
  <c r="H21" i="31"/>
  <c r="H76" i="36"/>
  <c r="H37" i="31"/>
  <c r="C140" i="36"/>
  <c r="H7" i="31"/>
  <c r="H12" i="36"/>
  <c r="H15" i="31"/>
  <c r="I44" i="36"/>
  <c r="H23" i="31"/>
  <c r="H71" i="31"/>
  <c r="H6" i="31"/>
  <c r="G12" i="36"/>
  <c r="H62" i="31"/>
  <c r="G268" i="36"/>
  <c r="H9" i="31"/>
  <c r="C44" i="36"/>
  <c r="H25" i="31"/>
  <c r="E108" i="36"/>
  <c r="G172" i="36"/>
  <c r="H14" i="31"/>
  <c r="H44" i="36"/>
  <c r="H54" i="31"/>
  <c r="F236" i="36"/>
  <c r="BK2" i="30"/>
  <c r="I362" i="36"/>
  <c r="H612" i="24"/>
  <c r="H8" i="31"/>
  <c r="I12" i="36"/>
  <c r="C76" i="36"/>
  <c r="H56" i="31"/>
  <c r="H236" i="36"/>
  <c r="O3" i="31"/>
  <c r="D19" i="36"/>
  <c r="O11" i="31"/>
  <c r="E51" i="36"/>
  <c r="O19" i="31"/>
  <c r="F83" i="36"/>
  <c r="O27" i="31"/>
  <c r="G115" i="36"/>
  <c r="O35" i="31"/>
  <c r="H147" i="36"/>
  <c r="O43" i="31"/>
  <c r="I179" i="36"/>
  <c r="O51" i="31"/>
  <c r="C243" i="36"/>
  <c r="O59" i="31"/>
  <c r="D275" i="36"/>
  <c r="O67" i="31"/>
  <c r="E307" i="36"/>
  <c r="O75" i="31"/>
  <c r="F339" i="36"/>
  <c r="O4" i="31"/>
  <c r="E19" i="36"/>
  <c r="O12" i="31"/>
  <c r="F51" i="36"/>
  <c r="O20" i="31"/>
  <c r="G83" i="36"/>
  <c r="O28" i="31"/>
  <c r="H115" i="36"/>
  <c r="O36" i="31"/>
  <c r="I147" i="36"/>
  <c r="O44" i="31"/>
  <c r="C211" i="36"/>
  <c r="O52" i="31"/>
  <c r="D243" i="36"/>
  <c r="O60" i="31"/>
  <c r="E275" i="36"/>
  <c r="O68" i="31"/>
  <c r="F307" i="36"/>
  <c r="O76" i="31"/>
  <c r="G339" i="36"/>
  <c r="I380" i="36"/>
  <c r="CF90" i="24"/>
  <c r="CB52" i="24" s="1"/>
  <c r="CB67" i="24" s="1"/>
  <c r="F24" i="6"/>
  <c r="E233" i="24"/>
  <c r="F32" i="6" s="1"/>
  <c r="O29" i="31"/>
  <c r="I115" i="36"/>
  <c r="AE33" i="31"/>
  <c r="F154" i="36"/>
  <c r="H3" i="31"/>
  <c r="H11" i="31"/>
  <c r="E44" i="36"/>
  <c r="H35" i="31"/>
  <c r="I366" i="36"/>
  <c r="F612" i="24"/>
  <c r="O6" i="31"/>
  <c r="G19" i="36"/>
  <c r="O14" i="31"/>
  <c r="H51" i="36"/>
  <c r="O22" i="31"/>
  <c r="I83" i="36"/>
  <c r="O30" i="31"/>
  <c r="C147" i="36"/>
  <c r="O38" i="31"/>
  <c r="D179" i="36"/>
  <c r="O46" i="31"/>
  <c r="E211" i="36"/>
  <c r="O54" i="31"/>
  <c r="F243" i="36"/>
  <c r="O70" i="31"/>
  <c r="H307" i="36"/>
  <c r="O78" i="31"/>
  <c r="I339" i="36"/>
  <c r="CP2" i="30"/>
  <c r="D416" i="24"/>
  <c r="D83" i="36"/>
  <c r="H18" i="31"/>
  <c r="E76" i="36"/>
  <c r="C268" i="36"/>
  <c r="O13" i="31"/>
  <c r="G51" i="36"/>
  <c r="O53" i="31"/>
  <c r="E243" i="36"/>
  <c r="AE9" i="31"/>
  <c r="C58" i="36"/>
  <c r="AE25" i="31"/>
  <c r="E122" i="36"/>
  <c r="AE41" i="31"/>
  <c r="G186" i="36"/>
  <c r="O7" i="31"/>
  <c r="H19" i="36"/>
  <c r="O15" i="31"/>
  <c r="I51" i="36"/>
  <c r="O23" i="31"/>
  <c r="C115" i="36"/>
  <c r="O31" i="31"/>
  <c r="D147" i="36"/>
  <c r="O39" i="31"/>
  <c r="E179" i="36"/>
  <c r="O47" i="31"/>
  <c r="F211" i="36"/>
  <c r="O55" i="31"/>
  <c r="G243" i="36"/>
  <c r="O63" i="31"/>
  <c r="H275" i="36"/>
  <c r="O71" i="31"/>
  <c r="I307" i="36"/>
  <c r="O79" i="31"/>
  <c r="C371" i="36"/>
  <c r="AE3" i="31"/>
  <c r="D26" i="36"/>
  <c r="AE11" i="31"/>
  <c r="E58" i="36"/>
  <c r="AE19" i="31"/>
  <c r="F90" i="36"/>
  <c r="AE35" i="31"/>
  <c r="H154" i="36"/>
  <c r="AE43" i="31"/>
  <c r="I186" i="36"/>
  <c r="G275" i="36"/>
  <c r="O21" i="31"/>
  <c r="H83" i="36"/>
  <c r="O45" i="31"/>
  <c r="D211" i="36"/>
  <c r="O69" i="31"/>
  <c r="G307" i="36"/>
  <c r="AE17" i="31"/>
  <c r="D90" i="36"/>
  <c r="O8" i="31"/>
  <c r="I19" i="36"/>
  <c r="O16" i="31"/>
  <c r="C83" i="36"/>
  <c r="O24" i="31"/>
  <c r="D115" i="36"/>
  <c r="O32" i="31"/>
  <c r="E147" i="36"/>
  <c r="O40" i="31"/>
  <c r="F179" i="36"/>
  <c r="O48" i="31"/>
  <c r="G211" i="36"/>
  <c r="O56" i="31"/>
  <c r="H243" i="36"/>
  <c r="O64" i="31"/>
  <c r="I275" i="36"/>
  <c r="O72" i="31"/>
  <c r="C339" i="36"/>
  <c r="O80" i="31"/>
  <c r="D371" i="36"/>
  <c r="AE4" i="31"/>
  <c r="E26" i="36"/>
  <c r="AE12" i="31"/>
  <c r="F58" i="36"/>
  <c r="AE20" i="31"/>
  <c r="G90" i="36"/>
  <c r="AE28" i="31"/>
  <c r="H122" i="36"/>
  <c r="AE36" i="31"/>
  <c r="I154" i="36"/>
  <c r="AE44" i="31"/>
  <c r="C218" i="36"/>
  <c r="H34" i="31"/>
  <c r="O61" i="31"/>
  <c r="F275" i="36"/>
  <c r="O9" i="31"/>
  <c r="C51" i="36"/>
  <c r="O25" i="31"/>
  <c r="E115" i="36"/>
  <c r="O33" i="31"/>
  <c r="F147" i="36"/>
  <c r="O41" i="31"/>
  <c r="G179" i="36"/>
  <c r="O49" i="31"/>
  <c r="H211" i="36"/>
  <c r="O57" i="31"/>
  <c r="I243" i="36"/>
  <c r="O65" i="31"/>
  <c r="C307" i="36"/>
  <c r="O73" i="31"/>
  <c r="D339" i="36"/>
  <c r="E371" i="36"/>
  <c r="CD85" i="24"/>
  <c r="C615" i="24"/>
  <c r="D308" i="24"/>
  <c r="D12" i="35"/>
  <c r="C113" i="8"/>
  <c r="E380" i="24"/>
  <c r="D367" i="24"/>
  <c r="D612" i="24"/>
  <c r="O5" i="31"/>
  <c r="F19" i="36"/>
  <c r="O37" i="31"/>
  <c r="C179" i="36"/>
  <c r="O77" i="31"/>
  <c r="H339" i="36"/>
  <c r="I381" i="36"/>
  <c r="G612" i="24"/>
  <c r="O2" i="31"/>
  <c r="C19" i="36"/>
  <c r="O10" i="31"/>
  <c r="D51" i="36"/>
  <c r="O18" i="31"/>
  <c r="E83" i="36"/>
  <c r="O26" i="31"/>
  <c r="F115" i="36"/>
  <c r="O34" i="31"/>
  <c r="G147" i="36"/>
  <c r="O42" i="31"/>
  <c r="H179" i="36"/>
  <c r="O50" i="31"/>
  <c r="I211" i="36"/>
  <c r="O58" i="31"/>
  <c r="C275" i="36"/>
  <c r="O66" i="31"/>
  <c r="D307" i="36"/>
  <c r="O74" i="31"/>
  <c r="E339" i="36"/>
  <c r="AE10" i="31"/>
  <c r="D58" i="36"/>
  <c r="AE18" i="31"/>
  <c r="E90" i="36"/>
  <c r="AE26" i="31"/>
  <c r="F122" i="36"/>
  <c r="AE34" i="31"/>
  <c r="G154" i="36"/>
  <c r="AE42" i="31"/>
  <c r="H186" i="36"/>
  <c r="E19" i="4"/>
  <c r="G19" i="4"/>
  <c r="E220" i="24"/>
  <c r="H55" i="15"/>
  <c r="I55" i="15" s="1"/>
  <c r="F55" i="15"/>
  <c r="AE5" i="31"/>
  <c r="F26" i="36"/>
  <c r="AE13" i="31"/>
  <c r="G58" i="36"/>
  <c r="AE21" i="31"/>
  <c r="H90" i="36"/>
  <c r="AE29" i="31"/>
  <c r="I122" i="36"/>
  <c r="AE37" i="31"/>
  <c r="C186" i="36"/>
  <c r="AE45" i="31"/>
  <c r="D218" i="36"/>
  <c r="AE6" i="31"/>
  <c r="G26" i="36"/>
  <c r="AE14" i="31"/>
  <c r="H58" i="36"/>
  <c r="AE22" i="31"/>
  <c r="I90" i="36"/>
  <c r="AE30" i="31"/>
  <c r="C154" i="36"/>
  <c r="AE38" i="31"/>
  <c r="D186" i="36"/>
  <c r="AE46" i="31"/>
  <c r="E218" i="36"/>
  <c r="AE7" i="31"/>
  <c r="H26" i="36"/>
  <c r="AE15" i="31"/>
  <c r="I58" i="36"/>
  <c r="AE23" i="31"/>
  <c r="C122" i="36"/>
  <c r="AE31" i="31"/>
  <c r="D154" i="36"/>
  <c r="AE39" i="31"/>
  <c r="E186" i="36"/>
  <c r="AE47" i="31"/>
  <c r="F218" i="36"/>
  <c r="E28" i="4"/>
  <c r="G28" i="4"/>
  <c r="DF2" i="30"/>
  <c r="C170" i="8"/>
  <c r="H53" i="15"/>
  <c r="I53" i="15" s="1"/>
  <c r="AE8" i="31"/>
  <c r="I26" i="36"/>
  <c r="AE16" i="31"/>
  <c r="C90" i="36"/>
  <c r="AE24" i="31"/>
  <c r="D122" i="36"/>
  <c r="AE32" i="31"/>
  <c r="E154" i="36"/>
  <c r="AE40" i="31"/>
  <c r="F186" i="36"/>
  <c r="CE89" i="24"/>
  <c r="CF2" i="28"/>
  <c r="D5" i="7"/>
  <c r="F420" i="24"/>
  <c r="I612" i="24"/>
  <c r="H47" i="15"/>
  <c r="I47" i="15" s="1"/>
  <c r="F47" i="15"/>
  <c r="C26" i="36"/>
  <c r="H52" i="15"/>
  <c r="I52" i="15" s="1"/>
  <c r="F41" i="15"/>
  <c r="F42" i="15"/>
  <c r="F43" i="15"/>
  <c r="F44" i="15"/>
  <c r="F45" i="15"/>
  <c r="F46" i="15"/>
  <c r="F54" i="15"/>
  <c r="C715" i="34"/>
  <c r="D615" i="34"/>
  <c r="C648" i="34"/>
  <c r="M716" i="34" s="1"/>
  <c r="D350" i="24" l="1"/>
  <c r="M79" i="31"/>
  <c r="C369" i="36"/>
  <c r="BW85" i="24"/>
  <c r="C87" i="15" s="1"/>
  <c r="G87" i="15" s="1"/>
  <c r="BO52" i="24"/>
  <c r="BO67" i="24" s="1"/>
  <c r="CC52" i="24"/>
  <c r="CC67" i="24" s="1"/>
  <c r="BU52" i="24"/>
  <c r="BU67" i="24" s="1"/>
  <c r="BP52" i="24"/>
  <c r="BP67" i="24" s="1"/>
  <c r="BH52" i="24"/>
  <c r="BH67" i="24" s="1"/>
  <c r="BH85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AP52" i="24"/>
  <c r="AP67" i="24" s="1"/>
  <c r="Z52" i="24"/>
  <c r="Z67" i="24" s="1"/>
  <c r="BG52" i="24"/>
  <c r="BG67" i="24" s="1"/>
  <c r="AY52" i="24"/>
  <c r="AY67" i="24" s="1"/>
  <c r="AY85" i="24" s="1"/>
  <c r="I213" i="36" s="1"/>
  <c r="AQ52" i="24"/>
  <c r="AQ67" i="24" s="1"/>
  <c r="AI52" i="24"/>
  <c r="AI67" i="24" s="1"/>
  <c r="AA52" i="24"/>
  <c r="AA67" i="24" s="1"/>
  <c r="S52" i="24"/>
  <c r="S67" i="24" s="1"/>
  <c r="K52" i="24"/>
  <c r="K67" i="24" s="1"/>
  <c r="K85" i="24" s="1"/>
  <c r="C52" i="24"/>
  <c r="AX52" i="24"/>
  <c r="AX67" i="24" s="1"/>
  <c r="J52" i="24"/>
  <c r="J67" i="24" s="1"/>
  <c r="CD52" i="24"/>
  <c r="BV52" i="24"/>
  <c r="BV67" i="24" s="1"/>
  <c r="BN52" i="24"/>
  <c r="BN67" i="24" s="1"/>
  <c r="BF52" i="24"/>
  <c r="BF67" i="24" s="1"/>
  <c r="BF85" i="24" s="1"/>
  <c r="AH52" i="24"/>
  <c r="AH67" i="24" s="1"/>
  <c r="AH85" i="24" s="1"/>
  <c r="F149" i="36" s="1"/>
  <c r="R52" i="24"/>
  <c r="R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Q85" i="24" s="1"/>
  <c r="I52" i="24"/>
  <c r="I67" i="24" s="1"/>
  <c r="BT52" i="24"/>
  <c r="BT67" i="24" s="1"/>
  <c r="BL52" i="24"/>
  <c r="BL67" i="24" s="1"/>
  <c r="BL85" i="24" s="1"/>
  <c r="H277" i="36" s="1"/>
  <c r="BD52" i="24"/>
  <c r="BD67" i="24" s="1"/>
  <c r="AV52" i="24"/>
  <c r="AV67" i="24" s="1"/>
  <c r="AN52" i="24"/>
  <c r="AN67" i="24" s="1"/>
  <c r="AF52" i="24"/>
  <c r="AF67" i="24" s="1"/>
  <c r="X52" i="24"/>
  <c r="X67" i="24" s="1"/>
  <c r="X85" i="24" s="1"/>
  <c r="P52" i="24"/>
  <c r="P67" i="24" s="1"/>
  <c r="H52" i="24"/>
  <c r="H67" i="24" s="1"/>
  <c r="BY52" i="24"/>
  <c r="BY67" i="24" s="1"/>
  <c r="BY85" i="24" s="1"/>
  <c r="G341" i="36" s="1"/>
  <c r="BI52" i="24"/>
  <c r="BI67" i="24" s="1"/>
  <c r="AK52" i="24"/>
  <c r="AK67" i="24" s="1"/>
  <c r="U52" i="24"/>
  <c r="U67" i="24" s="1"/>
  <c r="U85" i="24" s="1"/>
  <c r="C33" i="15" s="1"/>
  <c r="G33" i="15" s="1"/>
  <c r="E52" i="24"/>
  <c r="E67" i="24" s="1"/>
  <c r="BS52" i="24"/>
  <c r="BS67" i="24" s="1"/>
  <c r="BS85" i="24" s="1"/>
  <c r="H309" i="36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Q52" i="24"/>
  <c r="BQ67" i="24" s="1"/>
  <c r="BQ85" i="24" s="1"/>
  <c r="BA52" i="24"/>
  <c r="BA67" i="24" s="1"/>
  <c r="AS52" i="24"/>
  <c r="AS67" i="24" s="1"/>
  <c r="AS85" i="24" s="1"/>
  <c r="C710" i="24" s="1"/>
  <c r="AC52" i="24"/>
  <c r="AC67" i="24" s="1"/>
  <c r="M52" i="24"/>
  <c r="M67" i="24" s="1"/>
  <c r="BR52" i="24"/>
  <c r="BR67" i="24" s="1"/>
  <c r="BJ52" i="24"/>
  <c r="BJ67" i="24" s="1"/>
  <c r="BJ85" i="24" s="1"/>
  <c r="C74" i="15" s="1"/>
  <c r="G74" i="15" s="1"/>
  <c r="BB52" i="24"/>
  <c r="BB67" i="24" s="1"/>
  <c r="BB85" i="24" s="1"/>
  <c r="C66" i="15" s="1"/>
  <c r="G66" i="15" s="1"/>
  <c r="AT52" i="24"/>
  <c r="AT67" i="24" s="1"/>
  <c r="AL52" i="24"/>
  <c r="AL67" i="24" s="1"/>
  <c r="AD52" i="24"/>
  <c r="AD67" i="24" s="1"/>
  <c r="AD85" i="24" s="1"/>
  <c r="V52" i="24"/>
  <c r="V67" i="24" s="1"/>
  <c r="N52" i="24"/>
  <c r="N67" i="24" s="1"/>
  <c r="F52" i="24"/>
  <c r="F67" i="24" s="1"/>
  <c r="CA52" i="24"/>
  <c r="CA67" i="24" s="1"/>
  <c r="CA85" i="24" s="1"/>
  <c r="I341" i="36" s="1"/>
  <c r="BK85" i="24"/>
  <c r="C75" i="15" s="1"/>
  <c r="G75" i="15" s="1"/>
  <c r="BZ52" i="24"/>
  <c r="BZ67" i="24" s="1"/>
  <c r="BZ85" i="24" s="1"/>
  <c r="BX85" i="24"/>
  <c r="F341" i="36" s="1"/>
  <c r="W85" i="24"/>
  <c r="C35" i="15" s="1"/>
  <c r="G35" i="15" s="1"/>
  <c r="BX52" i="24"/>
  <c r="BX67" i="24" s="1"/>
  <c r="AR85" i="24"/>
  <c r="I181" i="36" s="1"/>
  <c r="AB85" i="24"/>
  <c r="C40" i="15" s="1"/>
  <c r="G40" i="15" s="1"/>
  <c r="G108" i="36"/>
  <c r="E12" i="36"/>
  <c r="F76" i="36"/>
  <c r="C236" i="36"/>
  <c r="I108" i="36"/>
  <c r="I76" i="36"/>
  <c r="D108" i="36"/>
  <c r="H22" i="31"/>
  <c r="H29" i="31"/>
  <c r="H24" i="31"/>
  <c r="H332" i="36"/>
  <c r="G76" i="36"/>
  <c r="H2" i="31"/>
  <c r="C12" i="36"/>
  <c r="D76" i="36"/>
  <c r="G204" i="36"/>
  <c r="BA85" i="24"/>
  <c r="D245" i="36" s="1"/>
  <c r="D236" i="36"/>
  <c r="H72" i="31"/>
  <c r="E140" i="36"/>
  <c r="E172" i="36"/>
  <c r="AG85" i="24"/>
  <c r="E149" i="36" s="1"/>
  <c r="D44" i="36"/>
  <c r="BU85" i="24"/>
  <c r="C85" i="15" s="1"/>
  <c r="G85" i="15" s="1"/>
  <c r="F140" i="36"/>
  <c r="E300" i="36"/>
  <c r="D140" i="36"/>
  <c r="H69" i="31"/>
  <c r="F204" i="36"/>
  <c r="BM85" i="24"/>
  <c r="C204" i="36"/>
  <c r="I268" i="36"/>
  <c r="H26" i="31"/>
  <c r="AA85" i="24"/>
  <c r="F117" i="36" s="1"/>
  <c r="AQ85" i="24"/>
  <c r="C708" i="24" s="1"/>
  <c r="F172" i="36"/>
  <c r="I236" i="36"/>
  <c r="H53" i="31"/>
  <c r="H57" i="31"/>
  <c r="AL85" i="24"/>
  <c r="C181" i="36" s="1"/>
  <c r="AX85" i="24"/>
  <c r="H213" i="36" s="1"/>
  <c r="D268" i="36"/>
  <c r="AM85" i="24"/>
  <c r="D181" i="36" s="1"/>
  <c r="D172" i="36"/>
  <c r="E204" i="36"/>
  <c r="D204" i="36"/>
  <c r="I140" i="36"/>
  <c r="F332" i="36"/>
  <c r="H43" i="31"/>
  <c r="H50" i="31"/>
  <c r="H70" i="31"/>
  <c r="H204" i="36"/>
  <c r="BO85" i="24"/>
  <c r="C79" i="15" s="1"/>
  <c r="G79" i="15" s="1"/>
  <c r="F300" i="36"/>
  <c r="D300" i="36"/>
  <c r="H172" i="36"/>
  <c r="AZ85" i="24"/>
  <c r="C245" i="36" s="1"/>
  <c r="D332" i="36"/>
  <c r="H59" i="31"/>
  <c r="H63" i="31"/>
  <c r="BD85" i="24"/>
  <c r="G245" i="36" s="1"/>
  <c r="CB85" i="24"/>
  <c r="C373" i="36" s="1"/>
  <c r="G236" i="36"/>
  <c r="H75" i="31"/>
  <c r="H77" i="31"/>
  <c r="BN85" i="24"/>
  <c r="C309" i="36" s="1"/>
  <c r="C300" i="36"/>
  <c r="F268" i="36"/>
  <c r="H74" i="31"/>
  <c r="H68" i="31"/>
  <c r="BR85" i="24"/>
  <c r="G309" i="36" s="1"/>
  <c r="BI85" i="24"/>
  <c r="C73" i="15" s="1"/>
  <c r="G73" i="15" s="1"/>
  <c r="D364" i="36"/>
  <c r="CC85" i="24"/>
  <c r="D373" i="36" s="1"/>
  <c r="I332" i="36"/>
  <c r="C364" i="36"/>
  <c r="CE62" i="24"/>
  <c r="I364" i="36" s="1"/>
  <c r="CE48" i="24"/>
  <c r="E332" i="36"/>
  <c r="E373" i="36"/>
  <c r="C94" i="15"/>
  <c r="G94" i="15" s="1"/>
  <c r="I378" i="36"/>
  <c r="K612" i="24"/>
  <c r="F16" i="6"/>
  <c r="F234" i="24"/>
  <c r="D26" i="35"/>
  <c r="C167" i="8"/>
  <c r="E414" i="24"/>
  <c r="I85" i="36"/>
  <c r="C688" i="24"/>
  <c r="C121" i="8"/>
  <c r="D384" i="24"/>
  <c r="C635" i="24"/>
  <c r="C50" i="8"/>
  <c r="F309" i="24"/>
  <c r="D352" i="24"/>
  <c r="C103" i="8" s="1"/>
  <c r="E341" i="36"/>
  <c r="D708" i="34"/>
  <c r="D700" i="34"/>
  <c r="D692" i="34"/>
  <c r="D684" i="34"/>
  <c r="D710" i="34"/>
  <c r="D702" i="34"/>
  <c r="D694" i="34"/>
  <c r="D686" i="34"/>
  <c r="D712" i="34"/>
  <c r="D696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711" i="34"/>
  <c r="D695" i="34"/>
  <c r="D709" i="34"/>
  <c r="D707" i="34"/>
  <c r="D693" i="34"/>
  <c r="D691" i="34"/>
  <c r="D706" i="34"/>
  <c r="D705" i="34"/>
  <c r="D690" i="34"/>
  <c r="D689" i="34"/>
  <c r="D704" i="34"/>
  <c r="D688" i="34"/>
  <c r="D716" i="34"/>
  <c r="D698" i="34"/>
  <c r="D674" i="34"/>
  <c r="D631" i="34"/>
  <c r="D630" i="34"/>
  <c r="D624" i="34"/>
  <c r="D678" i="34"/>
  <c r="D669" i="34"/>
  <c r="D620" i="34"/>
  <c r="D616" i="34"/>
  <c r="D673" i="34"/>
  <c r="D627" i="34"/>
  <c r="D685" i="34"/>
  <c r="D677" i="34"/>
  <c r="D672" i="34"/>
  <c r="D668" i="34"/>
  <c r="D623" i="34"/>
  <c r="D619" i="34"/>
  <c r="D699" i="34"/>
  <c r="D697" i="34"/>
  <c r="D647" i="34"/>
  <c r="D646" i="34"/>
  <c r="D645" i="34"/>
  <c r="D625" i="34"/>
  <c r="D701" i="34"/>
  <c r="D687" i="34"/>
  <c r="D682" i="34"/>
  <c r="D683" i="34"/>
  <c r="D629" i="34"/>
  <c r="D670" i="34"/>
  <c r="D628" i="34"/>
  <c r="D713" i="34"/>
  <c r="D679" i="34"/>
  <c r="D618" i="34"/>
  <c r="D681" i="34"/>
  <c r="D703" i="34"/>
  <c r="D617" i="34"/>
  <c r="D622" i="34"/>
  <c r="D676" i="34"/>
  <c r="D671" i="34"/>
  <c r="D680" i="34"/>
  <c r="D626" i="34"/>
  <c r="D621" i="34"/>
  <c r="C77" i="15"/>
  <c r="G77" i="15" s="1"/>
  <c r="I277" i="36"/>
  <c r="C638" i="24"/>
  <c r="D277" i="36" l="1"/>
  <c r="C72" i="15"/>
  <c r="G72" i="15" s="1"/>
  <c r="D53" i="36"/>
  <c r="C676" i="24"/>
  <c r="C682" i="24"/>
  <c r="C29" i="15"/>
  <c r="G29" i="15" s="1"/>
  <c r="C117" i="36"/>
  <c r="C689" i="24"/>
  <c r="C695" i="24"/>
  <c r="I117" i="36"/>
  <c r="C42" i="15"/>
  <c r="G42" i="15" s="1"/>
  <c r="C55" i="15"/>
  <c r="G55" i="15" s="1"/>
  <c r="C213" i="36"/>
  <c r="C56" i="15"/>
  <c r="G56" i="15" s="1"/>
  <c r="C693" i="24"/>
  <c r="C36" i="15"/>
  <c r="G36" i="15" s="1"/>
  <c r="C643" i="24"/>
  <c r="G117" i="36"/>
  <c r="C88" i="15"/>
  <c r="G88" i="15" s="1"/>
  <c r="C629" i="24"/>
  <c r="I245" i="36"/>
  <c r="C70" i="15"/>
  <c r="G70" i="15" s="1"/>
  <c r="H341" i="36"/>
  <c r="C90" i="15"/>
  <c r="G90" i="15" s="1"/>
  <c r="C646" i="24"/>
  <c r="F309" i="36"/>
  <c r="C81" i="15"/>
  <c r="G81" i="15" s="1"/>
  <c r="C623" i="24"/>
  <c r="M13" i="31"/>
  <c r="G49" i="36"/>
  <c r="N85" i="24"/>
  <c r="M12" i="31"/>
  <c r="F49" i="36"/>
  <c r="M85" i="24"/>
  <c r="M30" i="31"/>
  <c r="C145" i="36"/>
  <c r="M36" i="31"/>
  <c r="I145" i="36"/>
  <c r="M47" i="31"/>
  <c r="F209" i="36"/>
  <c r="M40" i="31"/>
  <c r="F177" i="36"/>
  <c r="M73" i="31"/>
  <c r="D337" i="36"/>
  <c r="AI85" i="24"/>
  <c r="M34" i="31"/>
  <c r="G145" i="36"/>
  <c r="M19" i="31"/>
  <c r="F81" i="36"/>
  <c r="M72" i="31"/>
  <c r="C337" i="36"/>
  <c r="G277" i="36"/>
  <c r="AE85" i="24"/>
  <c r="V85" i="24"/>
  <c r="M21" i="31"/>
  <c r="H81" i="36"/>
  <c r="H113" i="36"/>
  <c r="M28" i="31"/>
  <c r="AC85" i="24"/>
  <c r="M38" i="31"/>
  <c r="D177" i="36"/>
  <c r="M60" i="31"/>
  <c r="E273" i="36"/>
  <c r="M55" i="31"/>
  <c r="G241" i="36"/>
  <c r="M48" i="31"/>
  <c r="G209" i="36"/>
  <c r="AW85" i="24"/>
  <c r="H177" i="36"/>
  <c r="M42" i="31"/>
  <c r="M27" i="31"/>
  <c r="G113" i="36"/>
  <c r="AU85" i="24"/>
  <c r="M46" i="31"/>
  <c r="E209" i="36"/>
  <c r="M35" i="31"/>
  <c r="H145" i="36"/>
  <c r="AK85" i="24"/>
  <c r="C49" i="15" s="1"/>
  <c r="G49" i="15" s="1"/>
  <c r="AO85" i="24"/>
  <c r="F181" i="36" s="1"/>
  <c r="M29" i="31"/>
  <c r="I113" i="36"/>
  <c r="M44" i="31"/>
  <c r="C209" i="36"/>
  <c r="M76" i="31"/>
  <c r="G337" i="36"/>
  <c r="M63" i="31"/>
  <c r="H273" i="36"/>
  <c r="M56" i="31"/>
  <c r="H241" i="36"/>
  <c r="C49" i="36"/>
  <c r="M9" i="31"/>
  <c r="J85" i="24"/>
  <c r="M50" i="31"/>
  <c r="I209" i="36"/>
  <c r="D369" i="36"/>
  <c r="M80" i="31"/>
  <c r="C636" i="24"/>
  <c r="C57" i="15"/>
  <c r="G57" i="15" s="1"/>
  <c r="AJ85" i="24"/>
  <c r="M77" i="31"/>
  <c r="H337" i="36"/>
  <c r="C177" i="36"/>
  <c r="M37" i="31"/>
  <c r="M52" i="31"/>
  <c r="D241" i="36"/>
  <c r="F241" i="36"/>
  <c r="BC85" i="24"/>
  <c r="M54" i="31"/>
  <c r="H17" i="36"/>
  <c r="H85" i="24"/>
  <c r="M7" i="31"/>
  <c r="I305" i="36"/>
  <c r="BT85" i="24"/>
  <c r="M71" i="31"/>
  <c r="I273" i="36"/>
  <c r="M64" i="31"/>
  <c r="M49" i="31"/>
  <c r="H209" i="36"/>
  <c r="M58" i="31"/>
  <c r="C273" i="36"/>
  <c r="BG85" i="24"/>
  <c r="I177" i="36"/>
  <c r="M43" i="31"/>
  <c r="M66" i="31"/>
  <c r="D305" i="36"/>
  <c r="M62" i="31"/>
  <c r="G273" i="36"/>
  <c r="M15" i="31"/>
  <c r="P85" i="24"/>
  <c r="I49" i="36"/>
  <c r="I85" i="24"/>
  <c r="M8" i="31"/>
  <c r="I17" i="36"/>
  <c r="R85" i="24"/>
  <c r="M17" i="31"/>
  <c r="D81" i="36"/>
  <c r="C67" i="24"/>
  <c r="CE52" i="24"/>
  <c r="E113" i="36"/>
  <c r="Z85" i="24"/>
  <c r="M25" i="31"/>
  <c r="M51" i="31"/>
  <c r="C241" i="36"/>
  <c r="M45" i="31"/>
  <c r="D209" i="36"/>
  <c r="M68" i="31"/>
  <c r="F305" i="36"/>
  <c r="C709" i="24"/>
  <c r="C644" i="24"/>
  <c r="AV85" i="24"/>
  <c r="C713" i="24" s="1"/>
  <c r="F337" i="36"/>
  <c r="M75" i="31"/>
  <c r="M78" i="31"/>
  <c r="I337" i="36"/>
  <c r="M53" i="31"/>
  <c r="E241" i="36"/>
  <c r="G85" i="24"/>
  <c r="M6" i="31"/>
  <c r="G17" i="36"/>
  <c r="M70" i="31"/>
  <c r="H305" i="36"/>
  <c r="M23" i="31"/>
  <c r="C113" i="36"/>
  <c r="M16" i="31"/>
  <c r="C81" i="36"/>
  <c r="M33" i="31"/>
  <c r="F145" i="36"/>
  <c r="D49" i="36"/>
  <c r="M10" i="31"/>
  <c r="AP85" i="24"/>
  <c r="M41" i="31"/>
  <c r="G177" i="36"/>
  <c r="M59" i="31"/>
  <c r="D273" i="36"/>
  <c r="AT85" i="24"/>
  <c r="C711" i="24" s="1"/>
  <c r="M61" i="31"/>
  <c r="F273" i="36"/>
  <c r="BP85" i="24"/>
  <c r="M67" i="31"/>
  <c r="E305" i="36"/>
  <c r="O85" i="24"/>
  <c r="M14" i="31"/>
  <c r="H49" i="36"/>
  <c r="E85" i="24"/>
  <c r="M4" i="31"/>
  <c r="E17" i="36"/>
  <c r="AF85" i="24"/>
  <c r="M31" i="31"/>
  <c r="D145" i="36"/>
  <c r="M24" i="31"/>
  <c r="D113" i="36"/>
  <c r="M57" i="31"/>
  <c r="I241" i="36"/>
  <c r="M18" i="31"/>
  <c r="E81" i="36"/>
  <c r="S85" i="24"/>
  <c r="M3" i="31"/>
  <c r="D17" i="36"/>
  <c r="D85" i="24"/>
  <c r="H181" i="36"/>
  <c r="C639" i="24"/>
  <c r="BV85" i="24"/>
  <c r="D341" i="36" s="1"/>
  <c r="T85" i="24"/>
  <c r="Y85" i="24"/>
  <c r="F17" i="36"/>
  <c r="F85" i="24"/>
  <c r="M5" i="31"/>
  <c r="G305" i="36"/>
  <c r="M69" i="31"/>
  <c r="I81" i="36"/>
  <c r="M22" i="31"/>
  <c r="M20" i="31"/>
  <c r="G81" i="36"/>
  <c r="AN85" i="24"/>
  <c r="M39" i="31"/>
  <c r="E177" i="36"/>
  <c r="M32" i="31"/>
  <c r="E145" i="36"/>
  <c r="M65" i="31"/>
  <c r="C305" i="36"/>
  <c r="M26" i="31"/>
  <c r="F113" i="36"/>
  <c r="L85" i="24"/>
  <c r="M11" i="31"/>
  <c r="E49" i="36"/>
  <c r="BE85" i="24"/>
  <c r="C32" i="15"/>
  <c r="G32" i="15" s="1"/>
  <c r="C85" i="36"/>
  <c r="C645" i="24"/>
  <c r="C89" i="15"/>
  <c r="G89" i="15" s="1"/>
  <c r="C83" i="15"/>
  <c r="G83" i="15" s="1"/>
  <c r="C698" i="24"/>
  <c r="C51" i="15"/>
  <c r="G51" i="15" s="1"/>
  <c r="C45" i="15"/>
  <c r="G45" i="15" s="1"/>
  <c r="C632" i="24"/>
  <c r="G85" i="36"/>
  <c r="C686" i="24"/>
  <c r="C703" i="24"/>
  <c r="C50" i="15"/>
  <c r="G50" i="15" s="1"/>
  <c r="C616" i="24"/>
  <c r="C62" i="15"/>
  <c r="C704" i="24"/>
  <c r="C641" i="24"/>
  <c r="C625" i="24"/>
  <c r="C341" i="36"/>
  <c r="C63" i="15"/>
  <c r="C637" i="24"/>
  <c r="C702" i="24"/>
  <c r="C23" i="15"/>
  <c r="G23" i="15" s="1"/>
  <c r="C692" i="24"/>
  <c r="C46" i="15"/>
  <c r="G46" i="15" s="1"/>
  <c r="C699" i="24"/>
  <c r="C39" i="15"/>
  <c r="G39" i="15" s="1"/>
  <c r="C630" i="24"/>
  <c r="C65" i="15"/>
  <c r="G65" i="15" s="1"/>
  <c r="C622" i="24"/>
  <c r="C92" i="15"/>
  <c r="G92" i="15" s="1"/>
  <c r="E245" i="36"/>
  <c r="C64" i="15"/>
  <c r="G64" i="15" s="1"/>
  <c r="F277" i="36"/>
  <c r="C627" i="24"/>
  <c r="C76" i="15"/>
  <c r="G76" i="15" s="1"/>
  <c r="C642" i="24"/>
  <c r="D309" i="36"/>
  <c r="C620" i="24"/>
  <c r="C86" i="15"/>
  <c r="G86" i="15" s="1"/>
  <c r="C628" i="24"/>
  <c r="C619" i="24"/>
  <c r="C93" i="15"/>
  <c r="G93" i="15" s="1"/>
  <c r="I149" i="36"/>
  <c r="C78" i="15"/>
  <c r="G78" i="15" s="1"/>
  <c r="C617" i="24"/>
  <c r="C624" i="24"/>
  <c r="C68" i="15"/>
  <c r="G68" i="15" s="1"/>
  <c r="E277" i="36"/>
  <c r="C626" i="24"/>
  <c r="C82" i="15"/>
  <c r="G82" i="15" s="1"/>
  <c r="C634" i="24"/>
  <c r="C647" i="24"/>
  <c r="C91" i="15"/>
  <c r="G91" i="15" s="1"/>
  <c r="E612" i="34"/>
  <c r="C138" i="8"/>
  <c r="D417" i="24"/>
  <c r="D715" i="34"/>
  <c r="E623" i="34"/>
  <c r="D213" i="36" l="1"/>
  <c r="C60" i="15"/>
  <c r="C58" i="15"/>
  <c r="G58" i="15" s="1"/>
  <c r="F85" i="36"/>
  <c r="C685" i="24"/>
  <c r="H245" i="36"/>
  <c r="C69" i="15"/>
  <c r="G69" i="15" s="1"/>
  <c r="H69" i="15" s="1"/>
  <c r="C614" i="24"/>
  <c r="D615" i="24" s="1"/>
  <c r="D710" i="24" s="1"/>
  <c r="M710" i="24" s="1"/>
  <c r="C215" i="36" s="1"/>
  <c r="E309" i="36"/>
  <c r="C621" i="24"/>
  <c r="C80" i="15"/>
  <c r="G80" i="15" s="1"/>
  <c r="G181" i="36"/>
  <c r="C707" i="24"/>
  <c r="C54" i="15"/>
  <c r="G54" i="15" s="1"/>
  <c r="C678" i="24"/>
  <c r="F53" i="36"/>
  <c r="C25" i="15"/>
  <c r="G25" i="15" s="1"/>
  <c r="C48" i="15"/>
  <c r="G48" i="15" s="1"/>
  <c r="C701" i="24"/>
  <c r="H149" i="36"/>
  <c r="G63" i="15"/>
  <c r="H63" i="15"/>
  <c r="M2" i="31"/>
  <c r="C17" i="36"/>
  <c r="CE67" i="24"/>
  <c r="I369" i="36" s="1"/>
  <c r="C85" i="24"/>
  <c r="I53" i="36"/>
  <c r="C28" i="15"/>
  <c r="G28" i="15" s="1"/>
  <c r="C681" i="24"/>
  <c r="C71" i="15"/>
  <c r="G71" i="15" s="1"/>
  <c r="C277" i="36"/>
  <c r="C618" i="24"/>
  <c r="C84" i="15"/>
  <c r="G84" i="15" s="1"/>
  <c r="C640" i="24"/>
  <c r="I309" i="36"/>
  <c r="E213" i="36"/>
  <c r="C59" i="15"/>
  <c r="G59" i="15" s="1"/>
  <c r="H59" i="15" s="1"/>
  <c r="I59" i="15" s="1"/>
  <c r="C712" i="24"/>
  <c r="C697" i="24"/>
  <c r="C44" i="15"/>
  <c r="D149" i="36"/>
  <c r="C670" i="24"/>
  <c r="E21" i="36"/>
  <c r="C17" i="15"/>
  <c r="G17" i="15" s="1"/>
  <c r="I21" i="36"/>
  <c r="C21" i="15"/>
  <c r="G21" i="15" s="1"/>
  <c r="C674" i="24"/>
  <c r="F213" i="36"/>
  <c r="C677" i="24"/>
  <c r="C24" i="15"/>
  <c r="G24" i="15" s="1"/>
  <c r="E53" i="36"/>
  <c r="C16" i="15"/>
  <c r="G16" i="15" s="1"/>
  <c r="D21" i="36"/>
  <c r="C669" i="24"/>
  <c r="C706" i="24"/>
  <c r="C53" i="15"/>
  <c r="G53" i="15" s="1"/>
  <c r="G53" i="36"/>
  <c r="C26" i="15"/>
  <c r="G26" i="15" s="1"/>
  <c r="C679" i="24"/>
  <c r="C52" i="15"/>
  <c r="G52" i="15" s="1"/>
  <c r="E181" i="36"/>
  <c r="C705" i="24"/>
  <c r="C18" i="15"/>
  <c r="G18" i="15" s="1"/>
  <c r="F21" i="36"/>
  <c r="C671" i="24"/>
  <c r="D85" i="36"/>
  <c r="C30" i="15"/>
  <c r="G30" i="15" s="1"/>
  <c r="C683" i="24"/>
  <c r="C20" i="15"/>
  <c r="G20" i="15" s="1"/>
  <c r="H20" i="15" s="1"/>
  <c r="I20" i="15" s="1"/>
  <c r="H21" i="36"/>
  <c r="C673" i="24"/>
  <c r="C34" i="15"/>
  <c r="G34" i="15" s="1"/>
  <c r="H85" i="36"/>
  <c r="C687" i="24"/>
  <c r="C67" i="15"/>
  <c r="G67" i="15" s="1"/>
  <c r="F245" i="36"/>
  <c r="C633" i="24"/>
  <c r="C27" i="15"/>
  <c r="G27" i="15" s="1"/>
  <c r="C680" i="24"/>
  <c r="H53" i="36"/>
  <c r="G21" i="36"/>
  <c r="C19" i="15"/>
  <c r="G19" i="15" s="1"/>
  <c r="C672" i="24"/>
  <c r="C149" i="36"/>
  <c r="C696" i="24"/>
  <c r="C43" i="15"/>
  <c r="G43" i="15" s="1"/>
  <c r="G149" i="36"/>
  <c r="C47" i="15"/>
  <c r="G47" i="15" s="1"/>
  <c r="C700" i="24"/>
  <c r="H117" i="36"/>
  <c r="C694" i="24"/>
  <c r="C41" i="15"/>
  <c r="G41" i="15" s="1"/>
  <c r="C37" i="15"/>
  <c r="G37" i="15" s="1"/>
  <c r="C690" i="24"/>
  <c r="D117" i="36"/>
  <c r="E85" i="36"/>
  <c r="C31" i="15"/>
  <c r="G31" i="15" s="1"/>
  <c r="C684" i="24"/>
  <c r="E117" i="36"/>
  <c r="C38" i="15"/>
  <c r="G38" i="15" s="1"/>
  <c r="C691" i="24"/>
  <c r="C53" i="36"/>
  <c r="C22" i="15"/>
  <c r="G22" i="15" s="1"/>
  <c r="C675" i="24"/>
  <c r="G213" i="36"/>
  <c r="C61" i="15"/>
  <c r="C631" i="24"/>
  <c r="H51" i="15"/>
  <c r="I51" i="15" s="1"/>
  <c r="D694" i="24"/>
  <c r="M694" i="24" s="1"/>
  <c r="H119" i="36" s="1"/>
  <c r="D701" i="24"/>
  <c r="M701" i="24" s="1"/>
  <c r="H151" i="36" s="1"/>
  <c r="D693" i="24"/>
  <c r="M693" i="24" s="1"/>
  <c r="D672" i="24"/>
  <c r="M672" i="24" s="1"/>
  <c r="G23" i="36" s="1"/>
  <c r="D620" i="24"/>
  <c r="D687" i="24"/>
  <c r="M687" i="24" s="1"/>
  <c r="H87" i="36" s="1"/>
  <c r="D619" i="24"/>
  <c r="D678" i="24"/>
  <c r="M678" i="24" s="1"/>
  <c r="D670" i="24"/>
  <c r="M670" i="24" s="1"/>
  <c r="E23" i="36" s="1"/>
  <c r="D636" i="24"/>
  <c r="D641" i="24"/>
  <c r="D643" i="24"/>
  <c r="D635" i="24"/>
  <c r="D642" i="24"/>
  <c r="D634" i="24"/>
  <c r="E713" i="34"/>
  <c r="E705" i="34"/>
  <c r="E697" i="34"/>
  <c r="E689" i="34"/>
  <c r="E681" i="34"/>
  <c r="E716" i="34"/>
  <c r="E707" i="34"/>
  <c r="E699" i="34"/>
  <c r="E691" i="34"/>
  <c r="E683" i="34"/>
  <c r="E711" i="34"/>
  <c r="E695" i="34"/>
  <c r="E680" i="34"/>
  <c r="E672" i="34"/>
  <c r="E710" i="34"/>
  <c r="E709" i="34"/>
  <c r="E694" i="34"/>
  <c r="E693" i="34"/>
  <c r="E708" i="34"/>
  <c r="E706" i="34"/>
  <c r="E692" i="34"/>
  <c r="E690" i="34"/>
  <c r="E704" i="34"/>
  <c r="E688" i="34"/>
  <c r="E703" i="34"/>
  <c r="E687" i="34"/>
  <c r="E696" i="34"/>
  <c r="E678" i="34"/>
  <c r="E669" i="34"/>
  <c r="E640" i="34"/>
  <c r="E632" i="34"/>
  <c r="E700" i="34"/>
  <c r="E684" i="34"/>
  <c r="E673" i="34"/>
  <c r="E641" i="34"/>
  <c r="E633" i="34"/>
  <c r="E627" i="34"/>
  <c r="E702" i="34"/>
  <c r="E685" i="34"/>
  <c r="E677" i="34"/>
  <c r="E668" i="34"/>
  <c r="E642" i="34"/>
  <c r="E634" i="34"/>
  <c r="E712" i="34"/>
  <c r="E647" i="34"/>
  <c r="E646" i="34"/>
  <c r="E645" i="34"/>
  <c r="E643" i="34"/>
  <c r="E635" i="34"/>
  <c r="E625" i="34"/>
  <c r="E686" i="34"/>
  <c r="E676" i="34"/>
  <c r="E671" i="34"/>
  <c r="E644" i="34"/>
  <c r="E636" i="34"/>
  <c r="E628" i="34"/>
  <c r="E679" i="34"/>
  <c r="E675" i="34"/>
  <c r="E670" i="34"/>
  <c r="E638" i="34"/>
  <c r="E629" i="34"/>
  <c r="E626" i="34"/>
  <c r="E701" i="34"/>
  <c r="E682" i="34"/>
  <c r="E637" i="34"/>
  <c r="E631" i="34"/>
  <c r="E624" i="34"/>
  <c r="E674" i="34"/>
  <c r="E698" i="34"/>
  <c r="E639" i="34"/>
  <c r="E630" i="34"/>
  <c r="C168" i="8"/>
  <c r="D421" i="24"/>
  <c r="D622" i="24" l="1"/>
  <c r="D697" i="24"/>
  <c r="M697" i="24" s="1"/>
  <c r="D151" i="36" s="1"/>
  <c r="D683" i="24"/>
  <c r="M683" i="24" s="1"/>
  <c r="D87" i="36" s="1"/>
  <c r="D680" i="24"/>
  <c r="M680" i="24" s="1"/>
  <c r="H55" i="36" s="1"/>
  <c r="D631" i="24"/>
  <c r="D632" i="24"/>
  <c r="D675" i="24"/>
  <c r="M675" i="24" s="1"/>
  <c r="C55" i="36" s="1"/>
  <c r="D617" i="24"/>
  <c r="D699" i="24"/>
  <c r="M699" i="24" s="1"/>
  <c r="F151" i="36" s="1"/>
  <c r="D627" i="24"/>
  <c r="D691" i="24"/>
  <c r="M691" i="24" s="1"/>
  <c r="D704" i="24"/>
  <c r="M704" i="24" s="1"/>
  <c r="D183" i="36" s="1"/>
  <c r="D689" i="24"/>
  <c r="M689" i="24" s="1"/>
  <c r="C119" i="36" s="1"/>
  <c r="D644" i="24"/>
  <c r="D695" i="24"/>
  <c r="M695" i="24" s="1"/>
  <c r="I119" i="36" s="1"/>
  <c r="D709" i="24"/>
  <c r="M709" i="24" s="1"/>
  <c r="I183" i="36" s="1"/>
  <c r="D639" i="24"/>
  <c r="D640" i="24"/>
  <c r="D618" i="24"/>
  <c r="D621" i="24"/>
  <c r="D706" i="24"/>
  <c r="M706" i="24" s="1"/>
  <c r="F183" i="36" s="1"/>
  <c r="D669" i="24"/>
  <c r="M669" i="24" s="1"/>
  <c r="D23" i="36" s="1"/>
  <c r="D711" i="24"/>
  <c r="M711" i="24" s="1"/>
  <c r="D215" i="36" s="1"/>
  <c r="D712" i="24"/>
  <c r="M712" i="24" s="1"/>
  <c r="E215" i="36" s="1"/>
  <c r="D684" i="24"/>
  <c r="M684" i="24" s="1"/>
  <c r="E87" i="36" s="1"/>
  <c r="D630" i="24"/>
  <c r="J630" i="24" s="1"/>
  <c r="D645" i="24"/>
  <c r="L647" i="24" s="1"/>
  <c r="L710" i="24" s="1"/>
  <c r="D625" i="24"/>
  <c r="G625" i="24" s="1"/>
  <c r="D677" i="24"/>
  <c r="M677" i="24" s="1"/>
  <c r="D700" i="24"/>
  <c r="M700" i="24" s="1"/>
  <c r="G151" i="36" s="1"/>
  <c r="D707" i="24"/>
  <c r="M707" i="24" s="1"/>
  <c r="G183" i="36" s="1"/>
  <c r="D690" i="24"/>
  <c r="M690" i="24" s="1"/>
  <c r="D119" i="36" s="1"/>
  <c r="D646" i="24"/>
  <c r="D698" i="24"/>
  <c r="M698" i="24" s="1"/>
  <c r="E151" i="36" s="1"/>
  <c r="D716" i="24"/>
  <c r="D681" i="24"/>
  <c r="M681" i="24" s="1"/>
  <c r="I55" i="36" s="1"/>
  <c r="D624" i="24"/>
  <c r="D638" i="24"/>
  <c r="D671" i="24"/>
  <c r="M671" i="24" s="1"/>
  <c r="F23" i="36" s="1"/>
  <c r="D708" i="24"/>
  <c r="M708" i="24" s="1"/>
  <c r="H183" i="36" s="1"/>
  <c r="D628" i="24"/>
  <c r="D637" i="24"/>
  <c r="D633" i="24"/>
  <c r="D647" i="24"/>
  <c r="D679" i="24"/>
  <c r="M679" i="24" s="1"/>
  <c r="D616" i="24"/>
  <c r="D685" i="24"/>
  <c r="M685" i="24" s="1"/>
  <c r="F87" i="36" s="1"/>
  <c r="D686" i="24"/>
  <c r="M686" i="24" s="1"/>
  <c r="G87" i="36" s="1"/>
  <c r="D668" i="24"/>
  <c r="M668" i="24" s="1"/>
  <c r="D626" i="24"/>
  <c r="H628" i="24" s="1"/>
  <c r="D676" i="24"/>
  <c r="M676" i="24" s="1"/>
  <c r="D55" i="36" s="1"/>
  <c r="D623" i="24"/>
  <c r="D703" i="24"/>
  <c r="M703" i="24" s="1"/>
  <c r="C183" i="36" s="1"/>
  <c r="D713" i="24"/>
  <c r="M713" i="24" s="1"/>
  <c r="F215" i="36" s="1"/>
  <c r="D688" i="24"/>
  <c r="M688" i="24" s="1"/>
  <c r="I87" i="36" s="1"/>
  <c r="D702" i="24"/>
  <c r="M702" i="24" s="1"/>
  <c r="I151" i="36" s="1"/>
  <c r="D673" i="24"/>
  <c r="M673" i="24" s="1"/>
  <c r="H23" i="36" s="1"/>
  <c r="D629" i="24"/>
  <c r="I629" i="24" s="1"/>
  <c r="D682" i="24"/>
  <c r="M682" i="24" s="1"/>
  <c r="C87" i="36" s="1"/>
  <c r="D674" i="24"/>
  <c r="M674" i="24" s="1"/>
  <c r="I23" i="36" s="1"/>
  <c r="D705" i="24"/>
  <c r="M705" i="24" s="1"/>
  <c r="E183" i="36" s="1"/>
  <c r="D692" i="24"/>
  <c r="M692" i="24" s="1"/>
  <c r="F55" i="36" s="1"/>
  <c r="D696" i="24"/>
  <c r="M696" i="24" s="1"/>
  <c r="C151" i="36" s="1"/>
  <c r="C15" i="15"/>
  <c r="G15" i="15" s="1"/>
  <c r="C668" i="24"/>
  <c r="C715" i="24" s="1"/>
  <c r="C21" i="36"/>
  <c r="CE85" i="24"/>
  <c r="G44" i="15"/>
  <c r="H44" i="15"/>
  <c r="I44" i="15" s="1"/>
  <c r="K644" i="24"/>
  <c r="K707" i="24" s="1"/>
  <c r="C648" i="24"/>
  <c r="M716" i="24" s="1"/>
  <c r="L686" i="24"/>
  <c r="L716" i="24"/>
  <c r="L712" i="24"/>
  <c r="L704" i="24"/>
  <c r="L688" i="24"/>
  <c r="L701" i="24"/>
  <c r="L693" i="24"/>
  <c r="L685" i="24"/>
  <c r="L708" i="24"/>
  <c r="L700" i="24"/>
  <c r="L699" i="24"/>
  <c r="L689" i="24"/>
  <c r="L672" i="24"/>
  <c r="L706" i="24"/>
  <c r="L690" i="24"/>
  <c r="L683" i="24"/>
  <c r="L677" i="24"/>
  <c r="L669" i="24"/>
  <c r="L684" i="24"/>
  <c r="L697" i="24"/>
  <c r="L679" i="24"/>
  <c r="L671" i="24"/>
  <c r="L691" i="24"/>
  <c r="L676" i="24"/>
  <c r="L705" i="24"/>
  <c r="L703" i="24"/>
  <c r="L678" i="24"/>
  <c r="L670" i="24"/>
  <c r="L713" i="24"/>
  <c r="L698" i="24"/>
  <c r="L687" i="24"/>
  <c r="L673" i="24"/>
  <c r="L682" i="24"/>
  <c r="L711" i="24"/>
  <c r="L681" i="24"/>
  <c r="L675" i="24"/>
  <c r="L668" i="24"/>
  <c r="L715" i="24" s="1"/>
  <c r="D715" i="24"/>
  <c r="E623" i="24"/>
  <c r="C172" i="8"/>
  <c r="D424" i="24"/>
  <c r="C177" i="8" s="1"/>
  <c r="G55" i="36"/>
  <c r="G119" i="36"/>
  <c r="J708" i="24"/>
  <c r="J700" i="24"/>
  <c r="J692" i="24"/>
  <c r="J684" i="24"/>
  <c r="J713" i="24"/>
  <c r="J705" i="24"/>
  <c r="J710" i="24"/>
  <c r="J702" i="24"/>
  <c r="J694" i="24"/>
  <c r="J686" i="24"/>
  <c r="J716" i="24"/>
  <c r="J707" i="24"/>
  <c r="J699" i="24"/>
  <c r="J691" i="24"/>
  <c r="J683" i="24"/>
  <c r="J706" i="24"/>
  <c r="J698" i="24"/>
  <c r="J690" i="24"/>
  <c r="J678" i="24"/>
  <c r="J670" i="24"/>
  <c r="J647" i="24"/>
  <c r="J646" i="24"/>
  <c r="J645" i="24"/>
  <c r="J712" i="24"/>
  <c r="J696" i="24"/>
  <c r="J689" i="24"/>
  <c r="J682" i="24"/>
  <c r="J681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04" i="24"/>
  <c r="J693" i="24"/>
  <c r="J680" i="24"/>
  <c r="J672" i="24"/>
  <c r="J677" i="24"/>
  <c r="J669" i="24"/>
  <c r="J697" i="24"/>
  <c r="J685" i="24"/>
  <c r="J674" i="24"/>
  <c r="J711" i="24"/>
  <c r="J709" i="24"/>
  <c r="J676" i="24"/>
  <c r="J668" i="24"/>
  <c r="J679" i="24"/>
  <c r="J701" i="24"/>
  <c r="J687" i="24"/>
  <c r="J673" i="24"/>
  <c r="J695" i="24"/>
  <c r="J703" i="24"/>
  <c r="J671" i="24"/>
  <c r="J688" i="24"/>
  <c r="E55" i="36"/>
  <c r="E119" i="36"/>
  <c r="K716" i="24"/>
  <c r="E612" i="24"/>
  <c r="F624" i="24"/>
  <c r="E715" i="34"/>
  <c r="F624" i="34"/>
  <c r="C23" i="36"/>
  <c r="M715" i="24"/>
  <c r="H706" i="24"/>
  <c r="H698" i="24"/>
  <c r="H690" i="24"/>
  <c r="H682" i="24"/>
  <c r="H711" i="24"/>
  <c r="H703" i="24"/>
  <c r="H708" i="24"/>
  <c r="H700" i="24"/>
  <c r="H692" i="24"/>
  <c r="H684" i="24"/>
  <c r="H713" i="24"/>
  <c r="H705" i="24"/>
  <c r="H697" i="24"/>
  <c r="H689" i="24"/>
  <c r="H681" i="24"/>
  <c r="H712" i="24"/>
  <c r="H704" i="24"/>
  <c r="H696" i="24"/>
  <c r="H701" i="24"/>
  <c r="H695" i="24"/>
  <c r="H687" i="24"/>
  <c r="H676" i="24"/>
  <c r="H668" i="24"/>
  <c r="H688" i="24"/>
  <c r="H673" i="24"/>
  <c r="H710" i="24"/>
  <c r="H699" i="24"/>
  <c r="H678" i="24"/>
  <c r="H670" i="24"/>
  <c r="H647" i="24"/>
  <c r="H646" i="24"/>
  <c r="H645" i="24"/>
  <c r="H629" i="24"/>
  <c r="H702" i="24"/>
  <c r="H693" i="24"/>
  <c r="H683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80" i="24"/>
  <c r="H672" i="24"/>
  <c r="H716" i="24"/>
  <c r="H691" i="24"/>
  <c r="H686" i="24"/>
  <c r="H685" i="24"/>
  <c r="H674" i="24"/>
  <c r="H679" i="24"/>
  <c r="H709" i="24"/>
  <c r="H669" i="24"/>
  <c r="H694" i="24"/>
  <c r="H677" i="24"/>
  <c r="H707" i="24"/>
  <c r="H671" i="24"/>
  <c r="G709" i="24"/>
  <c r="G701" i="24"/>
  <c r="G693" i="24"/>
  <c r="G685" i="24"/>
  <c r="G706" i="24"/>
  <c r="G711" i="24"/>
  <c r="G703" i="24"/>
  <c r="G695" i="24"/>
  <c r="G687" i="24"/>
  <c r="G708" i="24"/>
  <c r="G700" i="24"/>
  <c r="G692" i="24"/>
  <c r="G684" i="24"/>
  <c r="G716" i="24"/>
  <c r="G707" i="24"/>
  <c r="G699" i="24"/>
  <c r="G691" i="24"/>
  <c r="G698" i="24"/>
  <c r="G679" i="24"/>
  <c r="G671" i="24"/>
  <c r="G676" i="24"/>
  <c r="G668" i="24"/>
  <c r="G628" i="24"/>
  <c r="G689" i="24"/>
  <c r="G688" i="24"/>
  <c r="G681" i="24"/>
  <c r="G673" i="24"/>
  <c r="G712" i="24"/>
  <c r="G710" i="24"/>
  <c r="G696" i="24"/>
  <c r="G682" i="24"/>
  <c r="G678" i="24"/>
  <c r="G670" i="24"/>
  <c r="G647" i="24"/>
  <c r="G646" i="24"/>
  <c r="G645" i="24"/>
  <c r="G629" i="24"/>
  <c r="G626" i="24"/>
  <c r="G704" i="24"/>
  <c r="G702" i="24"/>
  <c r="G690" i="24"/>
  <c r="G683" i="24"/>
  <c r="G675" i="24"/>
  <c r="G713" i="24"/>
  <c r="G694" i="24"/>
  <c r="G677" i="24"/>
  <c r="G669" i="24"/>
  <c r="G627" i="24"/>
  <c r="G638" i="24"/>
  <c r="G630" i="24"/>
  <c r="G631" i="24"/>
  <c r="G705" i="24"/>
  <c r="G643" i="24"/>
  <c r="G635" i="24"/>
  <c r="G697" i="24"/>
  <c r="G640" i="24"/>
  <c r="G632" i="24"/>
  <c r="G686" i="24"/>
  <c r="G637" i="24"/>
  <c r="G639" i="24"/>
  <c r="G672" i="24"/>
  <c r="G642" i="24"/>
  <c r="G634" i="24"/>
  <c r="G680" i="24"/>
  <c r="G644" i="24"/>
  <c r="G636" i="24"/>
  <c r="G674" i="24"/>
  <c r="G641" i="24"/>
  <c r="G633" i="24"/>
  <c r="I711" i="24"/>
  <c r="I703" i="24"/>
  <c r="I695" i="24"/>
  <c r="I687" i="24"/>
  <c r="I708" i="24"/>
  <c r="I713" i="24"/>
  <c r="I705" i="24"/>
  <c r="I697" i="24"/>
  <c r="I689" i="24"/>
  <c r="I681" i="24"/>
  <c r="I710" i="24"/>
  <c r="I702" i="24"/>
  <c r="I694" i="24"/>
  <c r="I686" i="24"/>
  <c r="I709" i="24"/>
  <c r="I701" i="24"/>
  <c r="I693" i="24"/>
  <c r="I692" i="24"/>
  <c r="I688" i="24"/>
  <c r="I673" i="24"/>
  <c r="I699" i="24"/>
  <c r="I678" i="24"/>
  <c r="I670" i="24"/>
  <c r="I647" i="24"/>
  <c r="I646" i="24"/>
  <c r="I645" i="24"/>
  <c r="I712" i="24"/>
  <c r="I696" i="24"/>
  <c r="I683" i="24"/>
  <c r="I682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06" i="24"/>
  <c r="I704" i="24"/>
  <c r="I690" i="24"/>
  <c r="I680" i="24"/>
  <c r="I672" i="24"/>
  <c r="I700" i="24"/>
  <c r="I684" i="24"/>
  <c r="I677" i="24"/>
  <c r="I707" i="24"/>
  <c r="I679" i="24"/>
  <c r="I671" i="24"/>
  <c r="I698" i="24"/>
  <c r="I676" i="24"/>
  <c r="I668" i="24"/>
  <c r="I691" i="24"/>
  <c r="I685" i="24"/>
  <c r="I669" i="24"/>
  <c r="I716" i="24"/>
  <c r="I674" i="24"/>
  <c r="L707" i="24" l="1"/>
  <c r="L694" i="24"/>
  <c r="L695" i="24"/>
  <c r="L674" i="24"/>
  <c r="L680" i="24"/>
  <c r="L709" i="24"/>
  <c r="L702" i="24"/>
  <c r="L692" i="24"/>
  <c r="L696" i="24"/>
  <c r="F119" i="36"/>
  <c r="K709" i="24"/>
  <c r="K687" i="24"/>
  <c r="K685" i="24"/>
  <c r="K680" i="24"/>
  <c r="K688" i="24"/>
  <c r="K678" i="24"/>
  <c r="K698" i="24"/>
  <c r="K700" i="24"/>
  <c r="K693" i="24"/>
  <c r="K696" i="24"/>
  <c r="K702" i="24"/>
  <c r="K686" i="24"/>
  <c r="K701" i="24"/>
  <c r="K669" i="24"/>
  <c r="K675" i="24"/>
  <c r="K704" i="24"/>
  <c r="K710" i="24"/>
  <c r="K670" i="24"/>
  <c r="K671" i="24"/>
  <c r="K677" i="24"/>
  <c r="K681" i="24"/>
  <c r="K712" i="24"/>
  <c r="K689" i="24"/>
  <c r="C716" i="24"/>
  <c r="I373" i="36"/>
  <c r="K692" i="24"/>
  <c r="K679" i="24"/>
  <c r="K690" i="24"/>
  <c r="K682" i="24"/>
  <c r="K683" i="24"/>
  <c r="K697" i="24"/>
  <c r="K668" i="24"/>
  <c r="K715" i="24" s="1"/>
  <c r="K694" i="24"/>
  <c r="K706" i="24"/>
  <c r="K695" i="24"/>
  <c r="K691" i="24"/>
  <c r="K705" i="24"/>
  <c r="K676" i="24"/>
  <c r="K674" i="24"/>
  <c r="K708" i="24"/>
  <c r="K703" i="24"/>
  <c r="K699" i="24"/>
  <c r="K713" i="24"/>
  <c r="K673" i="24"/>
  <c r="K684" i="24"/>
  <c r="K672" i="24"/>
  <c r="K711" i="24"/>
  <c r="G715" i="24"/>
  <c r="I715" i="24"/>
  <c r="H715" i="24"/>
  <c r="F712" i="24"/>
  <c r="F704" i="24"/>
  <c r="F696" i="24"/>
  <c r="F688" i="24"/>
  <c r="F709" i="24"/>
  <c r="F701" i="24"/>
  <c r="F706" i="24"/>
  <c r="F698" i="24"/>
  <c r="F690" i="24"/>
  <c r="F682" i="24"/>
  <c r="F711" i="24"/>
  <c r="F703" i="24"/>
  <c r="F695" i="24"/>
  <c r="F687" i="24"/>
  <c r="F710" i="24"/>
  <c r="F702" i="24"/>
  <c r="F694" i="24"/>
  <c r="F707" i="24"/>
  <c r="F705" i="24"/>
  <c r="F686" i="24"/>
  <c r="F674" i="24"/>
  <c r="F692" i="24"/>
  <c r="F679" i="24"/>
  <c r="F671" i="24"/>
  <c r="F625" i="24"/>
  <c r="F676" i="24"/>
  <c r="F668" i="24"/>
  <c r="F628" i="24"/>
  <c r="F708" i="24"/>
  <c r="F699" i="24"/>
  <c r="F689" i="24"/>
  <c r="F681" i="24"/>
  <c r="F673" i="24"/>
  <c r="F693" i="24"/>
  <c r="F678" i="24"/>
  <c r="F670" i="24"/>
  <c r="F697" i="24"/>
  <c r="F680" i="24"/>
  <c r="F672" i="24"/>
  <c r="F683" i="24"/>
  <c r="F646" i="24"/>
  <c r="F641" i="24"/>
  <c r="F633" i="24"/>
  <c r="F627" i="24"/>
  <c r="F642" i="24"/>
  <c r="F713" i="24"/>
  <c r="F638" i="24"/>
  <c r="F630" i="24"/>
  <c r="F626" i="24"/>
  <c r="F643" i="24"/>
  <c r="F635" i="24"/>
  <c r="F634" i="24"/>
  <c r="F691" i="24"/>
  <c r="F645" i="24"/>
  <c r="F640" i="24"/>
  <c r="F632" i="24"/>
  <c r="F629" i="24"/>
  <c r="F685" i="24"/>
  <c r="F675" i="24"/>
  <c r="F637" i="24"/>
  <c r="F647" i="24"/>
  <c r="F700" i="24"/>
  <c r="F684" i="24"/>
  <c r="F669" i="24"/>
  <c r="F639" i="24"/>
  <c r="F631" i="24"/>
  <c r="F716" i="24"/>
  <c r="F677" i="24"/>
  <c r="F644" i="24"/>
  <c r="F636" i="24"/>
  <c r="J715" i="24"/>
  <c r="F710" i="34"/>
  <c r="M710" i="34" s="1"/>
  <c r="F702" i="34"/>
  <c r="M702" i="34" s="1"/>
  <c r="F694" i="34"/>
  <c r="M694" i="34" s="1"/>
  <c r="F686" i="34"/>
  <c r="M686" i="34" s="1"/>
  <c r="F712" i="34"/>
  <c r="M712" i="34" s="1"/>
  <c r="F704" i="34"/>
  <c r="M704" i="34" s="1"/>
  <c r="F696" i="34"/>
  <c r="M696" i="34" s="1"/>
  <c r="F688" i="34"/>
  <c r="M688" i="34" s="1"/>
  <c r="F680" i="34"/>
  <c r="M680" i="34" s="1"/>
  <c r="F709" i="34"/>
  <c r="M709" i="34" s="1"/>
  <c r="F693" i="34"/>
  <c r="M693" i="34" s="1"/>
  <c r="F677" i="34"/>
  <c r="M677" i="34" s="1"/>
  <c r="F669" i="34"/>
  <c r="M669" i="34" s="1"/>
  <c r="F708" i="34"/>
  <c r="M708" i="34" s="1"/>
  <c r="F707" i="34"/>
  <c r="M707" i="34" s="1"/>
  <c r="F706" i="34"/>
  <c r="M706" i="34" s="1"/>
  <c r="F692" i="34"/>
  <c r="M692" i="34" s="1"/>
  <c r="F691" i="34"/>
  <c r="M691" i="34" s="1"/>
  <c r="F690" i="34"/>
  <c r="M690" i="34" s="1"/>
  <c r="F705" i="34"/>
  <c r="M705" i="34" s="1"/>
  <c r="F689" i="34"/>
  <c r="M689" i="34" s="1"/>
  <c r="F703" i="34"/>
  <c r="M703" i="34" s="1"/>
  <c r="F687" i="34"/>
  <c r="M687" i="34" s="1"/>
  <c r="F701" i="34"/>
  <c r="M701" i="34" s="1"/>
  <c r="F685" i="34"/>
  <c r="M685" i="34" s="1"/>
  <c r="F713" i="34"/>
  <c r="M713" i="34" s="1"/>
  <c r="F700" i="34"/>
  <c r="M700" i="34" s="1"/>
  <c r="F684" i="34"/>
  <c r="M684" i="34" s="1"/>
  <c r="F673" i="34"/>
  <c r="M673" i="34" s="1"/>
  <c r="F641" i="34"/>
  <c r="F633" i="34"/>
  <c r="F627" i="34"/>
  <c r="F668" i="34"/>
  <c r="M668" i="34" s="1"/>
  <c r="M715" i="34" s="1"/>
  <c r="F642" i="34"/>
  <c r="F634" i="34"/>
  <c r="F716" i="34"/>
  <c r="F672" i="34"/>
  <c r="M672" i="34" s="1"/>
  <c r="F647" i="34"/>
  <c r="F646" i="34"/>
  <c r="F645" i="34"/>
  <c r="F643" i="34"/>
  <c r="F635" i="34"/>
  <c r="F625" i="34"/>
  <c r="F699" i="34"/>
  <c r="M699" i="34" s="1"/>
  <c r="F697" i="34"/>
  <c r="M697" i="34" s="1"/>
  <c r="F676" i="34"/>
  <c r="M676" i="34" s="1"/>
  <c r="F671" i="34"/>
  <c r="M671" i="34" s="1"/>
  <c r="F644" i="34"/>
  <c r="F636" i="34"/>
  <c r="F628" i="34"/>
  <c r="F695" i="34"/>
  <c r="M695" i="34" s="1"/>
  <c r="F682" i="34"/>
  <c r="M682" i="34" s="1"/>
  <c r="F681" i="34"/>
  <c r="M681" i="34" s="1"/>
  <c r="F637" i="34"/>
  <c r="F698" i="34"/>
  <c r="M698" i="34" s="1"/>
  <c r="F683" i="34"/>
  <c r="M683" i="34" s="1"/>
  <c r="F674" i="34"/>
  <c r="M674" i="34" s="1"/>
  <c r="F639" i="34"/>
  <c r="F631" i="34"/>
  <c r="F630" i="34"/>
  <c r="F675" i="34"/>
  <c r="M675" i="34" s="1"/>
  <c r="F670" i="34"/>
  <c r="M670" i="34" s="1"/>
  <c r="F638" i="34"/>
  <c r="F679" i="34"/>
  <c r="M679" i="34" s="1"/>
  <c r="F640" i="34"/>
  <c r="F678" i="34"/>
  <c r="M678" i="34" s="1"/>
  <c r="F626" i="34"/>
  <c r="H628" i="34" s="1"/>
  <c r="F629" i="34"/>
  <c r="I629" i="34" s="1"/>
  <c r="F632" i="34"/>
  <c r="F711" i="34"/>
  <c r="M711" i="34" s="1"/>
  <c r="E716" i="24"/>
  <c r="E707" i="24"/>
  <c r="E699" i="24"/>
  <c r="E691" i="24"/>
  <c r="E683" i="24"/>
  <c r="E712" i="24"/>
  <c r="E704" i="24"/>
  <c r="E709" i="24"/>
  <c r="E701" i="24"/>
  <c r="E693" i="24"/>
  <c r="E685" i="24"/>
  <c r="E706" i="24"/>
  <c r="E698" i="24"/>
  <c r="E690" i="24"/>
  <c r="E682" i="24"/>
  <c r="E713" i="24"/>
  <c r="E705" i="24"/>
  <c r="E697" i="24"/>
  <c r="E703" i="24"/>
  <c r="E677" i="24"/>
  <c r="E669" i="24"/>
  <c r="E627" i="24"/>
  <c r="E695" i="24"/>
  <c r="E687" i="24"/>
  <c r="E686" i="24"/>
  <c r="E674" i="24"/>
  <c r="E692" i="24"/>
  <c r="E679" i="24"/>
  <c r="E671" i="24"/>
  <c r="E625" i="24"/>
  <c r="E688" i="24"/>
  <c r="E676" i="24"/>
  <c r="E668" i="24"/>
  <c r="E628" i="24"/>
  <c r="E710" i="24"/>
  <c r="E708" i="24"/>
  <c r="E696" i="24"/>
  <c r="E689" i="24"/>
  <c r="E681" i="24"/>
  <c r="E673" i="24"/>
  <c r="E700" i="24"/>
  <c r="E684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2" i="24"/>
  <c r="E646" i="24"/>
  <c r="E670" i="24"/>
  <c r="E626" i="24"/>
  <c r="E711" i="24"/>
  <c r="E702" i="24"/>
  <c r="E678" i="24"/>
  <c r="E645" i="24"/>
  <c r="E629" i="24"/>
  <c r="E647" i="24"/>
  <c r="E694" i="24"/>
  <c r="E680" i="24"/>
  <c r="I709" i="34" l="1"/>
  <c r="I701" i="34"/>
  <c r="I693" i="34"/>
  <c r="I685" i="34"/>
  <c r="I711" i="34"/>
  <c r="I703" i="34"/>
  <c r="I695" i="34"/>
  <c r="I687" i="34"/>
  <c r="I676" i="34"/>
  <c r="I668" i="34"/>
  <c r="I704" i="34"/>
  <c r="I688" i="34"/>
  <c r="I702" i="34"/>
  <c r="I700" i="34"/>
  <c r="I716" i="34"/>
  <c r="I713" i="34"/>
  <c r="I699" i="34"/>
  <c r="I698" i="34"/>
  <c r="I697" i="34"/>
  <c r="I690" i="34"/>
  <c r="I644" i="34"/>
  <c r="I636" i="34"/>
  <c r="I712" i="34"/>
  <c r="I671" i="34"/>
  <c r="I637" i="34"/>
  <c r="I710" i="34"/>
  <c r="I708" i="34"/>
  <c r="I686" i="34"/>
  <c r="I681" i="34"/>
  <c r="I680" i="34"/>
  <c r="I675" i="34"/>
  <c r="I670" i="34"/>
  <c r="I638" i="34"/>
  <c r="I706" i="34"/>
  <c r="I682" i="34"/>
  <c r="I679" i="34"/>
  <c r="I639" i="34"/>
  <c r="I631" i="34"/>
  <c r="I630" i="34"/>
  <c r="I691" i="34"/>
  <c r="I689" i="34"/>
  <c r="I678" i="34"/>
  <c r="I674" i="34"/>
  <c r="I640" i="34"/>
  <c r="I632" i="34"/>
  <c r="I696" i="34"/>
  <c r="I684" i="34"/>
  <c r="I642" i="34"/>
  <c r="I634" i="34"/>
  <c r="I677" i="34"/>
  <c r="I672" i="34"/>
  <c r="I647" i="34"/>
  <c r="I643" i="34"/>
  <c r="I705" i="34"/>
  <c r="I669" i="34"/>
  <c r="I633" i="34"/>
  <c r="I694" i="34"/>
  <c r="I646" i="34"/>
  <c r="I645" i="34"/>
  <c r="I635" i="34"/>
  <c r="I673" i="34"/>
  <c r="I683" i="34"/>
  <c r="I641" i="34"/>
  <c r="I707" i="34"/>
  <c r="I692" i="34"/>
  <c r="H712" i="34"/>
  <c r="H704" i="34"/>
  <c r="H696" i="34"/>
  <c r="H688" i="34"/>
  <c r="H706" i="34"/>
  <c r="H698" i="34"/>
  <c r="H690" i="34"/>
  <c r="H682" i="34"/>
  <c r="H707" i="34"/>
  <c r="H705" i="34"/>
  <c r="H691" i="34"/>
  <c r="H689" i="34"/>
  <c r="H679" i="34"/>
  <c r="H671" i="34"/>
  <c r="H703" i="34"/>
  <c r="H702" i="34"/>
  <c r="H701" i="34"/>
  <c r="H700" i="34"/>
  <c r="H716" i="34"/>
  <c r="H713" i="34"/>
  <c r="H699" i="34"/>
  <c r="H697" i="34"/>
  <c r="H683" i="34"/>
  <c r="H681" i="34"/>
  <c r="H694" i="34"/>
  <c r="H692" i="34"/>
  <c r="H677" i="34"/>
  <c r="H672" i="34"/>
  <c r="H647" i="34"/>
  <c r="H646" i="34"/>
  <c r="H645" i="34"/>
  <c r="H643" i="34"/>
  <c r="H635" i="34"/>
  <c r="H685" i="34"/>
  <c r="H676" i="34"/>
  <c r="H644" i="34"/>
  <c r="H636" i="34"/>
  <c r="H695" i="34"/>
  <c r="H637" i="34"/>
  <c r="H710" i="34"/>
  <c r="H708" i="34"/>
  <c r="H686" i="34"/>
  <c r="H680" i="34"/>
  <c r="H675" i="34"/>
  <c r="H670" i="34"/>
  <c r="H638" i="34"/>
  <c r="H629" i="34"/>
  <c r="H715" i="34" s="1"/>
  <c r="H693" i="34"/>
  <c r="H687" i="34"/>
  <c r="H639" i="34"/>
  <c r="H631" i="34"/>
  <c r="H630" i="34"/>
  <c r="H673" i="34"/>
  <c r="H669" i="34"/>
  <c r="H641" i="34"/>
  <c r="H633" i="34"/>
  <c r="H634" i="34"/>
  <c r="H674" i="34"/>
  <c r="H640" i="34"/>
  <c r="H709" i="34"/>
  <c r="H711" i="34"/>
  <c r="H632" i="34"/>
  <c r="H684" i="34"/>
  <c r="H642" i="34"/>
  <c r="H678" i="34"/>
  <c r="H668" i="34"/>
  <c r="F715" i="34"/>
  <c r="G625" i="34"/>
  <c r="F715" i="24"/>
  <c r="E715" i="24"/>
  <c r="I715" i="34" l="1"/>
  <c r="J630" i="34"/>
  <c r="G716" i="34"/>
  <c r="G707" i="34"/>
  <c r="G699" i="34"/>
  <c r="G691" i="34"/>
  <c r="G683" i="34"/>
  <c r="G709" i="34"/>
  <c r="G701" i="34"/>
  <c r="G693" i="34"/>
  <c r="G685" i="34"/>
  <c r="G710" i="34"/>
  <c r="G708" i="34"/>
  <c r="G706" i="34"/>
  <c r="G694" i="34"/>
  <c r="G692" i="34"/>
  <c r="G690" i="34"/>
  <c r="G674" i="34"/>
  <c r="G705" i="34"/>
  <c r="G689" i="34"/>
  <c r="G704" i="34"/>
  <c r="G703" i="34"/>
  <c r="G688" i="34"/>
  <c r="G702" i="34"/>
  <c r="G700" i="34"/>
  <c r="G698" i="34"/>
  <c r="G686" i="34"/>
  <c r="G684" i="34"/>
  <c r="G682" i="34"/>
  <c r="G668" i="34"/>
  <c r="G642" i="34"/>
  <c r="G634" i="34"/>
  <c r="G677" i="34"/>
  <c r="G672" i="34"/>
  <c r="G647" i="34"/>
  <c r="G646" i="34"/>
  <c r="G645" i="34"/>
  <c r="G643" i="34"/>
  <c r="G635" i="34"/>
  <c r="G712" i="34"/>
  <c r="G697" i="34"/>
  <c r="G676" i="34"/>
  <c r="G671" i="34"/>
  <c r="G644" i="34"/>
  <c r="G636" i="34"/>
  <c r="G628" i="34"/>
  <c r="G695" i="34"/>
  <c r="G681" i="34"/>
  <c r="G637" i="34"/>
  <c r="G680" i="34"/>
  <c r="G679" i="34"/>
  <c r="G675" i="34"/>
  <c r="G670" i="34"/>
  <c r="G638" i="34"/>
  <c r="G629" i="34"/>
  <c r="G626" i="34"/>
  <c r="G715" i="34" s="1"/>
  <c r="G713" i="34"/>
  <c r="G711" i="34"/>
  <c r="G678" i="34"/>
  <c r="G640" i="34"/>
  <c r="G632" i="34"/>
  <c r="G641" i="34"/>
  <c r="G696" i="34"/>
  <c r="G631" i="34"/>
  <c r="G669" i="34"/>
  <c r="G633" i="34"/>
  <c r="G630" i="34"/>
  <c r="G627" i="34"/>
  <c r="G673" i="34"/>
  <c r="G687" i="34"/>
  <c r="G639" i="34"/>
  <c r="J706" i="34" l="1"/>
  <c r="J698" i="34"/>
  <c r="J690" i="34"/>
  <c r="J682" i="34"/>
  <c r="J708" i="34"/>
  <c r="J700" i="34"/>
  <c r="J692" i="34"/>
  <c r="J684" i="34"/>
  <c r="J704" i="34"/>
  <c r="J703" i="34"/>
  <c r="J688" i="34"/>
  <c r="J687" i="34"/>
  <c r="J673" i="34"/>
  <c r="J702" i="34"/>
  <c r="J716" i="34"/>
  <c r="J713" i="34"/>
  <c r="J701" i="34"/>
  <c r="J699" i="34"/>
  <c r="J697" i="34"/>
  <c r="J712" i="34"/>
  <c r="J711" i="34"/>
  <c r="J696" i="34"/>
  <c r="J695" i="34"/>
  <c r="J680" i="34"/>
  <c r="J685" i="34"/>
  <c r="J676" i="34"/>
  <c r="J671" i="34"/>
  <c r="J637" i="34"/>
  <c r="J710" i="34"/>
  <c r="J686" i="34"/>
  <c r="J681" i="34"/>
  <c r="J675" i="34"/>
  <c r="J670" i="34"/>
  <c r="J638" i="34"/>
  <c r="J679" i="34"/>
  <c r="J639" i="34"/>
  <c r="J631" i="34"/>
  <c r="J693" i="34"/>
  <c r="J691" i="34"/>
  <c r="J689" i="34"/>
  <c r="J678" i="34"/>
  <c r="J674" i="34"/>
  <c r="J640" i="34"/>
  <c r="J632" i="34"/>
  <c r="J683" i="34"/>
  <c r="J669" i="34"/>
  <c r="J641" i="34"/>
  <c r="J633" i="34"/>
  <c r="J709" i="34"/>
  <c r="J707" i="34"/>
  <c r="J705" i="34"/>
  <c r="J694" i="34"/>
  <c r="J677" i="34"/>
  <c r="J672" i="34"/>
  <c r="J668" i="34"/>
  <c r="J647" i="34"/>
  <c r="L647" i="34" s="1"/>
  <c r="J646" i="34"/>
  <c r="J645" i="34"/>
  <c r="J643" i="34"/>
  <c r="J635" i="34"/>
  <c r="J644" i="34"/>
  <c r="K644" i="34" s="1"/>
  <c r="J634" i="34"/>
  <c r="J642" i="34"/>
  <c r="J636" i="34"/>
  <c r="K711" i="34" l="1"/>
  <c r="K703" i="34"/>
  <c r="K695" i="34"/>
  <c r="K687" i="34"/>
  <c r="K713" i="34"/>
  <c r="K705" i="34"/>
  <c r="K697" i="34"/>
  <c r="K689" i="34"/>
  <c r="K681" i="34"/>
  <c r="K702" i="34"/>
  <c r="K686" i="34"/>
  <c r="K678" i="34"/>
  <c r="K670" i="34"/>
  <c r="K716" i="34"/>
  <c r="K701" i="34"/>
  <c r="K700" i="34"/>
  <c r="K699" i="34"/>
  <c r="K698" i="34"/>
  <c r="K712" i="34"/>
  <c r="K696" i="34"/>
  <c r="K710" i="34"/>
  <c r="K694" i="34"/>
  <c r="K688" i="34"/>
  <c r="K675" i="34"/>
  <c r="K708" i="34"/>
  <c r="K680" i="34"/>
  <c r="K679" i="34"/>
  <c r="K706" i="34"/>
  <c r="K693" i="34"/>
  <c r="K691" i="34"/>
  <c r="K682" i="34"/>
  <c r="K674" i="34"/>
  <c r="K704" i="34"/>
  <c r="K683" i="34"/>
  <c r="K669" i="34"/>
  <c r="K673" i="34"/>
  <c r="K692" i="34"/>
  <c r="K677" i="34"/>
  <c r="K672" i="34"/>
  <c r="K709" i="34"/>
  <c r="K690" i="34"/>
  <c r="K685" i="34"/>
  <c r="K684" i="34"/>
  <c r="K676" i="34"/>
  <c r="K671" i="34"/>
  <c r="K707" i="34"/>
  <c r="K668" i="34"/>
  <c r="K715" i="34" s="1"/>
  <c r="J715" i="34"/>
  <c r="L708" i="34"/>
  <c r="L700" i="34"/>
  <c r="L692" i="34"/>
  <c r="L684" i="34"/>
  <c r="L710" i="34"/>
  <c r="L702" i="34"/>
  <c r="L694" i="34"/>
  <c r="L686" i="34"/>
  <c r="L716" i="34"/>
  <c r="L701" i="34"/>
  <c r="L699" i="34"/>
  <c r="L685" i="34"/>
  <c r="L683" i="34"/>
  <c r="L675" i="34"/>
  <c r="L713" i="34"/>
  <c r="L698" i="34"/>
  <c r="L697" i="34"/>
  <c r="L712" i="34"/>
  <c r="L696" i="34"/>
  <c r="L711" i="34"/>
  <c r="L695" i="34"/>
  <c r="L709" i="34"/>
  <c r="L707" i="34"/>
  <c r="L693" i="34"/>
  <c r="L691" i="34"/>
  <c r="L681" i="34"/>
  <c r="L680" i="34"/>
  <c r="L679" i="34"/>
  <c r="L670" i="34"/>
  <c r="L706" i="34"/>
  <c r="L682" i="34"/>
  <c r="L674" i="34"/>
  <c r="L704" i="34"/>
  <c r="L689" i="34"/>
  <c r="L678" i="34"/>
  <c r="L669" i="34"/>
  <c r="L687" i="34"/>
  <c r="L673" i="34"/>
  <c r="L677" i="34"/>
  <c r="L672" i="34"/>
  <c r="L668" i="34"/>
  <c r="L715" i="34" s="1"/>
  <c r="L703" i="34"/>
  <c r="L690" i="34"/>
  <c r="L676" i="34"/>
  <c r="L671" i="34"/>
  <c r="L705" i="34"/>
  <c r="L688" i="34"/>
</calcChain>
</file>

<file path=xl/sharedStrings.xml><?xml version="1.0" encoding="utf-8"?>
<sst xmlns="http://schemas.openxmlformats.org/spreadsheetml/2006/main" count="4862" uniqueCount="1370">
  <si>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</si>
  <si>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</si>
  <si>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</si>
  <si>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</si>
  <si>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</si>
  <si>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</si>
  <si>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</si>
  <si>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</si>
  <si>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</si>
  <si>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</si>
  <si>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</si>
  <si>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</si>
  <si>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</si>
  <si>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</si>
  <si>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</si>
  <si>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</si>
  <si>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</si>
  <si>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</si>
  <si>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</si>
  <si>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</si>
  <si>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</si>
  <si>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</si>
  <si>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</si>
  <si>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</si>
  <si>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</si>
  <si>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</si>
  <si>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</si>
  <si>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</si>
  <si>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</si>
  <si>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</si>
  <si>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</si>
  <si>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</si>
  <si>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</si>
  <si>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</si>
  <si>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</si>
  <si>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</si>
  <si>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</si>
  <si>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</si>
  <si>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</si>
  <si>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</si>
  <si>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</si>
  <si>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</si>
  <si>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</si>
  <si>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</si>
  <si>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</si>
  <si>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</si>
  <si>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</si>
  <si>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</si>
  <si>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</si>
  <si>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</si>
  <si>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</si>
  <si>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</si>
  <si>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</si>
  <si>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</si>
  <si>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</si>
  <si>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</si>
  <si>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</si>
  <si>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</si>
  <si>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</si>
  <si>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</si>
  <si>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</si>
  <si>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</si>
  <si>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</si>
  <si>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</si>
  <si>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</si>
  <si>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</si>
  <si>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</si>
  <si>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</si>
  <si>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</si>
  <si>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</si>
  <si>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</si>
  <si>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</si>
  <si>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</si>
  <si>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</si>
  <si>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</si>
  <si>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</si>
  <si>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</si>
  <si>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</si>
  <si>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</si>
  <si>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</si>
  <si>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</si>
  <si>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</si>
  <si>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</si>
  <si>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</si>
  <si>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</si>
  <si>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</si>
  <si>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</si>
  <si>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</si>
  <si>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</si>
  <si>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</si>
  <si>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</si>
  <si>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</si>
  <si>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</si>
  <si>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</si>
  <si>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</si>
  <si>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</si>
  <si>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</si>
  <si>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</si>
  <si>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</si>
  <si>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</si>
  <si>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</si>
  <si>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</si>
  <si>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</si>
  <si>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</si>
  <si>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</si>
  <si>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</si>
  <si>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</si>
  <si>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</si>
  <si>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</si>
  <si>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</si>
  <si>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</si>
  <si>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</si>
  <si>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</si>
  <si>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</si>
  <si>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</si>
  <si>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</si>
  <si>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</si>
  <si>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</si>
  <si>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</si>
  <si>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</si>
  <si>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</si>
  <si>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</si>
  <si>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</si>
  <si>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</si>
  <si>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</si>
  <si>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</si>
  <si>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</si>
  <si>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</si>
  <si>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</si>
  <si>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</si>
  <si>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</si>
  <si>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</si>
  <si>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</si>
  <si>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</si>
  <si>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</si>
  <si>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</si>
  <si>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</si>
  <si>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</si>
  <si>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</si>
  <si>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</si>
  <si>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</si>
  <si>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</si>
  <si>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</si>
  <si>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</si>
  <si>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</si>
  <si>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</si>
  <si>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</si>
  <si>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</si>
  <si>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</si>
  <si>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</si>
  <si>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</si>
  <si>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</si>
  <si>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</si>
  <si>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</si>
  <si>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</si>
  <si>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</si>
  <si>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</si>
  <si>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</si>
  <si>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</si>
  <si>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</si>
  <si>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</si>
  <si>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</si>
  <si>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</si>
  <si>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</si>
  <si>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</si>
  <si>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</si>
  <si>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</si>
  <si>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</si>
  <si>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</si>
  <si>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</si>
  <si>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</si>
  <si>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</si>
  <si>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</si>
  <si>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</si>
  <si>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</si>
  <si>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</si>
  <si>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</si>
  <si>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</si>
  <si>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</si>
  <si>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</si>
  <si>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</si>
  <si>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</si>
  <si>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</si>
  <si>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</si>
  <si>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</si>
  <si>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</si>
  <si>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</si>
  <si>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</si>
  <si>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</si>
  <si>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</si>
  <si>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</si>
  <si>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</si>
  <si>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</si>
  <si>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</si>
  <si>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</si>
  <si>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</si>
  <si>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</si>
  <si>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</si>
  <si>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</si>
  <si>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</si>
  <si>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</si>
  <si>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</si>
  <si>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</si>
  <si>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</si>
  <si>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</si>
  <si>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</si>
  <si>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</si>
  <si>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</si>
  <si>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</si>
  <si>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</si>
  <si>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</si>
  <si>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</si>
  <si>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</si>
  <si>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</si>
  <si>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</si>
  <si>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</si>
  <si>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</si>
  <si>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</si>
  <si>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</si>
  <si>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</si>
  <si>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</si>
  <si>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</si>
  <si>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</si>
  <si>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</si>
  <si>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</si>
  <si>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</si>
  <si>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</si>
  <si>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</si>
  <si>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</si>
  <si>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</si>
  <si>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</si>
  <si>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</si>
  <si>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</si>
  <si>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</si>
  <si>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</si>
  <si>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</si>
  <si>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</si>
  <si>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</si>
  <si>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</si>
  <si>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</si>
  <si>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</si>
  <si>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</si>
  <si>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</si>
  <si>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</si>
  <si>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</si>
  <si>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</si>
  <si>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</si>
  <si>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</si>
  <si>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</si>
  <si>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</si>
  <si>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</si>
  <si>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</si>
  <si>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</si>
  <si>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</si>
  <si>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</si>
  <si>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</si>
  <si>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</si>
  <si>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</si>
  <si>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</si>
  <si>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</si>
  <si>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</si>
  <si>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</si>
  <si>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</si>
  <si>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</si>
  <si>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</si>
  <si>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</si>
  <si>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</si>
  <si>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</si>
  <si>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</si>
  <si>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</si>
  <si>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</si>
  <si>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</si>
  <si>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</si>
  <si>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</si>
  <si>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</si>
  <si>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</si>
  <si>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</si>
  <si>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</si>
  <si>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</si>
  <si>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</si>
  <si>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</si>
  <si>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</si>
  <si>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</si>
  <si>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</si>
  <si>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</si>
  <si>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</si>
  <si>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</si>
  <si>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</si>
  <si>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</si>
  <si>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</si>
  <si>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</si>
  <si>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</si>
  <si>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</si>
  <si>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</si>
  <si>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</si>
  <si>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</si>
  <si>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</si>
  <si>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</si>
  <si>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</si>
  <si>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</si>
  <si>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</si>
  <si>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Rainier Springs</t>
  </si>
  <si>
    <t>Mailing Address</t>
  </si>
  <si>
    <t>2805 NE 129th St</t>
  </si>
  <si>
    <t>City</t>
  </si>
  <si>
    <t>Vancouver</t>
  </si>
  <si>
    <t>State</t>
  </si>
  <si>
    <t>Washington</t>
  </si>
  <si>
    <t>Zip</t>
  </si>
  <si>
    <t>98686-3324</t>
  </si>
  <si>
    <t>County</t>
  </si>
  <si>
    <t>Chief Executive Officer</t>
  </si>
  <si>
    <t>Toni Long</t>
  </si>
  <si>
    <t>Chief Financial Officer</t>
  </si>
  <si>
    <t>Roger Wendel-Oney</t>
  </si>
  <si>
    <t>Chair of Governing Board</t>
  </si>
  <si>
    <t xml:space="preserve">Lifepoint Health </t>
  </si>
  <si>
    <t>Telephone Number</t>
  </si>
  <si>
    <t>360-356-1901</t>
  </si>
  <si>
    <t>Facsimile Number</t>
  </si>
  <si>
    <t>Name of Submitter</t>
  </si>
  <si>
    <t>Email of Submitter</t>
  </si>
  <si>
    <t>Roger.Wendel-Oney@lifepointhealth.net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</si>
  <si>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</si>
  <si>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</si>
  <si>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</si>
  <si>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</si>
  <si>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</si>
  <si>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</si>
  <si>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</si>
  <si>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</si>
  <si>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</si>
  <si>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</si>
  <si>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</si>
  <si>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</si>
  <si>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</si>
  <si>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</si>
  <si>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</si>
  <si>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</si>
  <si>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</si>
  <si>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</si>
  <si>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</si>
  <si>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</si>
  <si>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</si>
  <si>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</si>
  <si>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</si>
  <si>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</si>
  <si>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</si>
  <si>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</si>
  <si>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</si>
  <si>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</si>
  <si>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</si>
  <si>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</si>
  <si>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</si>
  <si>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</si>
  <si>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</si>
  <si>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</si>
  <si>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</si>
  <si>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</si>
  <si>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</si>
  <si>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</si>
  <si>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</si>
  <si>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</si>
  <si>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</si>
  <si>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</si>
  <si>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</si>
  <si>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</si>
  <si>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</si>
  <si>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</si>
  <si>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</si>
  <si>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</si>
  <si>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</si>
  <si>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</si>
  <si>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</si>
  <si>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</si>
  <si>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</si>
  <si>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</si>
  <si>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</si>
  <si>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</si>
  <si>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</si>
  <si>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</si>
  <si>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</si>
  <si>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</si>
  <si>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</si>
  <si>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</si>
  <si>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</si>
  <si>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</si>
  <si>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</si>
  <si>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</si>
  <si>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</si>
  <si>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</si>
  <si>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</si>
  <si>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</si>
  <si>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</si>
  <si>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</si>
  <si>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</si>
  <si>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</si>
  <si>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</si>
  <si>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</si>
  <si>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</si>
  <si>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</si>
  <si>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</si>
  <si>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</si>
  <si>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</si>
  <si>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</si>
  <si>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</si>
  <si>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</si>
  <si>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</si>
  <si>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</si>
  <si>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</si>
  <si>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</si>
  <si>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</si>
  <si>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</si>
  <si>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</si>
  <si>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</si>
  <si>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</si>
  <si>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</si>
  <si>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</si>
  <si>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</si>
  <si>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</si>
  <si>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</si>
  <si>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</si>
  <si>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</si>
  <si>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</si>
  <si>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</si>
  <si>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</si>
  <si>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</si>
  <si>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</si>
  <si>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</si>
  <si>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</si>
  <si>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</si>
  <si>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</si>
  <si>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</si>
  <si>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</si>
  <si>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</si>
  <si>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</si>
  <si>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</si>
  <si>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</si>
  <si>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</si>
  <si>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</si>
  <si>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</si>
  <si>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</si>
  <si>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</si>
  <si>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</si>
  <si>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</si>
  <si>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</si>
  <si>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</si>
  <si>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</si>
  <si>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</si>
  <si>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</si>
  <si>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</si>
  <si>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</si>
  <si>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</si>
  <si>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</si>
  <si>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</si>
  <si>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</si>
  <si>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</si>
  <si>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</si>
  <si>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</si>
  <si>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</si>
  <si>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</si>
  <si>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</si>
  <si>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</si>
  <si>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</si>
  <si>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</si>
  <si>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</si>
  <si>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</si>
  <si>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</si>
  <si>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</si>
  <si>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</si>
  <si>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</si>
  <si>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</si>
  <si>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</si>
  <si>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</si>
  <si>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</si>
  <si>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</si>
  <si>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</si>
  <si>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</si>
  <si>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</si>
  <si>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</si>
  <si>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</si>
  <si>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</si>
  <si>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</si>
  <si>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</si>
  <si>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</si>
  <si>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</si>
  <si>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</si>
  <si>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</si>
  <si>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</si>
  <si>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</si>
  <si>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</si>
  <si>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</si>
  <si>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</si>
  <si>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</si>
  <si>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</si>
  <si>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</si>
  <si>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</si>
  <si>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</si>
  <si>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</si>
  <si>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</si>
  <si>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</si>
  <si>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</si>
  <si>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</si>
  <si>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</si>
  <si>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</si>
  <si>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</si>
  <si>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</si>
  <si>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</si>
  <si>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</si>
  <si>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</si>
  <si>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</si>
  <si>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</si>
  <si>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</si>
  <si>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</si>
  <si>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</si>
  <si>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</si>
  <si>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</si>
  <si>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</si>
  <si>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</si>
  <si>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</si>
  <si>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</si>
  <si>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</si>
  <si>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</si>
  <si>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</si>
  <si>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</si>
  <si>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</si>
  <si>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</si>
  <si>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</si>
  <si>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</si>
  <si>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</si>
  <si>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</si>
  <si>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</si>
  <si>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</si>
  <si>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</si>
  <si>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</si>
  <si>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</si>
  <si>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</si>
  <si>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</si>
  <si>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</si>
  <si>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</si>
  <si>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</si>
  <si>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</si>
  <si>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</si>
  <si>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</si>
  <si>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</si>
  <si>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</si>
  <si>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</si>
  <si>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</si>
  <si>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</si>
  <si>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</si>
  <si>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</si>
  <si>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</si>
  <si>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</si>
  <si>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</si>
  <si>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</si>
  <si>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</si>
  <si>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</si>
  <si>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</si>
  <si>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</si>
  <si>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</si>
  <si>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</si>
  <si>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</si>
  <si>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</si>
  <si>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</si>
  <si>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</si>
  <si>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</si>
  <si>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</si>
  <si>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</si>
  <si>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</si>
  <si>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</si>
  <si>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</si>
  <si>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</si>
  <si>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</si>
  <si>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</si>
  <si>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</si>
  <si>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</si>
  <si>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</si>
  <si>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</si>
  <si>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</si>
  <si>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</si>
  <si>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</si>
  <si>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</si>
  <si>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</si>
  <si>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</si>
  <si>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</si>
  <si>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</si>
  <si>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</si>
  <si>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</si>
  <si>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</si>
  <si>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</si>
  <si>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</si>
  <si>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</si>
  <si>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</si>
  <si>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</si>
  <si>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</si>
  <si>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</si>
  <si>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</si>
  <si>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</si>
  <si>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</si>
  <si>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</si>
  <si>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</si>
  <si>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</si>
  <si>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</si>
  <si>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</si>
  <si>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</si>
  <si>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</si>
  <si>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</si>
  <si>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</si>
  <si>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</si>
  <si>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</si>
  <si>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</si>
  <si>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</si>
  <si>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</si>
  <si>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</si>
  <si>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</si>
  <si>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</si>
  <si>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</si>
  <si>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</si>
  <si>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</si>
  <si>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</si>
  <si>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</si>
  <si>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</si>
  <si>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</si>
  <si>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</si>
  <si>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</si>
  <si>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</si>
  <si>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</si>
  <si>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</si>
  <si>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</si>
  <si>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</si>
  <si>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</si>
  <si>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</si>
  <si>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</si>
  <si>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</si>
  <si>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</si>
  <si>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</si>
  <si>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</si>
  <si>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</si>
  <si>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</si>
  <si>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</si>
  <si>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</si>
  <si>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</si>
  <si>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</si>
  <si>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</si>
  <si>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</si>
  <si>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</si>
  <si>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</si>
  <si>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</si>
  <si>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</si>
  <si>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</si>
  <si>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</si>
  <si>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</si>
  <si>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</si>
  <si>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</si>
  <si>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</si>
  <si>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</si>
  <si>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</si>
  <si>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</si>
  <si>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</si>
  <si>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</si>
  <si>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</si>
  <si>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</si>
  <si>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</si>
  <si>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</si>
  <si>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</si>
  <si>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</si>
  <si>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</si>
  <si>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</si>
  <si>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</si>
  <si>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</si>
  <si>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</si>
  <si>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</si>
  <si>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</si>
  <si>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</si>
  <si>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</si>
  <si>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</si>
  <si>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</si>
  <si>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</si>
  <si>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</si>
  <si>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</si>
  <si>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</si>
  <si>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</si>
  <si>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</si>
  <si>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</si>
  <si>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</si>
  <si>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</si>
  <si>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</si>
  <si>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</si>
  <si>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</si>
  <si>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</si>
  <si>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</si>
  <si>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</si>
  <si>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</si>
  <si>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</si>
  <si>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</si>
  <si>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</si>
  <si>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</si>
  <si>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</si>
  <si>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</si>
  <si>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</si>
  <si>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</si>
  <si>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</si>
  <si>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</si>
  <si>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</si>
  <si>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</si>
  <si>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</si>
  <si>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</si>
  <si>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</si>
  <si>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</si>
  <si>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</si>
  <si>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</si>
  <si>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</si>
  <si>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</si>
  <si>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</si>
  <si>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</si>
  <si>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Date: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</si>
  <si>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</si>
  <si>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</si>
  <si>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</si>
  <si>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</si>
  <si>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</si>
  <si>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</si>
  <si>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</si>
  <si>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</si>
  <si>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</si>
  <si>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</si>
  <si>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</si>
  <si>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</si>
  <si>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</si>
  <si>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</si>
  <si>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</si>
  <si>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</si>
  <si>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</si>
  <si>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</si>
  <si>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</si>
  <si>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</si>
  <si>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</si>
  <si>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</si>
  <si>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</si>
  <si>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</si>
  <si>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</si>
  <si>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</si>
  <si>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</si>
  <si>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</si>
  <si>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</si>
  <si>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</si>
  <si>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</si>
  <si>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</si>
  <si>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</si>
  <si>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</si>
  <si>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</si>
  <si>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</si>
  <si>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</si>
  <si>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</si>
  <si>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</si>
  <si>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</si>
  <si>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</si>
  <si>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</si>
  <si>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</si>
  <si>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</si>
  <si>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</si>
  <si>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</si>
  <si>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</si>
  <si>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</si>
  <si>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</si>
  <si>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</si>
  <si>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</si>
  <si>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</si>
  <si>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</si>
  <si>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</si>
  <si>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</si>
  <si>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</si>
  <si>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</si>
  <si>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</si>
  <si>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</si>
  <si>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</si>
  <si>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</si>
  <si>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</si>
  <si>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</si>
  <si>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</si>
  <si>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</si>
  <si>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</si>
  <si>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</si>
  <si>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</si>
  <si>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</si>
  <si>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</si>
  <si>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</si>
  <si>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</si>
  <si>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</si>
  <si>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</si>
  <si>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</si>
  <si>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</si>
  <si>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</si>
  <si>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</si>
  <si>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</si>
  <si>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</si>
  <si>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</si>
  <si>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</si>
  <si>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</si>
  <si>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</si>
  <si>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</si>
  <si>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</si>
  <si>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</si>
  <si>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</si>
  <si>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</si>
  <si>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</si>
  <si>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</si>
  <si>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</si>
  <si>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</si>
  <si>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</si>
  <si>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</si>
  <si>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</si>
  <si>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</si>
  <si>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</si>
  <si>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</si>
  <si>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</si>
  <si>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</si>
  <si>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</si>
  <si>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</si>
  <si>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</si>
  <si>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</si>
  <si>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</si>
  <si>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</si>
  <si>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</si>
  <si>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</si>
  <si>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</si>
  <si>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</si>
  <si>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</si>
  <si>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</si>
  <si>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</si>
  <si>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</si>
  <si>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</si>
  <si>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</si>
  <si>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</si>
  <si>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</si>
  <si>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</si>
  <si>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</si>
  <si>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</si>
  <si>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</si>
  <si>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</si>
  <si>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</si>
  <si>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</si>
  <si>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</si>
  <si>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</si>
  <si>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</si>
  <si>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</si>
  <si>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</si>
  <si>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</si>
  <si>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</si>
  <si>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</si>
  <si>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</si>
  <si>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</si>
  <si>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</si>
  <si>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</si>
  <si>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</si>
  <si>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</si>
  <si>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</si>
  <si>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</si>
  <si>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</si>
  <si>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</si>
  <si>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</si>
  <si>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</si>
  <si>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</si>
  <si>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</si>
  <si>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</si>
  <si>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</si>
  <si>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</si>
  <si>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</si>
  <si>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</si>
  <si>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</si>
  <si>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</si>
  <si>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</si>
  <si>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</si>
  <si>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</si>
  <si>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</si>
  <si>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</si>
  <si>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</si>
  <si>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</si>
  <si>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</si>
  <si>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</si>
  <si>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</si>
  <si>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</si>
  <si>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</si>
  <si>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</si>
  <si>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</si>
  <si>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</si>
  <si>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</si>
  <si>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</si>
  <si>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</si>
  <si>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</si>
  <si>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</si>
  <si>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</si>
  <si>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</si>
  <si>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</si>
  <si>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</si>
  <si>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</si>
  <si>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</si>
  <si>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</si>
  <si>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</si>
  <si>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</si>
  <si>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</si>
  <si>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</si>
  <si>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</si>
  <si>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</si>
  <si>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</si>
  <si>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</si>
  <si>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</si>
  <si>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</si>
  <si>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</si>
  <si>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</si>
  <si>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</si>
  <si>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</si>
  <si>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</si>
  <si>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</si>
  <si>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</si>
  <si>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</si>
  <si>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</si>
  <si>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</si>
  <si>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</si>
  <si>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</si>
  <si>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</si>
  <si>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</si>
  <si>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</si>
  <si>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</si>
  <si>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</si>
  <si>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</si>
  <si>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</si>
  <si>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</si>
  <si>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</si>
  <si>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</si>
  <si>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</si>
  <si>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</si>
  <si>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</si>
  <si>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</si>
  <si>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</si>
  <si>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</si>
  <si>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</si>
  <si>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</si>
  <si>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</si>
  <si>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</si>
  <si>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</si>
  <si>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</si>
  <si>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</si>
  <si>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</si>
  <si>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</si>
  <si>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</si>
  <si>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</si>
  <si>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</si>
  <si>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</si>
  <si>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</si>
  <si>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</si>
  <si>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</si>
  <si>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</si>
  <si>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</si>
  <si>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</si>
  <si>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</si>
  <si>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</si>
  <si>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</si>
  <si>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</si>
  <si>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</si>
  <si>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</si>
  <si>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</si>
  <si>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</si>
  <si>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</si>
  <si>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</si>
  <si>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</si>
  <si>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</si>
  <si>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</si>
  <si>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</si>
  <si>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</si>
  <si>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</si>
  <si>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</si>
  <si>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</si>
  <si>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</si>
  <si>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</si>
  <si>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</si>
  <si>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</si>
  <si>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</si>
  <si>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</si>
  <si>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</si>
  <si>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</si>
  <si>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</si>
  <si>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</si>
  <si>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</si>
  <si>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</si>
  <si>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</si>
  <si>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</si>
  <si>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</si>
  <si>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</si>
  <si>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</si>
  <si>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</si>
  <si>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</si>
  <si>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</si>
  <si>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</si>
  <si>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</si>
  <si>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</si>
  <si>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</si>
  <si>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</si>
  <si>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</si>
  <si>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</si>
  <si>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</si>
  <si>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</si>
  <si>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</si>
  <si>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</si>
  <si>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</si>
  <si>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</si>
  <si>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</si>
  <si>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</si>
  <si>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</si>
  <si>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</si>
  <si>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</si>
  <si>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</si>
  <si>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</si>
  <si>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</si>
  <si>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</si>
  <si>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</si>
  <si>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</si>
  <si>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</si>
  <si>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</si>
  <si>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</si>
  <si>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</si>
  <si>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</si>
  <si>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</si>
  <si>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</si>
  <si>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</si>
  <si>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</si>
  <si>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</si>
  <si>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</si>
  <si>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</si>
  <si>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</si>
  <si>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</si>
  <si>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</si>
  <si>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</si>
  <si>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</si>
  <si>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</si>
  <si>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</si>
  <si>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</si>
  <si>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</si>
  <si>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</si>
  <si>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</si>
  <si>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</si>
  <si>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</si>
  <si>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</si>
  <si>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</si>
  <si>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</si>
  <si>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</si>
  <si>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</si>
  <si>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</si>
  <si>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</si>
  <si>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</si>
  <si>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</si>
  <si>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</si>
  <si>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</si>
  <si>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</si>
  <si>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</si>
  <si>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</si>
  <si>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</si>
  <si>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</si>
  <si>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</si>
  <si>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</si>
  <si>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</si>
  <si>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</si>
  <si>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</si>
  <si>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</si>
  <si>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</si>
  <si>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</si>
  <si>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</si>
  <si>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</si>
  <si>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</si>
  <si>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</si>
  <si>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</si>
  <si>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</si>
  <si>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</si>
  <si>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</si>
  <si>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</si>
  <si>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</si>
  <si>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</si>
  <si>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</si>
  <si>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</si>
  <si>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</si>
  <si>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</si>
  <si>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</si>
  <si>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</si>
  <si>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</si>
  <si>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</si>
  <si>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</si>
  <si>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</si>
  <si>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</si>
  <si>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</si>
  <si>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</si>
  <si>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</si>
  <si>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</si>
  <si>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</si>
  <si>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</si>
  <si>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</si>
  <si>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</si>
  <si>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</si>
  <si>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</si>
  <si>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</si>
  <si>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</si>
  <si>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</si>
  <si>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</si>
  <si>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</si>
  <si>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</si>
  <si>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</si>
  <si>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</si>
  <si>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</si>
  <si>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</si>
  <si>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</si>
  <si>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</si>
  <si>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</si>
  <si>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</si>
  <si>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</si>
  <si>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</si>
  <si>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</si>
  <si>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</si>
  <si>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</si>
  <si>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</si>
  <si>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</si>
  <si>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</si>
  <si>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</si>
  <si>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</si>
  <si>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</si>
  <si>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</si>
  <si>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</si>
  <si>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</si>
  <si>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</si>
  <si>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</si>
  <si>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</si>
  <si>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</si>
  <si>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</si>
  <si>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</si>
  <si>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</si>
  <si>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</si>
  <si>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</si>
  <si>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</si>
  <si>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</si>
  <si>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</si>
  <si>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</si>
  <si>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</si>
  <si>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</si>
  <si>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</si>
  <si>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</si>
  <si>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</si>
  <si>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</si>
  <si>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</si>
  <si>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</si>
  <si>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</si>
  <si>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</si>
  <si>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</si>
  <si>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</si>
  <si>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</si>
  <si>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</si>
  <si>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</si>
  <si>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</si>
  <si>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</si>
  <si>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</si>
  <si>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</si>
  <si>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</si>
  <si>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</si>
  <si>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</si>
  <si>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</si>
  <si>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</si>
  <si>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</si>
  <si>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</si>
  <si>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</si>
  <si>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</si>
  <si>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</si>
  <si>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</si>
  <si>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</si>
  <si>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</si>
  <si>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</si>
  <si>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</si>
  <si>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</si>
  <si>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</si>
  <si>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</si>
  <si>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</si>
  <si>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</si>
  <si>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</si>
  <si>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</si>
  <si>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</si>
  <si>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</si>
  <si>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</si>
  <si>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</si>
  <si>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</si>
  <si>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</si>
  <si>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</si>
  <si>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</si>
  <si>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</si>
  <si>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</si>
  <si>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</si>
  <si>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</si>
  <si>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</si>
  <si>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</si>
  <si>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</si>
  <si>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</si>
  <si>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</si>
  <si>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</si>
  <si>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</si>
  <si>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</si>
  <si>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</si>
  <si>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</si>
  <si>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</si>
  <si>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</si>
  <si>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</si>
  <si>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</si>
  <si>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</si>
  <si>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</si>
  <si>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</si>
  <si>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</si>
  <si>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</si>
  <si>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</si>
  <si>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</si>
  <si>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</si>
  <si>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</si>
  <si>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</si>
  <si>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</si>
  <si>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</si>
  <si>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</si>
  <si>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</si>
  <si>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</si>
  <si>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</si>
  <si>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</si>
  <si>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</si>
  <si>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</si>
  <si>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</si>
  <si>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</si>
  <si>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</si>
  <si>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</si>
  <si>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</si>
  <si>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</si>
  <si>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</si>
  <si>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</si>
  <si>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</si>
  <si>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</si>
  <si>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</si>
  <si>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</si>
  <si>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</si>
  <si>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</si>
  <si>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</si>
  <si>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</si>
  <si>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</si>
  <si>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</si>
  <si>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</si>
  <si>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</si>
  <si>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</si>
  <si>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</si>
  <si>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</si>
  <si>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</si>
  <si>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</si>
  <si>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</si>
  <si>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</si>
  <si>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</si>
  <si>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</si>
  <si>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</si>
  <si>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</si>
  <si>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</si>
  <si>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</si>
  <si>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</si>
  <si>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</si>
  <si>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</si>
  <si>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</si>
  <si>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</si>
  <si>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</si>
  <si>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</si>
  <si>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</si>
  <si>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</si>
  <si>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</si>
  <si>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</si>
  <si>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</si>
  <si>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</si>
  <si>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</si>
  <si>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</si>
  <si>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</si>
  <si>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</si>
  <si>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</si>
  <si>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</si>
  <si>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</si>
  <si>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</si>
  <si>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</si>
  <si>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</si>
  <si>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</si>
  <si>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</si>
  <si>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</si>
  <si>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</si>
  <si>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</si>
  <si>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</si>
  <si>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</si>
  <si>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</si>
  <si>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</si>
  <si>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</si>
  <si>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</si>
  <si>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</si>
  <si>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</si>
  <si>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</si>
  <si>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</si>
  <si>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</si>
  <si>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</si>
  <si>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</si>
  <si>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</si>
  <si>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</si>
  <si>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</si>
  <si>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</si>
  <si>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</si>
  <si>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</si>
  <si>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</si>
  <si>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</si>
  <si>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</si>
  <si>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</si>
  <si>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</si>
  <si>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</si>
  <si>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</si>
  <si>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</si>
  <si>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</si>
  <si>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</si>
  <si>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</si>
  <si>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</si>
  <si>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</si>
  <si>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</si>
  <si>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</si>
  <si>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</si>
  <si>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</si>
  <si>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</si>
  <si>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</si>
  <si>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</si>
  <si>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</si>
  <si>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</si>
  <si>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</si>
  <si>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</si>
  <si>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</si>
  <si>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</si>
  <si>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</si>
  <si>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</si>
  <si>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</si>
  <si>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</si>
  <si>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</si>
  <si>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</si>
  <si>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</si>
  <si>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</si>
  <si>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</si>
  <si>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</si>
  <si>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</si>
  <si>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</si>
  <si>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</si>
  <si>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</si>
  <si>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</si>
  <si>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</si>
  <si>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</si>
  <si>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</si>
  <si>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</si>
  <si>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</si>
  <si>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</si>
  <si>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</si>
  <si>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</si>
  <si>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</si>
  <si>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</si>
  <si>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</si>
  <si>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</si>
  <si>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</si>
  <si>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</si>
  <si>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</si>
  <si>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Signature of Chief Financial Officer</t>
  </si>
  <si>
    <t>Name/Title:Toni Long</t>
  </si>
  <si>
    <t xml:space="preserve">Name/Title: Roger L Wendel-Oney </t>
  </si>
  <si>
    <t>Increased staffing costs, ADC increased, increased food costs</t>
  </si>
  <si>
    <t xml:space="preserve">Increased staffing costs, ADC increased, increased repair and replacement </t>
  </si>
  <si>
    <t xml:space="preserve">Physician Revenue 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</si>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</sst>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6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6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28" borderId="0"/>
    <xf numFmtId="0" fontId="39" fillId="28" borderId="0"/>
    <xf numFmtId="0" fontId="35" fillId="28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26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4" fillId="6" borderId="0" xfId="0" applyFont="1" applyFill="1"/>
    <xf numFmtId="37" fontId="14" fillId="6" borderId="0" xfId="0" quotePrefix="1" applyFont="1" applyFill="1" applyAlignment="1">
      <alignment horizontal="left" indent="1"/>
    </xf>
    <xf numFmtId="43" fontId="14" fillId="3" borderId="0" xfId="547" applyFont="1" applyFill="1"/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6" borderId="0" xfId="0" quotePrefix="1" applyFont="1" applyFill="1" applyAlignment="1">
      <alignment horizontal="left"/>
    </xf>
    <xf numFmtId="37" fontId="14" fillId="6" borderId="0" xfId="0" applyFont="1" applyFill="1" applyAlignment="1">
      <alignment horizontal="right"/>
    </xf>
    <xf numFmtId="37" fontId="14" fillId="6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6" borderId="0" xfId="0" applyFont="1" applyFill="1" applyAlignment="1">
      <alignment horizontal="centerContinuous"/>
    </xf>
    <xf numFmtId="37" fontId="14" fillId="6" borderId="0" xfId="0" applyFont="1" applyFill="1" applyAlignment="1">
      <alignment horizontal="left" indent="1"/>
    </xf>
    <xf numFmtId="10" fontId="14" fillId="0" borderId="0" xfId="939" applyNumberFormat="1" applyFont="1"/>
    <xf numFmtId="37" fontId="14" fillId="6" borderId="0" xfId="0" applyFont="1" applyFill="1" applyAlignment="1">
      <alignment horizontal="left" indent="2"/>
    </xf>
    <xf numFmtId="37" fontId="14" fillId="6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6" borderId="0" xfId="547" applyFont="1" applyFill="1"/>
    <xf numFmtId="37" fontId="19" fillId="6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7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8" borderId="0" xfId="0" applyFont="1" applyFill="1"/>
    <xf numFmtId="37" fontId="25" fillId="8" borderId="0" xfId="0" applyFont="1" applyFill="1" applyAlignment="1">
      <alignment horizontal="center"/>
    </xf>
    <xf numFmtId="37" fontId="25" fillId="9" borderId="0" xfId="0" applyFont="1" applyFill="1"/>
    <xf numFmtId="37" fontId="25" fillId="9" borderId="0" xfId="0" applyFont="1" applyFill="1" applyAlignment="1">
      <alignment horizontal="left"/>
    </xf>
    <xf numFmtId="37" fontId="25" fillId="9" borderId="0" xfId="0" applyFont="1" applyFill="1" applyAlignment="1">
      <alignment horizontal="center"/>
    </xf>
    <xf numFmtId="39" fontId="25" fillId="9" borderId="0" xfId="0" applyNumberFormat="1" applyFont="1" applyFill="1"/>
    <xf numFmtId="39" fontId="25" fillId="8" borderId="0" xfId="0" applyNumberFormat="1" applyFont="1" applyFill="1"/>
    <xf numFmtId="37" fontId="14" fillId="6" borderId="0" xfId="0" quotePrefix="1" applyFont="1" applyFill="1" applyAlignment="1">
      <alignment horizontal="fill"/>
    </xf>
    <xf numFmtId="38" fontId="14" fillId="6" borderId="0" xfId="0" applyNumberFormat="1" applyFont="1" applyFill="1"/>
    <xf numFmtId="39" fontId="14" fillId="6" borderId="0" xfId="0" applyNumberFormat="1" applyFont="1" applyFill="1"/>
    <xf numFmtId="2" fontId="14" fillId="6" borderId="0" xfId="0" applyNumberFormat="1" applyFont="1" applyFill="1"/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14" fillId="6" borderId="0" xfId="547" applyNumberFormat="1" applyFont="1" applyFill="1"/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0" fontId="15" fillId="0" borderId="0" xfId="631" applyFont="1">
      <alignment vertical="top"/>
      <protection locked="0"/>
    </xf>
    <xf numFmtId="37" fontId="16" fillId="30" borderId="1" xfId="0" applyFont="1" applyFill="1" applyBorder="1" applyProtection="1">
      <protection locked="0"/>
    </xf>
    <xf numFmtId="37" fontId="16" fillId="30" borderId="1" xfId="0" quotePrefix="1" applyFont="1" applyFill="1" applyBorder="1" applyProtection="1">
      <protection locked="0"/>
    </xf>
    <xf numFmtId="2" fontId="16" fillId="30" borderId="1" xfId="547" quotePrefix="1" applyNumberFormat="1" applyFont="1" applyFill="1" applyBorder="1" applyProtection="1">
      <protection locked="0"/>
    </xf>
    <xf numFmtId="37" fontId="16" fillId="30" borderId="1" xfId="547" quotePrefix="1" applyNumberFormat="1" applyFont="1" applyFill="1" applyBorder="1" applyProtection="1">
      <protection locked="0"/>
    </xf>
    <xf numFmtId="37" fontId="16" fillId="30" borderId="1" xfId="547" applyNumberFormat="1" applyFont="1" applyFill="1" applyBorder="1" applyProtection="1">
      <protection locked="0"/>
    </xf>
    <xf numFmtId="2" fontId="16" fillId="30" borderId="1" xfId="0" quotePrefix="1" applyNumberFormat="1" applyFont="1" applyFill="1" applyBorder="1" applyProtection="1">
      <protection locked="0"/>
    </xf>
    <xf numFmtId="2" fontId="16" fillId="30" borderId="1" xfId="939" quotePrefix="1" applyNumberFormat="1" applyFont="1" applyFill="1" applyBorder="1" applyProtection="1">
      <protection locked="0"/>
    </xf>
    <xf numFmtId="2" fontId="16" fillId="30" borderId="1" xfId="547" applyNumberFormat="1" applyFont="1" applyFill="1" applyBorder="1" applyProtection="1">
      <protection locked="0"/>
    </xf>
    <xf numFmtId="37" fontId="16" fillId="30" borderId="1" xfId="939" quotePrefix="1" applyNumberFormat="1" applyFont="1" applyFill="1" applyBorder="1" applyProtection="1">
      <protection locked="0"/>
    </xf>
    <xf numFmtId="1" fontId="16" fillId="30" borderId="1" xfId="0" quotePrefix="1" applyNumberFormat="1" applyFont="1" applyFill="1" applyBorder="1" applyProtection="1">
      <protection locked="0"/>
    </xf>
    <xf numFmtId="37" fontId="16" fillId="29" borderId="1" xfId="0" quotePrefix="1" applyFont="1" applyFill="1" applyBorder="1" applyProtection="1">
      <protection locked="0"/>
    </xf>
    <xf numFmtId="167" fontId="16" fillId="29" borderId="1" xfId="0" quotePrefix="1" applyNumberFormat="1" applyFont="1" applyFill="1" applyBorder="1" applyProtection="1">
      <protection locked="0"/>
    </xf>
    <xf numFmtId="38" fontId="16" fillId="29" borderId="8" xfId="0" applyNumberFormat="1" applyFont="1" applyFill="1" applyBorder="1" applyProtection="1">
      <protection locked="0"/>
    </xf>
    <xf numFmtId="38" fontId="16" fillId="29" borderId="2" xfId="0" applyNumberFormat="1" applyFont="1" applyFill="1" applyBorder="1" applyProtection="1">
      <protection locked="0"/>
    </xf>
    <xf numFmtId="3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4" xfId="0" applyNumberFormat="1" applyFont="1" applyFill="1" applyBorder="1" applyProtection="1">
      <protection locked="0"/>
    </xf>
    <xf numFmtId="38" fontId="16" fillId="29" borderId="14" xfId="0" quotePrefix="1" applyNumberFormat="1" applyFont="1" applyFill="1" applyBorder="1" applyProtection="1">
      <protection locked="0"/>
    </xf>
    <xf numFmtId="166" fontId="16" fillId="29" borderId="14" xfId="0" applyNumberFormat="1" applyFont="1" applyFill="1" applyBorder="1" applyAlignment="1" applyProtection="1">
      <alignment horizontal="left"/>
      <protection locked="0"/>
    </xf>
    <xf numFmtId="49" fontId="16" fillId="29" borderId="1" xfId="0" quotePrefix="1" applyNumberFormat="1" applyFont="1" applyFill="1" applyBorder="1" applyProtection="1">
      <protection locked="0"/>
    </xf>
    <xf numFmtId="16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right"/>
      <protection locked="0"/>
    </xf>
    <xf numFmtId="38" fontId="16" fillId="30" borderId="1" xfId="0" applyNumberFormat="1" applyFont="1" applyFill="1" applyBorder="1" applyProtection="1">
      <protection locked="0"/>
    </xf>
    <xf numFmtId="37" fontId="16" fillId="29" borderId="1" xfId="0" applyFont="1" applyFill="1" applyBorder="1" applyProtection="1">
      <protection locked="0"/>
    </xf>
    <xf numFmtId="38" fontId="24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center"/>
      <protection locked="0"/>
    </xf>
    <xf numFmtId="37" fontId="31" fillId="29" borderId="36" xfId="0" quotePrefix="1" applyFont="1" applyFill="1" applyBorder="1" applyAlignment="1">
      <alignment horizontal="left"/>
    </xf>
    <xf numFmtId="37" fontId="6" fillId="29" borderId="34" xfId="0" applyFont="1" applyFill="1" applyBorder="1"/>
    <xf numFmtId="38" fontId="6" fillId="29" borderId="34" xfId="0" applyNumberFormat="1" applyFont="1" applyFill="1" applyBorder="1"/>
    <xf numFmtId="37" fontId="6" fillId="29" borderId="39" xfId="0" applyFont="1" applyFill="1" applyBorder="1"/>
    <xf numFmtId="37" fontId="6" fillId="29" borderId="37" xfId="0" quotePrefix="1" applyFont="1" applyFill="1" applyBorder="1" applyAlignment="1">
      <alignment vertical="center" readingOrder="1"/>
    </xf>
    <xf numFmtId="37" fontId="6" fillId="29" borderId="0" xfId="0" quotePrefix="1" applyFont="1" applyFill="1" applyAlignment="1">
      <alignment horizontal="left"/>
    </xf>
    <xf numFmtId="38" fontId="6" fillId="29" borderId="0" xfId="0" applyNumberFormat="1" applyFont="1" applyFill="1"/>
    <xf numFmtId="37" fontId="6" fillId="29" borderId="0" xfId="0" applyFont="1" applyFill="1"/>
    <xf numFmtId="37" fontId="6" fillId="29" borderId="40" xfId="0" applyFont="1" applyFill="1" applyBorder="1"/>
    <xf numFmtId="37" fontId="5" fillId="29" borderId="37" xfId="0" quotePrefix="1" applyFont="1" applyFill="1" applyBorder="1"/>
    <xf numFmtId="37" fontId="6" fillId="29" borderId="37" xfId="0" applyFont="1" applyFill="1" applyBorder="1" applyAlignment="1">
      <alignment vertical="center" readingOrder="1"/>
    </xf>
    <xf numFmtId="37" fontId="5" fillId="29" borderId="38" xfId="0" quotePrefix="1" applyFont="1" applyFill="1" applyBorder="1"/>
    <xf numFmtId="37" fontId="6" fillId="29" borderId="35" xfId="0" applyFont="1" applyFill="1" applyBorder="1"/>
    <xf numFmtId="38" fontId="6" fillId="29" borderId="35" xfId="0" applyNumberFormat="1" applyFont="1" applyFill="1" applyBorder="1"/>
    <xf numFmtId="37" fontId="6" fillId="29" borderId="41" xfId="0" applyFont="1" applyFill="1" applyBorder="1"/>
    <xf numFmtId="37" fontId="45" fillId="0" borderId="0" xfId="0" applyFont="1"/>
    <xf numFmtId="37" fontId="14" fillId="29" borderId="0" xfId="0" applyFont="1" applyFill="1" applyProtection="1">
      <protection locked="0"/>
    </xf>
    <xf numFmtId="37" fontId="42" fillId="0" borderId="0" xfId="0" applyFont="1"/>
    <xf numFmtId="37" fontId="46" fillId="0" borderId="0" xfId="0" applyFont="1"/>
    <xf numFmtId="37" fontId="43" fillId="0" borderId="0" xfId="0" applyFont="1"/>
    <xf numFmtId="37" fontId="44" fillId="0" borderId="0" xfId="0" applyFont="1"/>
    <xf numFmtId="37" fontId="27" fillId="0" borderId="0" xfId="0" applyFont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1" xfId="0" applyFont="1" applyBorder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4" borderId="2" xfId="0" applyFont="1" applyFill="1" applyBorder="1"/>
    <xf numFmtId="37" fontId="26" fillId="5" borderId="2" xfId="0" applyFont="1" applyFill="1" applyBorder="1"/>
    <xf numFmtId="37" fontId="29" fillId="0" borderId="0" xfId="0" applyFont="1"/>
    <xf numFmtId="37" fontId="26" fillId="5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5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5" borderId="2" xfId="0" quotePrefix="1" applyFont="1" applyFill="1" applyBorder="1"/>
    <xf numFmtId="39" fontId="26" fillId="5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5" borderId="2" xfId="0" applyNumberFormat="1" applyFont="1" applyFill="1" applyBorder="1"/>
    <xf numFmtId="2" fontId="26" fillId="0" borderId="2" xfId="0" applyNumberFormat="1" applyFont="1" applyBorder="1"/>
    <xf numFmtId="3" fontId="26" fillId="5" borderId="2" xfId="0" applyNumberFormat="1" applyFont="1" applyFill="1" applyBorder="1"/>
    <xf numFmtId="2" fontId="14" fillId="0" borderId="0" xfId="0" applyNumberFormat="1" applyFont="1" applyAlignment="1">
      <alignment horizontal="right"/>
    </xf>
    <xf numFmtId="37" fontId="16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37" fontId="31" fillId="0" borderId="0" xfId="0" quotePrefix="1" applyFont="1" applyFill="1" applyBorder="1" applyAlignment="1">
      <alignment horizontal="left"/>
    </xf>
    <xf numFmtId="37" fontId="6" fillId="0" borderId="0" xfId="0" applyFont="1" applyFill="1" applyBorder="1"/>
    <xf numFmtId="38" fontId="6" fillId="0" borderId="0" xfId="0" applyNumberFormat="1" applyFont="1" applyFill="1" applyBorder="1"/>
    <xf numFmtId="37" fontId="6" fillId="0" borderId="0" xfId="0" quotePrefix="1" applyFont="1" applyFill="1" applyBorder="1" applyAlignment="1">
      <alignment vertical="center" readingOrder="1"/>
    </xf>
    <xf numFmtId="37" fontId="6" fillId="0" borderId="0" xfId="0" quotePrefix="1" applyFont="1" applyFill="1" applyBorder="1" applyAlignment="1">
      <alignment horizontal="left"/>
    </xf>
    <xf numFmtId="37" fontId="5" fillId="0" borderId="0" xfId="0" quotePrefix="1" applyFont="1" applyFill="1" applyBorder="1"/>
    <xf numFmtId="37" fontId="6" fillId="0" borderId="0" xfId="0" applyFont="1" applyFill="1" applyBorder="1" applyAlignment="1">
      <alignment vertical="center" readingOrder="1"/>
    </xf>
    <xf numFmtId="37" fontId="31" fillId="0" borderId="0" xfId="0" applyFont="1"/>
    <xf numFmtId="37" fontId="50" fillId="0" borderId="0" xfId="0" applyFont="1"/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9822C3-FCDC-40A6-8AF6-7C82A43B6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7" sqref="A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25" t="s">
        <v>1369</v>
      </c>
    </row>
    <row r="3" spans="1:5" x14ac:dyDescent="0.35">
      <c r="A3" s="56" t="s">
        <v>0</v>
      </c>
      <c r="C3" s="13"/>
    </row>
    <row r="4" spans="1:5" x14ac:dyDescent="0.35">
      <c r="A4" s="56" t="s">
        <v>1</v>
      </c>
      <c r="C4" s="13"/>
    </row>
    <row r="5" spans="1:5" x14ac:dyDescent="0.35">
      <c r="A5" s="11" t="s">
        <v>2</v>
      </c>
    </row>
    <row r="7" spans="1:5" x14ac:dyDescent="0.35">
      <c r="A7" s="324" t="s">
        <v>1368</v>
      </c>
    </row>
    <row r="8" spans="1:5" x14ac:dyDescent="0.35">
      <c r="C8" s="13"/>
    </row>
    <row r="9" spans="1:5" x14ac:dyDescent="0.35">
      <c r="A9" s="56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59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317" t="s">
        <v>28</v>
      </c>
      <c r="B36" s="318"/>
      <c r="C36" s="319"/>
      <c r="D36" s="318"/>
      <c r="E36" s="318"/>
      <c r="F36" s="318"/>
      <c r="G36" s="318"/>
    </row>
    <row r="37" spans="1:83" x14ac:dyDescent="0.35">
      <c r="A37" s="320" t="s">
        <v>29</v>
      </c>
      <c r="B37" s="321"/>
      <c r="C37" s="319"/>
      <c r="D37" s="318"/>
      <c r="E37" s="318"/>
      <c r="F37" s="318"/>
      <c r="G37" s="318"/>
    </row>
    <row r="38" spans="1:83" x14ac:dyDescent="0.35">
      <c r="A38" s="322" t="s">
        <v>30</v>
      </c>
      <c r="B38" s="321"/>
      <c r="C38" s="319"/>
      <c r="D38" s="318"/>
      <c r="E38" s="318"/>
      <c r="F38" s="318"/>
      <c r="G38" s="318"/>
    </row>
    <row r="39" spans="1:83" x14ac:dyDescent="0.35">
      <c r="A39" s="323" t="s">
        <v>31</v>
      </c>
      <c r="B39" s="318"/>
      <c r="C39" s="319"/>
      <c r="D39" s="318"/>
      <c r="E39" s="318"/>
      <c r="F39" s="318"/>
      <c r="G39" s="318"/>
    </row>
    <row r="40" spans="1:83" x14ac:dyDescent="0.35">
      <c r="A40" s="322" t="s">
        <v>32</v>
      </c>
      <c r="B40" s="318"/>
      <c r="C40" s="319"/>
      <c r="D40" s="318"/>
      <c r="E40" s="318"/>
      <c r="F40" s="318"/>
      <c r="G40" s="31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f>SUM(C47:CC47)</f>
        <v>0</v>
      </c>
    </row>
    <row r="48" spans="1:83" x14ac:dyDescent="0.35">
      <c r="A48" s="25" t="s">
        <v>232</v>
      </c>
      <c r="B48" s="234">
        <v>1971000.49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0</v>
      </c>
      <c r="F48" s="25">
        <f t="shared" si="0"/>
        <v>0</v>
      </c>
      <c r="G48" s="25">
        <f t="shared" si="0"/>
        <v>0</v>
      </c>
      <c r="H48" s="25">
        <f t="shared" si="0"/>
        <v>1115397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0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0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0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0</v>
      </c>
      <c r="AK48" s="25">
        <f t="shared" si="1"/>
        <v>0</v>
      </c>
      <c r="AL48" s="25">
        <f t="shared" si="1"/>
        <v>0</v>
      </c>
      <c r="AM48" s="25">
        <f t="shared" si="1"/>
        <v>24720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101497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45877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0</v>
      </c>
      <c r="BE48" s="25">
        <f t="shared" si="1"/>
        <v>45629</v>
      </c>
      <c r="BF48" s="25">
        <f t="shared" si="1"/>
        <v>0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64483</v>
      </c>
      <c r="BK48" s="25">
        <f t="shared" si="1"/>
        <v>32720</v>
      </c>
      <c r="BL48" s="25">
        <f t="shared" si="1"/>
        <v>251989</v>
      </c>
      <c r="BM48" s="25">
        <f t="shared" si="1"/>
        <v>0</v>
      </c>
      <c r="BN48" s="25">
        <f t="shared" si="1"/>
        <v>55004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17168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24452</v>
      </c>
      <c r="BW48" s="25">
        <f t="shared" si="2"/>
        <v>0</v>
      </c>
      <c r="BX48" s="25">
        <f t="shared" si="2"/>
        <v>0</v>
      </c>
      <c r="BY48" s="25">
        <f t="shared" si="2"/>
        <v>159485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32579</v>
      </c>
      <c r="CD48" s="25">
        <f t="shared" si="2"/>
        <v>0</v>
      </c>
      <c r="CE48" s="25">
        <f>SUM(C48:CD48)</f>
        <v>1971000</v>
      </c>
    </row>
    <row r="49" spans="1:83" x14ac:dyDescent="0.35">
      <c r="A49" s="16" t="s">
        <v>233</v>
      </c>
      <c r="B49" s="25">
        <f>B47+B48</f>
        <v>1971000.49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f>SUM(C51:CD51)</f>
        <v>0</v>
      </c>
    </row>
    <row r="52" spans="1:83" x14ac:dyDescent="0.35">
      <c r="A52" s="31" t="s">
        <v>235</v>
      </c>
      <c r="B52" s="234">
        <f>1095982</f>
        <v>1095982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0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0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0</v>
      </c>
      <c r="Z52" s="25">
        <f t="shared" si="3"/>
        <v>0</v>
      </c>
      <c r="AA52" s="25">
        <f t="shared" si="3"/>
        <v>0</v>
      </c>
      <c r="AB52" s="25">
        <f t="shared" si="3"/>
        <v>0</v>
      </c>
      <c r="AC52" s="25">
        <f t="shared" si="3"/>
        <v>0</v>
      </c>
      <c r="AD52" s="25">
        <f t="shared" si="3"/>
        <v>0</v>
      </c>
      <c r="AE52" s="25">
        <f t="shared" si="3"/>
        <v>0</v>
      </c>
      <c r="AF52" s="25">
        <f t="shared" si="3"/>
        <v>0</v>
      </c>
      <c r="AG52" s="25">
        <f t="shared" si="3"/>
        <v>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1095982</v>
      </c>
      <c r="BF52" s="25">
        <f t="shared" si="4"/>
        <v>0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0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0</v>
      </c>
      <c r="BW52" s="25">
        <f t="shared" si="5"/>
        <v>0</v>
      </c>
      <c r="BX52" s="25">
        <f t="shared" si="5"/>
        <v>0</v>
      </c>
      <c r="BY52" s="25">
        <f t="shared" si="5"/>
        <v>0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1095982</v>
      </c>
    </row>
    <row r="53" spans="1:83" x14ac:dyDescent="0.35">
      <c r="A53" s="16" t="s">
        <v>233</v>
      </c>
      <c r="B53" s="25">
        <f>B51+B52</f>
        <v>1095982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0</v>
      </c>
      <c r="F59" s="235">
        <v>0</v>
      </c>
      <c r="G59" s="235">
        <v>0</v>
      </c>
      <c r="H59" s="235">
        <v>21594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6">
        <v>0</v>
      </c>
      <c r="Q59" s="237">
        <v>0</v>
      </c>
      <c r="R59" s="237">
        <v>0</v>
      </c>
      <c r="S59" s="230">
        <v>0</v>
      </c>
      <c r="T59" s="230">
        <v>0</v>
      </c>
      <c r="U59" s="238">
        <v>0</v>
      </c>
      <c r="V59" s="237">
        <v>0</v>
      </c>
      <c r="W59" s="237">
        <v>0</v>
      </c>
      <c r="X59" s="237">
        <v>0</v>
      </c>
      <c r="Y59" s="237">
        <v>0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0</v>
      </c>
      <c r="AF59" s="237">
        <v>0</v>
      </c>
      <c r="AG59" s="237">
        <v>0</v>
      </c>
      <c r="AH59" s="237">
        <v>0</v>
      </c>
      <c r="AI59" s="237">
        <v>0</v>
      </c>
      <c r="AJ59" s="237">
        <v>0</v>
      </c>
      <c r="AK59" s="237">
        <v>0</v>
      </c>
      <c r="AL59" s="237">
        <v>0</v>
      </c>
      <c r="AM59" s="237">
        <v>0</v>
      </c>
      <c r="AN59" s="237">
        <v>0</v>
      </c>
      <c r="AO59" s="237">
        <v>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f>2294+3443</f>
        <v>5737</v>
      </c>
      <c r="AV59" s="230">
        <v>0</v>
      </c>
      <c r="AW59" s="230">
        <v>0</v>
      </c>
      <c r="AX59" s="230">
        <v>0</v>
      </c>
      <c r="AY59" s="237">
        <v>68889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49533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x14ac:dyDescent="0.35">
      <c r="A60" s="207" t="s">
        <v>262</v>
      </c>
      <c r="B60" s="208"/>
      <c r="C60" s="239">
        <v>0</v>
      </c>
      <c r="D60" s="239">
        <v>0</v>
      </c>
      <c r="E60" s="239">
        <v>0</v>
      </c>
      <c r="F60" s="239">
        <v>0</v>
      </c>
      <c r="G60" s="239">
        <v>0</v>
      </c>
      <c r="H60" s="239">
        <f>78.61+1.003846</f>
        <v>79.613845999999995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6">
        <v>0</v>
      </c>
      <c r="Q60" s="236">
        <v>0</v>
      </c>
      <c r="R60" s="236">
        <v>0</v>
      </c>
      <c r="S60" s="240">
        <v>0</v>
      </c>
      <c r="T60" s="240">
        <v>0</v>
      </c>
      <c r="U60" s="241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40">
        <v>0</v>
      </c>
      <c r="AC60" s="236">
        <v>0</v>
      </c>
      <c r="AD60" s="236">
        <v>0</v>
      </c>
      <c r="AE60" s="236">
        <v>0</v>
      </c>
      <c r="AF60" s="236">
        <v>0</v>
      </c>
      <c r="AG60" s="236">
        <v>0</v>
      </c>
      <c r="AH60" s="236">
        <v>0</v>
      </c>
      <c r="AI60" s="236">
        <v>0</v>
      </c>
      <c r="AJ60" s="236">
        <v>0</v>
      </c>
      <c r="AK60" s="236">
        <v>0</v>
      </c>
      <c r="AL60" s="236">
        <v>0</v>
      </c>
      <c r="AM60" s="236">
        <v>2.1920000000000002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7.9029999999999996</v>
      </c>
      <c r="AV60" s="240">
        <v>0</v>
      </c>
      <c r="AW60" s="240">
        <v>0</v>
      </c>
      <c r="AX60" s="240">
        <v>0</v>
      </c>
      <c r="AY60" s="236">
        <v>5.9505648999999998</v>
      </c>
      <c r="AZ60" s="236">
        <v>0</v>
      </c>
      <c r="BA60" s="240">
        <v>0</v>
      </c>
      <c r="BB60" s="240">
        <v>0</v>
      </c>
      <c r="BC60" s="240">
        <v>0</v>
      </c>
      <c r="BD60" s="240">
        <v>0</v>
      </c>
      <c r="BE60" s="236">
        <v>4.7309999999999999</v>
      </c>
      <c r="BF60" s="240">
        <v>0</v>
      </c>
      <c r="BG60" s="240">
        <v>0</v>
      </c>
      <c r="BH60" s="240">
        <v>0</v>
      </c>
      <c r="BI60" s="240">
        <v>0</v>
      </c>
      <c r="BJ60" s="240">
        <v>4.43</v>
      </c>
      <c r="BK60" s="240">
        <v>3.2429999999999999</v>
      </c>
      <c r="BL60" s="240">
        <v>15.183770000000001</v>
      </c>
      <c r="BM60" s="240">
        <v>0</v>
      </c>
      <c r="BN60" s="240">
        <v>2.2109999999999999</v>
      </c>
      <c r="BO60" s="240">
        <v>0</v>
      </c>
      <c r="BP60" s="240">
        <v>0</v>
      </c>
      <c r="BQ60" s="240">
        <v>0</v>
      </c>
      <c r="BR60" s="240">
        <v>1</v>
      </c>
      <c r="BS60" s="240">
        <v>0</v>
      </c>
      <c r="BT60" s="240">
        <v>0</v>
      </c>
      <c r="BU60" s="240">
        <v>0</v>
      </c>
      <c r="BV60" s="240">
        <v>2.4702099999999998</v>
      </c>
      <c r="BW60" s="240">
        <v>0</v>
      </c>
      <c r="BX60" s="240">
        <v>0</v>
      </c>
      <c r="BY60" s="240">
        <v>9.5500000000000007</v>
      </c>
      <c r="BZ60" s="240">
        <v>0</v>
      </c>
      <c r="CA60" s="240">
        <v>0</v>
      </c>
      <c r="CB60" s="240">
        <v>0</v>
      </c>
      <c r="CC60" s="240">
        <v>2.4540000000000002</v>
      </c>
      <c r="CD60" s="209" t="s">
        <v>248</v>
      </c>
      <c r="CE60" s="227">
        <f t="shared" ref="CE60:CE68" si="6">SUM(C60:CD60)</f>
        <v>140.93239090000003</v>
      </c>
    </row>
    <row r="61" spans="1:83" x14ac:dyDescent="0.35">
      <c r="A61" s="31" t="s">
        <v>263</v>
      </c>
      <c r="B61" s="16"/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35">
        <f>6942004.76+125506.39</f>
        <v>7067511.1499999994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7">
        <v>0</v>
      </c>
      <c r="Q61" s="237">
        <v>0</v>
      </c>
      <c r="R61" s="237">
        <v>0</v>
      </c>
      <c r="S61" s="242">
        <v>0</v>
      </c>
      <c r="T61" s="242">
        <v>0</v>
      </c>
      <c r="U61" s="238">
        <v>0</v>
      </c>
      <c r="V61" s="237">
        <v>0</v>
      </c>
      <c r="W61" s="237">
        <v>0</v>
      </c>
      <c r="X61" s="237">
        <v>0</v>
      </c>
      <c r="Y61" s="237">
        <v>0</v>
      </c>
      <c r="Z61" s="237">
        <v>0</v>
      </c>
      <c r="AA61" s="237">
        <v>0</v>
      </c>
      <c r="AB61" s="243">
        <v>0</v>
      </c>
      <c r="AC61" s="237">
        <v>0</v>
      </c>
      <c r="AD61" s="237">
        <v>0</v>
      </c>
      <c r="AE61" s="237">
        <v>0</v>
      </c>
      <c r="AF61" s="237">
        <v>0</v>
      </c>
      <c r="AG61" s="237">
        <v>0</v>
      </c>
      <c r="AH61" s="237">
        <v>0</v>
      </c>
      <c r="AI61" s="237">
        <v>0</v>
      </c>
      <c r="AJ61" s="237">
        <v>0</v>
      </c>
      <c r="AK61" s="237">
        <v>0</v>
      </c>
      <c r="AL61" s="237">
        <v>0</v>
      </c>
      <c r="AM61" s="237">
        <v>156631.73300000001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643117.48</v>
      </c>
      <c r="AV61" s="242">
        <v>0</v>
      </c>
      <c r="AW61" s="242">
        <v>0</v>
      </c>
      <c r="AX61" s="242">
        <v>0</v>
      </c>
      <c r="AY61" s="237">
        <v>290691.95</v>
      </c>
      <c r="AZ61" s="237">
        <v>0</v>
      </c>
      <c r="BA61" s="242">
        <v>0</v>
      </c>
      <c r="BB61" s="242">
        <v>0</v>
      </c>
      <c r="BC61" s="242">
        <v>0</v>
      </c>
      <c r="BD61" s="242">
        <v>0</v>
      </c>
      <c r="BE61" s="237">
        <v>289116.71000000002</v>
      </c>
      <c r="BF61" s="242">
        <v>0</v>
      </c>
      <c r="BG61" s="242">
        <v>0</v>
      </c>
      <c r="BH61" s="242">
        <v>0</v>
      </c>
      <c r="BI61" s="242">
        <v>0</v>
      </c>
      <c r="BJ61" s="242">
        <v>408586.81</v>
      </c>
      <c r="BK61" s="242">
        <v>207325.04</v>
      </c>
      <c r="BL61" s="242">
        <v>1596684.91</v>
      </c>
      <c r="BM61" s="242">
        <v>0</v>
      </c>
      <c r="BN61" s="242">
        <v>348522.03</v>
      </c>
      <c r="BO61" s="242">
        <v>0</v>
      </c>
      <c r="BP61" s="242">
        <v>0</v>
      </c>
      <c r="BQ61" s="242">
        <v>0</v>
      </c>
      <c r="BR61" s="242">
        <v>108782.52</v>
      </c>
      <c r="BS61" s="242">
        <v>0</v>
      </c>
      <c r="BT61" s="242">
        <v>0</v>
      </c>
      <c r="BU61" s="242">
        <v>0</v>
      </c>
      <c r="BV61" s="242">
        <v>154935.76</v>
      </c>
      <c r="BW61" s="242">
        <v>0</v>
      </c>
      <c r="BX61" s="242">
        <v>0</v>
      </c>
      <c r="BY61" s="242">
        <v>1010547.9</v>
      </c>
      <c r="BZ61" s="242">
        <v>0</v>
      </c>
      <c r="CA61" s="242">
        <v>0</v>
      </c>
      <c r="CB61" s="242">
        <v>0</v>
      </c>
      <c r="CC61" s="242">
        <f>245943.28-39512.4</f>
        <v>206430.88</v>
      </c>
      <c r="CD61" s="24" t="s">
        <v>248</v>
      </c>
      <c r="CE61" s="25">
        <f t="shared" si="6"/>
        <v>12488884.873</v>
      </c>
    </row>
    <row r="62" spans="1:83" x14ac:dyDescent="0.3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1115397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0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24720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101497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45877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45629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64483</v>
      </c>
      <c r="BK62" s="25">
        <f t="shared" si="8"/>
        <v>32720</v>
      </c>
      <c r="BL62" s="25">
        <f t="shared" si="8"/>
        <v>251989</v>
      </c>
      <c r="BM62" s="25">
        <f t="shared" si="8"/>
        <v>0</v>
      </c>
      <c r="BN62" s="25">
        <f t="shared" si="8"/>
        <v>55004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17168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24452</v>
      </c>
      <c r="BW62" s="25">
        <f t="shared" si="9"/>
        <v>0</v>
      </c>
      <c r="BX62" s="25">
        <f t="shared" si="9"/>
        <v>0</v>
      </c>
      <c r="BY62" s="25">
        <f t="shared" si="9"/>
        <v>159485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32579</v>
      </c>
      <c r="CD62" s="24" t="s">
        <v>248</v>
      </c>
      <c r="CE62" s="25">
        <f t="shared" si="6"/>
        <v>1971000</v>
      </c>
    </row>
    <row r="63" spans="1:83" x14ac:dyDescent="0.35">
      <c r="A63" s="31" t="s">
        <v>264</v>
      </c>
      <c r="B63" s="16"/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521787.7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0</v>
      </c>
      <c r="S63" s="242">
        <v>0</v>
      </c>
      <c r="T63" s="242">
        <v>0</v>
      </c>
      <c r="U63" s="238">
        <v>0</v>
      </c>
      <c r="V63" s="237">
        <v>0</v>
      </c>
      <c r="W63" s="237">
        <v>0</v>
      </c>
      <c r="X63" s="237">
        <v>0</v>
      </c>
      <c r="Y63" s="237">
        <v>0</v>
      </c>
      <c r="Z63" s="237">
        <v>0</v>
      </c>
      <c r="AA63" s="237">
        <v>0</v>
      </c>
      <c r="AB63" s="243">
        <v>0</v>
      </c>
      <c r="AC63" s="237">
        <v>0</v>
      </c>
      <c r="AD63" s="237">
        <v>0</v>
      </c>
      <c r="AE63" s="237">
        <v>0</v>
      </c>
      <c r="AF63" s="237">
        <v>0</v>
      </c>
      <c r="AG63" s="237">
        <v>0</v>
      </c>
      <c r="AH63" s="237">
        <v>0</v>
      </c>
      <c r="AI63" s="237">
        <v>0</v>
      </c>
      <c r="AJ63" s="237">
        <v>0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0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49558.5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6"/>
        <v>571346.19999999995</v>
      </c>
    </row>
    <row r="64" spans="1:83" x14ac:dyDescent="0.35">
      <c r="A64" s="31" t="s">
        <v>265</v>
      </c>
      <c r="B64" s="16"/>
      <c r="C64" s="235">
        <v>0</v>
      </c>
      <c r="D64" s="235">
        <v>0</v>
      </c>
      <c r="E64" s="235">
        <v>0</v>
      </c>
      <c r="F64" s="235">
        <v>0</v>
      </c>
      <c r="G64" s="235">
        <v>0</v>
      </c>
      <c r="H64" s="235">
        <v>196054.89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7">
        <v>0</v>
      </c>
      <c r="Q64" s="237">
        <v>0</v>
      </c>
      <c r="R64" s="237">
        <v>0</v>
      </c>
      <c r="S64" s="242">
        <v>0</v>
      </c>
      <c r="T64" s="242">
        <v>0</v>
      </c>
      <c r="U64" s="238">
        <v>0</v>
      </c>
      <c r="V64" s="237">
        <v>0</v>
      </c>
      <c r="W64" s="237">
        <v>0</v>
      </c>
      <c r="X64" s="237">
        <v>0</v>
      </c>
      <c r="Y64" s="237">
        <v>0</v>
      </c>
      <c r="Z64" s="237">
        <v>0</v>
      </c>
      <c r="AA64" s="237">
        <v>0</v>
      </c>
      <c r="AB64" s="243">
        <v>0</v>
      </c>
      <c r="AC64" s="237">
        <v>0</v>
      </c>
      <c r="AD64" s="237">
        <v>0</v>
      </c>
      <c r="AE64" s="237">
        <v>0</v>
      </c>
      <c r="AF64" s="237">
        <v>0</v>
      </c>
      <c r="AG64" s="237">
        <v>0</v>
      </c>
      <c r="AH64" s="237">
        <v>0</v>
      </c>
      <c r="AI64" s="237">
        <v>0</v>
      </c>
      <c r="AJ64" s="237">
        <v>0</v>
      </c>
      <c r="AK64" s="237">
        <v>0</v>
      </c>
      <c r="AL64" s="237">
        <v>0</v>
      </c>
      <c r="AM64" s="237">
        <v>1639.49</v>
      </c>
      <c r="AN64" s="237">
        <v>0</v>
      </c>
      <c r="AO64" s="237">
        <v>0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1654.38</v>
      </c>
      <c r="AV64" s="242">
        <v>0</v>
      </c>
      <c r="AW64" s="242">
        <v>0</v>
      </c>
      <c r="AX64" s="242">
        <v>0</v>
      </c>
      <c r="AY64" s="237">
        <v>27253.98</v>
      </c>
      <c r="AZ64" s="237">
        <v>0</v>
      </c>
      <c r="BA64" s="242">
        <v>0</v>
      </c>
      <c r="BB64" s="242">
        <v>0</v>
      </c>
      <c r="BC64" s="242">
        <v>0</v>
      </c>
      <c r="BD64" s="242">
        <v>0</v>
      </c>
      <c r="BE64" s="237">
        <v>74771.62</v>
      </c>
      <c r="BF64" s="242">
        <v>0</v>
      </c>
      <c r="BG64" s="242">
        <v>0</v>
      </c>
      <c r="BH64" s="242">
        <v>0</v>
      </c>
      <c r="BI64" s="242">
        <v>0</v>
      </c>
      <c r="BJ64" s="242">
        <v>0</v>
      </c>
      <c r="BK64" s="242">
        <v>118.58</v>
      </c>
      <c r="BL64" s="242">
        <v>10005.66</v>
      </c>
      <c r="BM64" s="242">
        <v>0</v>
      </c>
      <c r="BN64" s="242">
        <v>49512.72</v>
      </c>
      <c r="BO64" s="242">
        <v>0</v>
      </c>
      <c r="BP64" s="242">
        <v>0</v>
      </c>
      <c r="BQ64" s="242">
        <v>0</v>
      </c>
      <c r="BR64" s="242">
        <v>1256.6500000000001</v>
      </c>
      <c r="BS64" s="242">
        <v>0</v>
      </c>
      <c r="BT64" s="242">
        <v>0</v>
      </c>
      <c r="BU64" s="242">
        <v>0</v>
      </c>
      <c r="BV64" s="242">
        <v>381.64</v>
      </c>
      <c r="BW64" s="242">
        <v>0</v>
      </c>
      <c r="BX64" s="242">
        <v>0</v>
      </c>
      <c r="BY64" s="242">
        <v>3279.9</v>
      </c>
      <c r="BZ64" s="242">
        <v>0</v>
      </c>
      <c r="CA64" s="242">
        <v>0</v>
      </c>
      <c r="CB64" s="242">
        <v>0</v>
      </c>
      <c r="CC64" s="242">
        <v>12194.85</v>
      </c>
      <c r="CD64" s="24" t="s">
        <v>248</v>
      </c>
      <c r="CE64" s="25">
        <f t="shared" si="6"/>
        <v>378124.36</v>
      </c>
    </row>
    <row r="65" spans="1:83" x14ac:dyDescent="0.35">
      <c r="A65" s="31" t="s">
        <v>266</v>
      </c>
      <c r="B65" s="16"/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0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0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6"/>
        <v>0</v>
      </c>
    </row>
    <row r="66" spans="1:83" x14ac:dyDescent="0.35">
      <c r="A66" s="31" t="s">
        <v>267</v>
      </c>
      <c r="B66" s="16"/>
      <c r="C66" s="235">
        <v>0</v>
      </c>
      <c r="D66" s="235">
        <v>0</v>
      </c>
      <c r="E66" s="235">
        <v>0</v>
      </c>
      <c r="F66" s="235">
        <v>0</v>
      </c>
      <c r="G66" s="235">
        <v>0</v>
      </c>
      <c r="H66" s="235">
        <v>275609.43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7">
        <v>0</v>
      </c>
      <c r="Q66" s="237">
        <v>0</v>
      </c>
      <c r="R66" s="237">
        <v>0</v>
      </c>
      <c r="S66" s="242">
        <v>0</v>
      </c>
      <c r="T66" s="242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43">
        <v>0</v>
      </c>
      <c r="AC66" s="237">
        <v>0</v>
      </c>
      <c r="AD66" s="237">
        <v>0</v>
      </c>
      <c r="AE66" s="237">
        <v>0</v>
      </c>
      <c r="AF66" s="237">
        <v>0</v>
      </c>
      <c r="AG66" s="237">
        <v>0</v>
      </c>
      <c r="AH66" s="237">
        <v>0</v>
      </c>
      <c r="AI66" s="237">
        <v>0</v>
      </c>
      <c r="AJ66" s="237">
        <v>0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0</v>
      </c>
      <c r="AW66" s="242">
        <v>0</v>
      </c>
      <c r="AX66" s="242">
        <v>0</v>
      </c>
      <c r="AY66" s="237">
        <v>0</v>
      </c>
      <c r="AZ66" s="237">
        <v>0</v>
      </c>
      <c r="BA66" s="242">
        <v>0</v>
      </c>
      <c r="BB66" s="242">
        <v>0</v>
      </c>
      <c r="BC66" s="242">
        <v>0</v>
      </c>
      <c r="BD66" s="242">
        <v>0</v>
      </c>
      <c r="BE66" s="237">
        <v>0</v>
      </c>
      <c r="BF66" s="242">
        <v>0</v>
      </c>
      <c r="BG66" s="242">
        <v>0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136269.79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0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9484.58</v>
      </c>
      <c r="CD66" s="24" t="s">
        <v>248</v>
      </c>
      <c r="CE66" s="25">
        <f t="shared" si="6"/>
        <v>421363.8</v>
      </c>
    </row>
    <row r="67" spans="1:83" x14ac:dyDescent="0.3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1095982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248</v>
      </c>
      <c r="CE67" s="25">
        <f t="shared" si="6"/>
        <v>1095982</v>
      </c>
    </row>
    <row r="68" spans="1:83" x14ac:dyDescent="0.35">
      <c r="A68" s="31" t="s">
        <v>268</v>
      </c>
      <c r="B68" s="25"/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0</v>
      </c>
      <c r="AC68" s="237">
        <v>0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0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0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0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f t="shared" si="6"/>
        <v>0</v>
      </c>
    </row>
    <row r="69" spans="1:83" x14ac:dyDescent="0.3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851302.67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18327.11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316349.25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348006.9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587800.07999999996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21741.030000000002</v>
      </c>
      <c r="BK69" s="25">
        <f t="shared" si="14"/>
        <v>52048.77</v>
      </c>
      <c r="BL69" s="25">
        <f t="shared" si="14"/>
        <v>10709.189999999999</v>
      </c>
      <c r="BM69" s="25">
        <f t="shared" si="14"/>
        <v>0</v>
      </c>
      <c r="BN69" s="25">
        <f t="shared" si="14"/>
        <v>2750816.77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190017.44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9317.77</v>
      </c>
      <c r="BW69" s="25">
        <f t="shared" si="15"/>
        <v>2934694.48</v>
      </c>
      <c r="BX69" s="25">
        <f t="shared" si="15"/>
        <v>0</v>
      </c>
      <c r="BY69" s="25">
        <f t="shared" si="15"/>
        <v>31283.34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29241.29</v>
      </c>
      <c r="CD69" s="25">
        <f t="shared" si="15"/>
        <v>0</v>
      </c>
      <c r="CE69" s="25">
        <f t="shared" si="15"/>
        <v>8151656.0899999989</v>
      </c>
    </row>
    <row r="70" spans="1:83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0</v>
      </c>
    </row>
    <row r="71" spans="1:83" x14ac:dyDescent="0.35">
      <c r="A71" s="26" t="s">
        <v>271</v>
      </c>
      <c r="B71" s="27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668745.52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4620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17526.2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888.93</v>
      </c>
      <c r="BS71" s="244">
        <v>0</v>
      </c>
      <c r="BT71" s="244">
        <v>0</v>
      </c>
      <c r="BU71" s="244">
        <v>0</v>
      </c>
      <c r="BV71" s="244">
        <v>2817.09</v>
      </c>
      <c r="BW71" s="244">
        <f>561097.93+2441.09+170740.91+186732.04+1570460.27+151813.36+7499.4+63517.14</f>
        <v>2714302.14</v>
      </c>
      <c r="BX71" s="244">
        <v>0</v>
      </c>
      <c r="BY71" s="244">
        <v>28640</v>
      </c>
      <c r="BZ71" s="244">
        <v>0</v>
      </c>
      <c r="CA71" s="244">
        <v>0</v>
      </c>
      <c r="CB71" s="244">
        <v>0</v>
      </c>
      <c r="CC71" s="244">
        <v>14400</v>
      </c>
      <c r="CD71" s="244">
        <v>0</v>
      </c>
      <c r="CE71" s="25">
        <f t="shared" si="16"/>
        <v>3451939.88</v>
      </c>
    </row>
    <row r="72" spans="1:83" x14ac:dyDescent="0.3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44100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2511.5100000000002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3183.76</v>
      </c>
      <c r="BM72" s="244">
        <v>0</v>
      </c>
      <c r="BN72" s="244">
        <v>88541.16</v>
      </c>
      <c r="BO72" s="244">
        <v>0</v>
      </c>
      <c r="BP72" s="244">
        <v>0</v>
      </c>
      <c r="BQ72" s="244">
        <v>0</v>
      </c>
      <c r="BR72" s="244">
        <v>1957.04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140293.47</v>
      </c>
    </row>
    <row r="73" spans="1:83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197560.75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f t="shared" si="16"/>
        <v>197560.75</v>
      </c>
    </row>
    <row r="74" spans="1:83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87442.33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87442.33</v>
      </c>
    </row>
    <row r="75" spans="1:83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643.13</v>
      </c>
      <c r="BK75" s="244">
        <v>39113.99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106034.08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si="16"/>
        <v>145791.20000000001</v>
      </c>
    </row>
    <row r="76" spans="1:83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115122.25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13532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20245</v>
      </c>
      <c r="AV76" s="244">
        <v>0</v>
      </c>
      <c r="AW76" s="244">
        <v>0</v>
      </c>
      <c r="AX76" s="244">
        <v>0</v>
      </c>
      <c r="AY76" s="244">
        <v>3087.1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58123.34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12134.8</v>
      </c>
      <c r="BL76" s="244">
        <v>6353.38</v>
      </c>
      <c r="BM76" s="244">
        <v>0</v>
      </c>
      <c r="BN76" s="244">
        <v>123794.97</v>
      </c>
      <c r="BO76" s="244">
        <v>0</v>
      </c>
      <c r="BP76" s="244">
        <v>0</v>
      </c>
      <c r="BQ76" s="244">
        <v>0</v>
      </c>
      <c r="BR76" s="244">
        <v>61708.22</v>
      </c>
      <c r="BS76" s="244">
        <v>0</v>
      </c>
      <c r="BT76" s="244">
        <v>0</v>
      </c>
      <c r="BU76" s="244">
        <v>0</v>
      </c>
      <c r="BV76" s="244">
        <v>6350.68</v>
      </c>
      <c r="BW76" s="244">
        <v>57179.13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249</v>
      </c>
      <c r="CD76" s="244">
        <v>0</v>
      </c>
      <c r="CE76" s="25">
        <f t="shared" si="16"/>
        <v>477879.86999999994</v>
      </c>
    </row>
    <row r="77" spans="1:83" x14ac:dyDescent="0.3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2551.8000000000002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190306.44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1960.86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57179.13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58.7</v>
      </c>
      <c r="CD77" s="244">
        <v>0</v>
      </c>
      <c r="CE77" s="25">
        <f t="shared" si="16"/>
        <v>252056.93</v>
      </c>
    </row>
    <row r="78" spans="1:83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271174.3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409110.22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680284.52</v>
      </c>
    </row>
    <row r="79" spans="1:83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47750.239999999998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47750.239999999998</v>
      </c>
    </row>
    <row r="80" spans="1:83" x14ac:dyDescent="0.35">
      <c r="A80" s="26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9199.9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1253.8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200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270</v>
      </c>
      <c r="BM80" s="244">
        <v>0</v>
      </c>
      <c r="BN80" s="244">
        <v>1927.85</v>
      </c>
      <c r="BO80" s="244">
        <v>0</v>
      </c>
      <c r="BP80" s="244">
        <v>0</v>
      </c>
      <c r="BQ80" s="244">
        <v>0</v>
      </c>
      <c r="BR80" s="244">
        <v>32211.88</v>
      </c>
      <c r="BS80" s="244">
        <v>0</v>
      </c>
      <c r="BT80" s="244">
        <v>0</v>
      </c>
      <c r="BU80" s="244">
        <v>0</v>
      </c>
      <c r="BV80" s="244">
        <v>100</v>
      </c>
      <c r="BW80" s="244">
        <v>0</v>
      </c>
      <c r="BX80" s="244">
        <v>0</v>
      </c>
      <c r="BY80" s="244">
        <v>405</v>
      </c>
      <c r="BZ80" s="244">
        <v>0</v>
      </c>
      <c r="CA80" s="244">
        <v>0</v>
      </c>
      <c r="CB80" s="244">
        <v>0</v>
      </c>
      <c r="CC80" s="244">
        <v>2135</v>
      </c>
      <c r="CD80" s="244">
        <v>0</v>
      </c>
      <c r="CE80" s="25">
        <f t="shared" si="16"/>
        <v>47703.43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1715926.09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f t="shared" si="16"/>
        <v>1715926.09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1575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248737.51</v>
      </c>
      <c r="BF82" s="244">
        <v>0</v>
      </c>
      <c r="BG82" s="244">
        <v>0</v>
      </c>
      <c r="BH82" s="244">
        <v>0</v>
      </c>
      <c r="BI82" s="244">
        <v>0</v>
      </c>
      <c r="BJ82" s="244">
        <v>1350</v>
      </c>
      <c r="BK82" s="244">
        <v>750</v>
      </c>
      <c r="BL82" s="244">
        <v>825</v>
      </c>
      <c r="BM82" s="244">
        <v>0</v>
      </c>
      <c r="BN82" s="244">
        <v>56587.17</v>
      </c>
      <c r="BO82" s="244">
        <v>0</v>
      </c>
      <c r="BP82" s="244">
        <v>0</v>
      </c>
      <c r="BQ82" s="244">
        <v>0</v>
      </c>
      <c r="BR82" s="244">
        <v>1050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550</v>
      </c>
      <c r="BZ82" s="244">
        <v>0</v>
      </c>
      <c r="CA82" s="244">
        <v>0</v>
      </c>
      <c r="CB82" s="244">
        <v>0</v>
      </c>
      <c r="CC82" s="244">
        <v>1875</v>
      </c>
      <c r="CD82" s="244">
        <v>0</v>
      </c>
      <c r="CE82" s="25">
        <f t="shared" si="16"/>
        <v>313299.68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0</v>
      </c>
      <c r="F83" s="237">
        <v>0</v>
      </c>
      <c r="G83" s="235">
        <v>0</v>
      </c>
      <c r="H83" s="235">
        <v>14135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0</v>
      </c>
      <c r="P83" s="237">
        <v>0</v>
      </c>
      <c r="Q83" s="237">
        <v>0</v>
      </c>
      <c r="R83" s="238">
        <v>0</v>
      </c>
      <c r="S83" s="237">
        <v>0</v>
      </c>
      <c r="T83" s="235">
        <v>0</v>
      </c>
      <c r="U83" s="237">
        <v>0</v>
      </c>
      <c r="V83" s="237">
        <v>0</v>
      </c>
      <c r="W83" s="235">
        <v>0</v>
      </c>
      <c r="X83" s="237">
        <v>0</v>
      </c>
      <c r="Y83" s="237">
        <v>0</v>
      </c>
      <c r="Z83" s="237">
        <v>0</v>
      </c>
      <c r="AA83" s="237">
        <v>0</v>
      </c>
      <c r="AB83" s="237">
        <v>0</v>
      </c>
      <c r="AC83" s="237">
        <v>0</v>
      </c>
      <c r="AD83" s="237">
        <v>0</v>
      </c>
      <c r="AE83" s="237">
        <v>0</v>
      </c>
      <c r="AF83" s="237">
        <v>0</v>
      </c>
      <c r="AG83" s="237">
        <v>0</v>
      </c>
      <c r="AH83" s="237">
        <v>0</v>
      </c>
      <c r="AI83" s="237">
        <v>0</v>
      </c>
      <c r="AJ83" s="237">
        <v>0</v>
      </c>
      <c r="AK83" s="237">
        <v>0</v>
      </c>
      <c r="AL83" s="237">
        <v>0</v>
      </c>
      <c r="AM83" s="237">
        <v>175.11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22101.15</v>
      </c>
      <c r="AV83" s="237">
        <v>0</v>
      </c>
      <c r="AW83" s="237">
        <v>0</v>
      </c>
      <c r="AX83" s="237">
        <v>0</v>
      </c>
      <c r="AY83" s="237">
        <v>342368</v>
      </c>
      <c r="AZ83" s="237">
        <v>0</v>
      </c>
      <c r="BA83" s="237">
        <v>0</v>
      </c>
      <c r="BB83" s="237">
        <v>0</v>
      </c>
      <c r="BC83" s="237">
        <v>0</v>
      </c>
      <c r="BD83" s="237">
        <v>0</v>
      </c>
      <c r="BE83" s="237">
        <f>25.7+453.25</f>
        <v>478.95</v>
      </c>
      <c r="BF83" s="237">
        <v>0</v>
      </c>
      <c r="BG83" s="237">
        <v>0</v>
      </c>
      <c r="BH83" s="238">
        <v>0</v>
      </c>
      <c r="BI83" s="237">
        <v>0</v>
      </c>
      <c r="BJ83" s="237">
        <v>2221.6999999999998</v>
      </c>
      <c r="BK83" s="237">
        <v>49.98</v>
      </c>
      <c r="BL83" s="237">
        <v>77.05</v>
      </c>
      <c r="BM83" s="237">
        <v>0</v>
      </c>
      <c r="BN83" s="237">
        <f>169.69+155238.01</f>
        <v>155407.70000000001</v>
      </c>
      <c r="BO83" s="237">
        <v>0</v>
      </c>
      <c r="BP83" s="237">
        <v>0</v>
      </c>
      <c r="BQ83" s="237">
        <v>0</v>
      </c>
      <c r="BR83" s="237">
        <v>44451.13</v>
      </c>
      <c r="BS83" s="237">
        <v>0</v>
      </c>
      <c r="BT83" s="237">
        <v>0</v>
      </c>
      <c r="BU83" s="237">
        <v>0</v>
      </c>
      <c r="BV83" s="237">
        <v>50</v>
      </c>
      <c r="BW83" s="237">
        <v>0</v>
      </c>
      <c r="BX83" s="237">
        <v>0</v>
      </c>
      <c r="BY83" s="237">
        <v>1688.34</v>
      </c>
      <c r="BZ83" s="237">
        <v>0</v>
      </c>
      <c r="CA83" s="237">
        <v>0</v>
      </c>
      <c r="CB83" s="237">
        <v>0</v>
      </c>
      <c r="CC83" s="237">
        <f>77.64+10445.95</f>
        <v>10523.59</v>
      </c>
      <c r="CD83" s="244">
        <v>0</v>
      </c>
      <c r="CE83" s="25">
        <f t="shared" si="16"/>
        <v>593727.69999999995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/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/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f t="shared" si="16"/>
        <v>0</v>
      </c>
    </row>
    <row r="85" spans="1:84" x14ac:dyDescent="0.3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0</v>
      </c>
      <c r="F85" s="25">
        <f t="shared" si="17"/>
        <v>0</v>
      </c>
      <c r="G85" s="25">
        <f t="shared" si="17"/>
        <v>0</v>
      </c>
      <c r="H85" s="25">
        <f t="shared" si="17"/>
        <v>10027662.84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0</v>
      </c>
      <c r="T85" s="25">
        <f t="shared" si="17"/>
        <v>0</v>
      </c>
      <c r="U85" s="25">
        <f t="shared" si="17"/>
        <v>0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0</v>
      </c>
      <c r="Z85" s="25">
        <f t="shared" si="17"/>
        <v>0</v>
      </c>
      <c r="AA85" s="25">
        <f t="shared" si="17"/>
        <v>0</v>
      </c>
      <c r="AB85" s="25">
        <f t="shared" si="17"/>
        <v>0</v>
      </c>
      <c r="AC85" s="25">
        <f t="shared" si="17"/>
        <v>0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201318.33299999998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1062618.1099999999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711829.83000000007</v>
      </c>
      <c r="AZ85" s="25">
        <f t="shared" si="18"/>
        <v>0</v>
      </c>
      <c r="BA85" s="25">
        <f t="shared" si="18"/>
        <v>0</v>
      </c>
      <c r="BB85" s="25">
        <f t="shared" si="18"/>
        <v>0</v>
      </c>
      <c r="BC85" s="25">
        <f t="shared" si="18"/>
        <v>0</v>
      </c>
      <c r="BD85" s="25">
        <f t="shared" si="18"/>
        <v>0</v>
      </c>
      <c r="BE85" s="25">
        <f t="shared" si="18"/>
        <v>2093299.4100000001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494810.84</v>
      </c>
      <c r="BK85" s="25">
        <f t="shared" si="18"/>
        <v>292212.39</v>
      </c>
      <c r="BL85" s="25">
        <f t="shared" si="18"/>
        <v>1869388.7599999998</v>
      </c>
      <c r="BM85" s="25">
        <f t="shared" si="18"/>
        <v>0</v>
      </c>
      <c r="BN85" s="25">
        <f t="shared" si="18"/>
        <v>3389683.81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317224.61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189087.17</v>
      </c>
      <c r="BW85" s="25">
        <f t="shared" si="19"/>
        <v>2934694.48</v>
      </c>
      <c r="BX85" s="25">
        <f t="shared" si="19"/>
        <v>0</v>
      </c>
      <c r="BY85" s="25">
        <f t="shared" si="19"/>
        <v>1204596.1399999999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289930.59999999998</v>
      </c>
      <c r="CD85" s="25">
        <f t="shared" si="19"/>
        <v>0</v>
      </c>
      <c r="CE85" s="25">
        <f t="shared" si="16"/>
        <v>25078357.323000003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0</v>
      </c>
      <c r="F87" s="235">
        <v>0</v>
      </c>
      <c r="G87" s="235">
        <v>0</v>
      </c>
      <c r="H87" s="235">
        <f>57520439+4398680</f>
        <v>61919119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0</v>
      </c>
      <c r="V87" s="235">
        <v>0</v>
      </c>
      <c r="W87" s="235">
        <v>0</v>
      </c>
      <c r="X87" s="235">
        <v>0</v>
      </c>
      <c r="Y87" s="235">
        <v>0</v>
      </c>
      <c r="Z87" s="235">
        <v>0</v>
      </c>
      <c r="AA87" s="235">
        <v>0</v>
      </c>
      <c r="AB87" s="235">
        <v>0</v>
      </c>
      <c r="AC87" s="235">
        <v>0</v>
      </c>
      <c r="AD87" s="235">
        <v>0</v>
      </c>
      <c r="AE87" s="235">
        <v>0</v>
      </c>
      <c r="AF87" s="235">
        <v>0</v>
      </c>
      <c r="AG87" s="235">
        <v>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61919119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v>0</v>
      </c>
      <c r="AF88" s="235">
        <v>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f>2748087+3042001</f>
        <v>5790088</v>
      </c>
      <c r="AV88" s="235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5790088</v>
      </c>
    </row>
    <row r="89" spans="1:84" x14ac:dyDescent="0.3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61919119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0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5790088</v>
      </c>
      <c r="AV89" s="25">
        <f t="shared" si="21"/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67709207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0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v>0</v>
      </c>
      <c r="AF90" s="235">
        <v>0</v>
      </c>
      <c r="AG90" s="235">
        <v>0</v>
      </c>
      <c r="AH90" s="235">
        <v>0</v>
      </c>
      <c r="AI90" s="235">
        <v>0</v>
      </c>
      <c r="AJ90" s="235">
        <v>0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0</v>
      </c>
      <c r="AZ90" s="235">
        <v>0</v>
      </c>
      <c r="BA90" s="235">
        <v>0</v>
      </c>
      <c r="BB90" s="235">
        <v>0</v>
      </c>
      <c r="BC90" s="235">
        <v>0</v>
      </c>
      <c r="BD90" s="235">
        <v>0</v>
      </c>
      <c r="BE90" s="235">
        <v>49533</v>
      </c>
      <c r="BF90" s="235">
        <v>0</v>
      </c>
      <c r="BG90" s="235">
        <v>0</v>
      </c>
      <c r="BH90" s="235">
        <v>0</v>
      </c>
      <c r="BI90" s="235">
        <v>0</v>
      </c>
      <c r="BJ90" s="235">
        <v>0</v>
      </c>
      <c r="BK90" s="235">
        <v>0</v>
      </c>
      <c r="BL90" s="235">
        <v>0</v>
      </c>
      <c r="BM90" s="235">
        <v>0</v>
      </c>
      <c r="BN90" s="235">
        <v>0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0</v>
      </c>
      <c r="BW90" s="235">
        <v>0</v>
      </c>
      <c r="BX90" s="235">
        <v>0</v>
      </c>
      <c r="BY90" s="235">
        <v>0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f t="shared" si="20"/>
        <v>49533</v>
      </c>
      <c r="CF90" s="25">
        <f>BE59-CE90</f>
        <v>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0</v>
      </c>
      <c r="F91" s="235">
        <v>0</v>
      </c>
      <c r="G91" s="235">
        <v>0</v>
      </c>
      <c r="H91" s="235">
        <v>64779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f>2184+238</f>
        <v>2422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f>200+1488</f>
        <v>1688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f t="shared" si="20"/>
        <v>68889</v>
      </c>
      <c r="CF91" s="25">
        <f>AY59-CE91</f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0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0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f t="shared" si="20"/>
        <v>0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0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0</v>
      </c>
      <c r="P93" s="235">
        <v>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0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0</v>
      </c>
      <c r="AH93" s="235">
        <v>0</v>
      </c>
      <c r="AI93" s="235">
        <v>0</v>
      </c>
      <c r="AJ93" s="235">
        <v>0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f t="shared" si="20"/>
        <v>0</v>
      </c>
      <c r="CF93" s="25">
        <f>BA59</f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0</v>
      </c>
      <c r="F94" s="239">
        <v>0</v>
      </c>
      <c r="G94" s="239">
        <v>0</v>
      </c>
      <c r="H94" s="239">
        <v>69379.25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0</v>
      </c>
      <c r="P94" s="236">
        <v>0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0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415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69794.25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1360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>
        <v>925</v>
      </c>
      <c r="D97" s="246" t="s">
        <v>5</v>
      </c>
      <c r="E97" s="247" t="s">
        <v>5</v>
      </c>
      <c r="F97" s="12"/>
    </row>
    <row r="98" spans="1:6" x14ac:dyDescent="0.35">
      <c r="A98" s="25" t="s">
        <v>300</v>
      </c>
      <c r="B98" s="32" t="s">
        <v>299</v>
      </c>
      <c r="C98" s="249" t="s">
        <v>301</v>
      </c>
      <c r="D98" s="246" t="s">
        <v>5</v>
      </c>
      <c r="E98" s="247" t="s">
        <v>5</v>
      </c>
      <c r="F98" s="12"/>
    </row>
    <row r="99" spans="1:6" x14ac:dyDescent="0.35">
      <c r="A99" s="25" t="s">
        <v>302</v>
      </c>
      <c r="B99" s="32" t="s">
        <v>299</v>
      </c>
      <c r="C99" s="250" t="s">
        <v>303</v>
      </c>
      <c r="D99" s="246" t="s">
        <v>5</v>
      </c>
      <c r="E99" s="247" t="s">
        <v>5</v>
      </c>
      <c r="F99" s="12"/>
    </row>
    <row r="100" spans="1:6" x14ac:dyDescent="0.35">
      <c r="A100" s="25" t="s">
        <v>304</v>
      </c>
      <c r="B100" s="32" t="s">
        <v>299</v>
      </c>
      <c r="C100" s="249" t="s">
        <v>305</v>
      </c>
      <c r="D100" s="246" t="s">
        <v>5</v>
      </c>
      <c r="E100" s="247" t="s">
        <v>5</v>
      </c>
      <c r="F100" s="12"/>
    </row>
    <row r="101" spans="1:6" x14ac:dyDescent="0.35">
      <c r="A101" s="25" t="s">
        <v>306</v>
      </c>
      <c r="B101" s="32" t="s">
        <v>299</v>
      </c>
      <c r="C101" s="249" t="s">
        <v>307</v>
      </c>
      <c r="D101" s="246" t="s">
        <v>5</v>
      </c>
      <c r="E101" s="247" t="s">
        <v>5</v>
      </c>
      <c r="F101" s="12"/>
    </row>
    <row r="102" spans="1:6" x14ac:dyDescent="0.35">
      <c r="A102" s="25" t="s">
        <v>308</v>
      </c>
      <c r="B102" s="32" t="s">
        <v>299</v>
      </c>
      <c r="C102" s="251" t="s">
        <v>309</v>
      </c>
      <c r="D102" s="246" t="s">
        <v>5</v>
      </c>
      <c r="E102" s="247" t="s">
        <v>5</v>
      </c>
      <c r="F102" s="12"/>
    </row>
    <row r="103" spans="1:6" x14ac:dyDescent="0.35">
      <c r="A103" s="25" t="s">
        <v>310</v>
      </c>
      <c r="B103" s="32" t="s">
        <v>299</v>
      </c>
      <c r="C103" s="249"/>
      <c r="D103" s="246" t="s">
        <v>5</v>
      </c>
      <c r="E103" s="247" t="s">
        <v>5</v>
      </c>
      <c r="F103" s="12"/>
    </row>
    <row r="104" spans="1:6" x14ac:dyDescent="0.35">
      <c r="A104" s="25" t="s">
        <v>311</v>
      </c>
      <c r="B104" s="32" t="s">
        <v>299</v>
      </c>
      <c r="C104" s="252" t="s">
        <v>312</v>
      </c>
      <c r="D104" s="246" t="s">
        <v>5</v>
      </c>
      <c r="E104" s="247" t="s">
        <v>5</v>
      </c>
      <c r="F104" s="12"/>
    </row>
    <row r="105" spans="1:6" x14ac:dyDescent="0.35">
      <c r="A105" s="25" t="s">
        <v>313</v>
      </c>
      <c r="B105" s="32" t="s">
        <v>299</v>
      </c>
      <c r="C105" s="252" t="s">
        <v>314</v>
      </c>
      <c r="D105" s="246" t="s">
        <v>5</v>
      </c>
      <c r="E105" s="247" t="s">
        <v>5</v>
      </c>
      <c r="F105" s="12"/>
    </row>
    <row r="106" spans="1:6" x14ac:dyDescent="0.35">
      <c r="A106" s="25" t="s">
        <v>315</v>
      </c>
      <c r="B106" s="32" t="s">
        <v>299</v>
      </c>
      <c r="C106" s="249" t="s">
        <v>5</v>
      </c>
      <c r="D106" s="246" t="s">
        <v>5</v>
      </c>
      <c r="E106" s="247" t="s">
        <v>5</v>
      </c>
      <c r="F106" s="12"/>
    </row>
    <row r="107" spans="1:6" x14ac:dyDescent="0.35">
      <c r="A107" s="25" t="s">
        <v>317</v>
      </c>
      <c r="B107" s="32" t="s">
        <v>299</v>
      </c>
      <c r="C107" s="253" t="s">
        <v>318</v>
      </c>
      <c r="D107" s="246" t="s">
        <v>5</v>
      </c>
      <c r="E107" s="247" t="s">
        <v>5</v>
      </c>
      <c r="F107" s="12"/>
    </row>
    <row r="108" spans="1:6" x14ac:dyDescent="0.35">
      <c r="A108" s="25" t="s">
        <v>319</v>
      </c>
      <c r="B108" s="32" t="s">
        <v>299</v>
      </c>
      <c r="C108" s="253"/>
      <c r="D108" s="246" t="s">
        <v>5</v>
      </c>
      <c r="E108" s="247" t="s">
        <v>5</v>
      </c>
      <c r="F108" s="12"/>
    </row>
    <row r="109" spans="1:6" x14ac:dyDescent="0.35">
      <c r="A109" s="33" t="s">
        <v>320</v>
      </c>
      <c r="B109" s="32" t="s">
        <v>299</v>
      </c>
      <c r="C109" s="249" t="s">
        <v>314</v>
      </c>
      <c r="D109" s="246" t="s">
        <v>5</v>
      </c>
      <c r="E109" s="247" t="s">
        <v>5</v>
      </c>
      <c r="F109" s="12"/>
    </row>
    <row r="110" spans="1:6" x14ac:dyDescent="0.35">
      <c r="A110" s="33" t="s">
        <v>321</v>
      </c>
      <c r="B110" s="32" t="s">
        <v>299</v>
      </c>
      <c r="C110" s="249" t="s">
        <v>322</v>
      </c>
      <c r="D110" s="246" t="s">
        <v>5</v>
      </c>
      <c r="E110" s="247" t="s">
        <v>5</v>
      </c>
      <c r="F110" s="12"/>
    </row>
    <row r="111" spans="1:6" x14ac:dyDescent="0.35">
      <c r="A111" s="30" t="s">
        <v>323</v>
      </c>
      <c r="B111" s="30"/>
      <c r="C111" s="30"/>
      <c r="D111" s="30"/>
      <c r="E111" s="30"/>
    </row>
    <row r="112" spans="1:6" x14ac:dyDescent="0.35">
      <c r="A112" s="34" t="s">
        <v>324</v>
      </c>
      <c r="B112" s="34"/>
      <c r="C112" s="34"/>
      <c r="D112" s="34"/>
      <c r="E112" s="34"/>
    </row>
    <row r="113" spans="1:5" x14ac:dyDescent="0.35">
      <c r="A113" s="16" t="s">
        <v>306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325</v>
      </c>
      <c r="B115" s="35" t="s">
        <v>299</v>
      </c>
      <c r="C115" s="254">
        <v>0</v>
      </c>
      <c r="D115" s="16"/>
      <c r="E115" s="16"/>
    </row>
    <row r="116" spans="1:5" x14ac:dyDescent="0.35">
      <c r="A116" s="34" t="s">
        <v>326</v>
      </c>
      <c r="B116" s="34"/>
      <c r="C116" s="34"/>
      <c r="D116" s="34"/>
      <c r="E116" s="34"/>
    </row>
    <row r="117" spans="1:5" x14ac:dyDescent="0.35">
      <c r="A117" s="16" t="s">
        <v>327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328</v>
      </c>
      <c r="B119" s="34"/>
      <c r="C119" s="34"/>
      <c r="D119" s="34"/>
      <c r="E119" s="34"/>
    </row>
    <row r="120" spans="1:5" x14ac:dyDescent="0.35">
      <c r="A120" s="16" t="s">
        <v>329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330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331</v>
      </c>
      <c r="B122" s="35" t="s">
        <v>299</v>
      </c>
      <c r="C122" s="254">
        <v>1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332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35" t="s">
        <v>299</v>
      </c>
      <c r="C127" s="256">
        <f>3576-1267</f>
        <v>2309</v>
      </c>
      <c r="D127" s="257">
        <v>6</v>
      </c>
      <c r="E127" s="16"/>
    </row>
    <row r="128" spans="1:5" x14ac:dyDescent="0.35">
      <c r="A128" s="16" t="s">
        <v>336</v>
      </c>
      <c r="B128" s="35" t="s">
        <v>299</v>
      </c>
      <c r="C128" s="256">
        <v>0</v>
      </c>
      <c r="D128" s="257">
        <v>0</v>
      </c>
      <c r="E128" s="16"/>
    </row>
    <row r="129" spans="1:5" x14ac:dyDescent="0.35">
      <c r="A129" s="16" t="s">
        <v>337</v>
      </c>
      <c r="B129" s="35" t="s">
        <v>299</v>
      </c>
      <c r="C129" s="254">
        <v>1267</v>
      </c>
      <c r="D129" s="257">
        <v>3.5</v>
      </c>
      <c r="E129" s="16"/>
    </row>
    <row r="130" spans="1:5" x14ac:dyDescent="0.35">
      <c r="A130" s="16" t="s">
        <v>338</v>
      </c>
      <c r="B130" s="35" t="s">
        <v>299</v>
      </c>
      <c r="C130" s="254">
        <v>0</v>
      </c>
      <c r="D130" s="257">
        <v>0</v>
      </c>
      <c r="E130" s="16"/>
    </row>
    <row r="131" spans="1:5" x14ac:dyDescent="0.35">
      <c r="A131" s="21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341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342</v>
      </c>
      <c r="B134" s="35" t="s">
        <v>299</v>
      </c>
      <c r="C134" s="258">
        <v>0</v>
      </c>
      <c r="D134" s="16"/>
      <c r="E134" s="16"/>
    </row>
    <row r="135" spans="1:5" x14ac:dyDescent="0.35">
      <c r="A135" s="16" t="s">
        <v>343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344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345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49</v>
      </c>
      <c r="D138" s="16"/>
      <c r="E138" s="16"/>
    </row>
    <row r="139" spans="1:5" x14ac:dyDescent="0.35">
      <c r="A139" s="16" t="s">
        <v>346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347</v>
      </c>
      <c r="B140" s="35"/>
      <c r="C140" s="254">
        <v>0</v>
      </c>
      <c r="D140" s="16"/>
      <c r="E140" s="16"/>
    </row>
    <row r="141" spans="1:5" x14ac:dyDescent="0.35">
      <c r="A141" s="16" t="s">
        <v>337</v>
      </c>
      <c r="B141" s="35" t="s">
        <v>299</v>
      </c>
      <c r="C141" s="254">
        <v>23</v>
      </c>
      <c r="D141" s="16"/>
      <c r="E141" s="16"/>
    </row>
    <row r="142" spans="1:5" x14ac:dyDescent="0.35">
      <c r="A142" s="16" t="s">
        <v>348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349</v>
      </c>
      <c r="B143" s="16"/>
      <c r="C143" s="22"/>
      <c r="D143" s="16"/>
      <c r="E143" s="25">
        <f>SUM(C132:C142)</f>
        <v>72</v>
      </c>
    </row>
    <row r="144" spans="1:5" x14ac:dyDescent="0.35">
      <c r="A144" s="16" t="s">
        <v>350</v>
      </c>
      <c r="B144" s="35" t="s">
        <v>299</v>
      </c>
      <c r="C144" s="256">
        <v>72</v>
      </c>
      <c r="D144" s="16"/>
      <c r="E144" s="16"/>
    </row>
    <row r="145" spans="1:6" x14ac:dyDescent="0.35">
      <c r="A145" s="16" t="s">
        <v>351</v>
      </c>
      <c r="B145" s="35" t="s">
        <v>299</v>
      </c>
      <c r="C145" s="254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352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353</v>
      </c>
      <c r="B152" s="37"/>
      <c r="C152" s="37"/>
      <c r="D152" s="37"/>
      <c r="E152" s="37"/>
    </row>
    <row r="153" spans="1:6" x14ac:dyDescent="0.35">
      <c r="A153" s="38" t="s">
        <v>354</v>
      </c>
      <c r="B153" s="39" t="s">
        <v>355</v>
      </c>
      <c r="C153" s="40" t="s">
        <v>356</v>
      </c>
      <c r="D153" s="39" t="s">
        <v>159</v>
      </c>
      <c r="E153" s="39" t="s">
        <v>230</v>
      </c>
    </row>
    <row r="154" spans="1:6" x14ac:dyDescent="0.35">
      <c r="A154" s="16" t="s">
        <v>334</v>
      </c>
      <c r="B154" s="257">
        <v>526</v>
      </c>
      <c r="C154" s="257">
        <v>2343</v>
      </c>
      <c r="D154" s="257">
        <v>707</v>
      </c>
      <c r="E154" s="25">
        <f>SUM(B154:D154)</f>
        <v>3576</v>
      </c>
    </row>
    <row r="155" spans="1:6" x14ac:dyDescent="0.35">
      <c r="A155" s="16" t="s">
        <v>242</v>
      </c>
      <c r="B155" s="257">
        <v>3964</v>
      </c>
      <c r="C155" s="257">
        <v>13630</v>
      </c>
      <c r="D155" s="257">
        <v>4000</v>
      </c>
      <c r="E155" s="25">
        <f>SUM(B155:D155)</f>
        <v>21594</v>
      </c>
    </row>
    <row r="156" spans="1:6" x14ac:dyDescent="0.35">
      <c r="A156" s="16" t="s">
        <v>357</v>
      </c>
      <c r="B156" s="257">
        <f>382+601</f>
        <v>983</v>
      </c>
      <c r="C156" s="257">
        <f>1068+685</f>
        <v>1753</v>
      </c>
      <c r="D156" s="257">
        <f>844+2157</f>
        <v>3001</v>
      </c>
      <c r="E156" s="25">
        <f>SUM(B156:D156)</f>
        <v>5737</v>
      </c>
    </row>
    <row r="157" spans="1:6" x14ac:dyDescent="0.35">
      <c r="A157" s="16" t="s">
        <v>287</v>
      </c>
      <c r="B157" s="257">
        <v>4389413.6399999997</v>
      </c>
      <c r="C157" s="257">
        <v>13160272.939999999</v>
      </c>
      <c r="D157" s="257">
        <v>7502701</v>
      </c>
      <c r="E157" s="25">
        <f>SUM(B157:D157)</f>
        <v>25052387.579999998</v>
      </c>
      <c r="F157" s="14"/>
    </row>
    <row r="158" spans="1:6" x14ac:dyDescent="0.35">
      <c r="A158" s="16" t="s">
        <v>288</v>
      </c>
      <c r="B158" s="257">
        <v>295388.40999999997</v>
      </c>
      <c r="C158" s="257">
        <v>409879.35</v>
      </c>
      <c r="D158" s="257">
        <v>1590275.25</v>
      </c>
      <c r="E158" s="25">
        <f>SUM(B158:D158)</f>
        <v>2295543.0099999998</v>
      </c>
      <c r="F158" s="14"/>
    </row>
    <row r="159" spans="1:6" x14ac:dyDescent="0.35">
      <c r="A159" s="38" t="s">
        <v>358</v>
      </c>
      <c r="B159" s="39" t="s">
        <v>355</v>
      </c>
      <c r="C159" s="40" t="s">
        <v>356</v>
      </c>
      <c r="D159" s="39" t="s">
        <v>159</v>
      </c>
      <c r="E159" s="39" t="s">
        <v>230</v>
      </c>
    </row>
    <row r="160" spans="1:6" x14ac:dyDescent="0.35">
      <c r="A160" s="16" t="s">
        <v>334</v>
      </c>
      <c r="B160" s="234">
        <v>0</v>
      </c>
      <c r="C160" s="234">
        <v>0</v>
      </c>
      <c r="D160" s="234">
        <v>0</v>
      </c>
      <c r="E160" s="25">
        <f>SUM(B160:D160)</f>
        <v>0</v>
      </c>
    </row>
    <row r="161" spans="1:5" x14ac:dyDescent="0.35">
      <c r="A161" s="16" t="s">
        <v>242</v>
      </c>
      <c r="B161" s="234">
        <v>0</v>
      </c>
      <c r="C161" s="234">
        <v>0</v>
      </c>
      <c r="D161" s="234">
        <v>0</v>
      </c>
      <c r="E161" s="25">
        <f>SUM(B161:D161)</f>
        <v>0</v>
      </c>
    </row>
    <row r="162" spans="1:5" x14ac:dyDescent="0.35">
      <c r="A162" s="16" t="s">
        <v>357</v>
      </c>
      <c r="B162" s="257">
        <v>0</v>
      </c>
      <c r="C162" s="257">
        <v>0</v>
      </c>
      <c r="D162" s="257">
        <v>0</v>
      </c>
      <c r="E162" s="25">
        <f>SUM(B162:D162)</f>
        <v>0</v>
      </c>
    </row>
    <row r="163" spans="1:5" x14ac:dyDescent="0.35">
      <c r="A163" s="16" t="s">
        <v>287</v>
      </c>
      <c r="B163" s="234">
        <v>0</v>
      </c>
      <c r="C163" s="234">
        <v>0</v>
      </c>
      <c r="D163" s="234">
        <v>0</v>
      </c>
      <c r="E163" s="25">
        <f>SUM(B163:D163)</f>
        <v>0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x14ac:dyDescent="0.35">
      <c r="A165" s="38" t="s">
        <v>359</v>
      </c>
      <c r="B165" s="39" t="s">
        <v>355</v>
      </c>
      <c r="C165" s="40" t="s">
        <v>356</v>
      </c>
      <c r="D165" s="39" t="s">
        <v>159</v>
      </c>
      <c r="E165" s="39" t="s">
        <v>230</v>
      </c>
    </row>
    <row r="166" spans="1:5" x14ac:dyDescent="0.35">
      <c r="A166" s="16" t="s">
        <v>334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x14ac:dyDescent="0.35">
      <c r="A168" s="16" t="s">
        <v>357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360</v>
      </c>
      <c r="B172" s="39" t="s">
        <v>361</v>
      </c>
      <c r="C172" s="40" t="s">
        <v>362</v>
      </c>
      <c r="D172" s="16"/>
      <c r="E172" s="16"/>
    </row>
    <row r="173" spans="1:5" x14ac:dyDescent="0.35">
      <c r="A173" s="20" t="s">
        <v>363</v>
      </c>
      <c r="B173" s="234">
        <v>1086651.3</v>
      </c>
      <c r="C173" s="234">
        <v>2650785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364</v>
      </c>
      <c r="B179" s="30"/>
      <c r="C179" s="30"/>
      <c r="D179" s="30"/>
      <c r="E179" s="30"/>
    </row>
    <row r="180" spans="1:5" x14ac:dyDescent="0.35">
      <c r="A180" s="34" t="s">
        <v>365</v>
      </c>
      <c r="B180" s="34"/>
      <c r="C180" s="34"/>
      <c r="D180" s="34"/>
      <c r="E180" s="34"/>
    </row>
    <row r="181" spans="1:5" x14ac:dyDescent="0.35">
      <c r="A181" s="16" t="s">
        <v>366</v>
      </c>
      <c r="B181" s="35" t="s">
        <v>299</v>
      </c>
      <c r="C181" s="254">
        <f>741544.66+176380.94</f>
        <v>917925.60000000009</v>
      </c>
      <c r="D181" s="16"/>
      <c r="E181" s="16"/>
    </row>
    <row r="182" spans="1:5" x14ac:dyDescent="0.35">
      <c r="A182" s="16" t="s">
        <v>367</v>
      </c>
      <c r="B182" s="35" t="s">
        <v>299</v>
      </c>
      <c r="C182" s="254">
        <f>10421.87+94171.68</f>
        <v>104593.54999999999</v>
      </c>
      <c r="D182" s="16"/>
      <c r="E182" s="16"/>
    </row>
    <row r="183" spans="1:5" x14ac:dyDescent="0.35">
      <c r="A183" s="20" t="s">
        <v>368</v>
      </c>
      <c r="B183" s="35" t="s">
        <v>299</v>
      </c>
      <c r="C183" s="254">
        <v>386158.47</v>
      </c>
      <c r="D183" s="16"/>
      <c r="E183" s="16"/>
    </row>
    <row r="184" spans="1:5" x14ac:dyDescent="0.35">
      <c r="A184" s="16" t="s">
        <v>369</v>
      </c>
      <c r="B184" s="35" t="s">
        <v>299</v>
      </c>
      <c r="C184" s="254">
        <v>739643.17</v>
      </c>
      <c r="D184" s="16"/>
      <c r="E184" s="16"/>
    </row>
    <row r="185" spans="1:5" x14ac:dyDescent="0.35">
      <c r="A185" s="16" t="s">
        <v>370</v>
      </c>
      <c r="B185" s="35" t="s">
        <v>299</v>
      </c>
      <c r="C185" s="254">
        <v>0</v>
      </c>
      <c r="D185" s="16"/>
      <c r="E185" s="16"/>
    </row>
    <row r="186" spans="1:5" x14ac:dyDescent="0.35">
      <c r="A186" s="16" t="s">
        <v>371</v>
      </c>
      <c r="B186" s="35" t="s">
        <v>299</v>
      </c>
      <c r="C186" s="254">
        <v>55162.76</v>
      </c>
      <c r="D186" s="16"/>
      <c r="E186" s="16"/>
    </row>
    <row r="187" spans="1:5" x14ac:dyDescent="0.35">
      <c r="A187" s="16" t="s">
        <v>372</v>
      </c>
      <c r="B187" s="35" t="s">
        <v>299</v>
      </c>
      <c r="C187" s="254">
        <v>15237.29</v>
      </c>
      <c r="D187" s="16"/>
      <c r="E187" s="16"/>
    </row>
    <row r="188" spans="1:5" x14ac:dyDescent="0.35">
      <c r="A188" s="16" t="s">
        <v>372</v>
      </c>
      <c r="B188" s="35" t="s">
        <v>299</v>
      </c>
      <c r="C188" s="254">
        <v>0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f>SUM(C181:C188)</f>
        <v>2218720.84</v>
      </c>
      <c r="E189" s="16"/>
    </row>
    <row r="190" spans="1:5" x14ac:dyDescent="0.35">
      <c r="A190" s="34" t="s">
        <v>373</v>
      </c>
      <c r="B190" s="34"/>
      <c r="C190" s="34"/>
      <c r="D190" s="34"/>
      <c r="E190" s="34"/>
    </row>
    <row r="191" spans="1:5" x14ac:dyDescent="0.35">
      <c r="A191" s="16" t="s">
        <v>374</v>
      </c>
      <c r="B191" s="35" t="s">
        <v>299</v>
      </c>
      <c r="C191" s="254">
        <v>0</v>
      </c>
      <c r="D191" s="16"/>
      <c r="E191" s="16"/>
    </row>
    <row r="192" spans="1:5" x14ac:dyDescent="0.35">
      <c r="A192" s="16" t="s">
        <v>375</v>
      </c>
      <c r="B192" s="35" t="s">
        <v>299</v>
      </c>
      <c r="C192" s="254">
        <v>0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f>SUM(C191:C192)</f>
        <v>0</v>
      </c>
      <c r="E193" s="16"/>
    </row>
    <row r="194" spans="1:5" x14ac:dyDescent="0.35">
      <c r="A194" s="34" t="s">
        <v>376</v>
      </c>
      <c r="B194" s="34"/>
      <c r="C194" s="34"/>
      <c r="D194" s="34"/>
      <c r="E194" s="34"/>
    </row>
    <row r="195" spans="1:5" x14ac:dyDescent="0.35">
      <c r="A195" s="16" t="s">
        <v>377</v>
      </c>
      <c r="B195" s="35" t="s">
        <v>299</v>
      </c>
      <c r="C195" s="254">
        <v>0</v>
      </c>
      <c r="D195" s="16"/>
      <c r="E195" s="16"/>
    </row>
    <row r="196" spans="1:5" x14ac:dyDescent="0.35">
      <c r="A196" s="16" t="s">
        <v>378</v>
      </c>
      <c r="B196" s="35" t="s">
        <v>299</v>
      </c>
      <c r="C196" s="254">
        <v>0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f>SUM(C195:C196)</f>
        <v>0</v>
      </c>
      <c r="E197" s="16"/>
    </row>
    <row r="198" spans="1:5" x14ac:dyDescent="0.35">
      <c r="A198" s="34" t="s">
        <v>379</v>
      </c>
      <c r="B198" s="34"/>
      <c r="C198" s="34"/>
      <c r="D198" s="34"/>
      <c r="E198" s="34"/>
    </row>
    <row r="199" spans="1:5" x14ac:dyDescent="0.35">
      <c r="A199" s="16" t="s">
        <v>380</v>
      </c>
      <c r="B199" s="35" t="s">
        <v>299</v>
      </c>
      <c r="C199" s="254">
        <v>0</v>
      </c>
      <c r="D199" s="16"/>
      <c r="E199" s="16"/>
    </row>
    <row r="200" spans="1:5" x14ac:dyDescent="0.35">
      <c r="A200" s="16" t="s">
        <v>381</v>
      </c>
      <c r="B200" s="35" t="s">
        <v>299</v>
      </c>
      <c r="C200" s="254">
        <v>0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f>SUM(C199:C201)</f>
        <v>0</v>
      </c>
      <c r="E202" s="16"/>
    </row>
    <row r="203" spans="1:5" x14ac:dyDescent="0.35">
      <c r="A203" s="34" t="s">
        <v>382</v>
      </c>
      <c r="B203" s="34"/>
      <c r="C203" s="34"/>
      <c r="D203" s="34"/>
      <c r="E203" s="34"/>
    </row>
    <row r="204" spans="1:5" x14ac:dyDescent="0.35">
      <c r="A204" s="16" t="s">
        <v>383</v>
      </c>
      <c r="B204" s="35" t="s">
        <v>299</v>
      </c>
      <c r="C204" s="254">
        <v>0</v>
      </c>
      <c r="D204" s="16"/>
      <c r="E204" s="16"/>
    </row>
    <row r="205" spans="1:5" x14ac:dyDescent="0.35">
      <c r="A205" s="16" t="s">
        <v>384</v>
      </c>
      <c r="B205" s="35" t="s">
        <v>299</v>
      </c>
      <c r="C205" s="254">
        <v>3039053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f>SUM(C204:C205)</f>
        <v>3039053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385</v>
      </c>
      <c r="B208" s="30"/>
      <c r="C208" s="30"/>
      <c r="D208" s="30"/>
      <c r="E208" s="30"/>
    </row>
    <row r="209" spans="1:5" x14ac:dyDescent="0.35">
      <c r="A209" s="37" t="s">
        <v>386</v>
      </c>
      <c r="B209" s="30"/>
      <c r="C209" s="30"/>
      <c r="D209" s="30"/>
      <c r="E209" s="30"/>
    </row>
    <row r="210" spans="1:5" x14ac:dyDescent="0.35">
      <c r="A210" s="21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254">
        <v>3515260</v>
      </c>
      <c r="C211" s="254">
        <v>0</v>
      </c>
      <c r="D211" s="257">
        <v>0</v>
      </c>
      <c r="E211" s="25">
        <f t="shared" ref="E211:E219" si="22">SUM(B211:C211)-D211</f>
        <v>3515260</v>
      </c>
    </row>
    <row r="212" spans="1:5" x14ac:dyDescent="0.35">
      <c r="A212" s="16" t="s">
        <v>392</v>
      </c>
      <c r="B212" s="254">
        <v>0</v>
      </c>
      <c r="C212" s="254">
        <v>0</v>
      </c>
      <c r="D212" s="257">
        <v>0</v>
      </c>
      <c r="E212" s="25">
        <f t="shared" si="22"/>
        <v>0</v>
      </c>
    </row>
    <row r="213" spans="1:5" x14ac:dyDescent="0.35">
      <c r="A213" s="16" t="s">
        <v>393</v>
      </c>
      <c r="B213" s="254">
        <v>19384740</v>
      </c>
      <c r="C213" s="254">
        <v>0</v>
      </c>
      <c r="D213" s="257">
        <v>0</v>
      </c>
      <c r="E213" s="25">
        <f t="shared" si="22"/>
        <v>19384740</v>
      </c>
    </row>
    <row r="214" spans="1:5" x14ac:dyDescent="0.35">
      <c r="A214" s="16" t="s">
        <v>394</v>
      </c>
      <c r="B214" s="254">
        <v>0</v>
      </c>
      <c r="C214" s="254">
        <v>0</v>
      </c>
      <c r="D214" s="257">
        <v>0</v>
      </c>
      <c r="E214" s="25">
        <f t="shared" si="22"/>
        <v>0</v>
      </c>
    </row>
    <row r="215" spans="1:5" x14ac:dyDescent="0.35">
      <c r="A215" s="16" t="s">
        <v>395</v>
      </c>
      <c r="B215" s="254">
        <v>0</v>
      </c>
      <c r="C215" s="254">
        <v>0</v>
      </c>
      <c r="D215" s="257">
        <v>0</v>
      </c>
      <c r="E215" s="25">
        <f t="shared" si="22"/>
        <v>0</v>
      </c>
    </row>
    <row r="216" spans="1:5" x14ac:dyDescent="0.35">
      <c r="A216" s="16" t="s">
        <v>396</v>
      </c>
      <c r="B216" s="254">
        <v>1107388</v>
      </c>
      <c r="C216" s="254">
        <v>0</v>
      </c>
      <c r="D216" s="257">
        <v>0</v>
      </c>
      <c r="E216" s="25">
        <f t="shared" si="22"/>
        <v>1107388</v>
      </c>
    </row>
    <row r="217" spans="1:5" x14ac:dyDescent="0.35">
      <c r="A217" s="16" t="s">
        <v>397</v>
      </c>
      <c r="B217" s="254">
        <v>157214</v>
      </c>
      <c r="C217" s="254">
        <v>0</v>
      </c>
      <c r="D217" s="257">
        <v>0</v>
      </c>
      <c r="E217" s="25">
        <f t="shared" si="22"/>
        <v>157214</v>
      </c>
    </row>
    <row r="218" spans="1:5" x14ac:dyDescent="0.35">
      <c r="A218" s="16" t="s">
        <v>398</v>
      </c>
      <c r="B218" s="254">
        <v>0</v>
      </c>
      <c r="C218" s="254">
        <v>0</v>
      </c>
      <c r="D218" s="257">
        <v>0</v>
      </c>
      <c r="E218" s="25">
        <f t="shared" si="22"/>
        <v>0</v>
      </c>
    </row>
    <row r="219" spans="1:5" x14ac:dyDescent="0.35">
      <c r="A219" s="16" t="s">
        <v>399</v>
      </c>
      <c r="B219" s="254">
        <v>0</v>
      </c>
      <c r="C219" s="254">
        <v>0</v>
      </c>
      <c r="D219" s="257">
        <v>0</v>
      </c>
      <c r="E219" s="25">
        <f t="shared" si="22"/>
        <v>0</v>
      </c>
    </row>
    <row r="220" spans="1:5" x14ac:dyDescent="0.35">
      <c r="A220" s="16" t="s">
        <v>230</v>
      </c>
      <c r="B220" s="25">
        <f>SUM(B211:B219)</f>
        <v>24164602</v>
      </c>
      <c r="C220" s="225">
        <f>SUM(C211:C219)</f>
        <v>0</v>
      </c>
      <c r="D220" s="25">
        <f>SUM(D211:D219)</f>
        <v>0</v>
      </c>
      <c r="E220" s="25">
        <f>SUM(E211:E219)</f>
        <v>24164602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400</v>
      </c>
      <c r="B222" s="37"/>
      <c r="C222" s="37"/>
      <c r="D222" s="37"/>
      <c r="E222" s="37"/>
    </row>
    <row r="223" spans="1:5" x14ac:dyDescent="0.35">
      <c r="A223" s="21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42"/>
      <c r="C224" s="41"/>
      <c r="D224" s="42"/>
      <c r="E224" s="16"/>
    </row>
    <row r="225" spans="1:6" x14ac:dyDescent="0.35">
      <c r="A225" s="16" t="s">
        <v>392</v>
      </c>
      <c r="B225" s="254">
        <v>0</v>
      </c>
      <c r="C225" s="254">
        <v>0</v>
      </c>
      <c r="D225" s="257">
        <v>0</v>
      </c>
      <c r="E225" s="25">
        <f t="shared" ref="E225:E232" si="23">SUM(B225:C225)-D225</f>
        <v>0</v>
      </c>
    </row>
    <row r="226" spans="1:6" x14ac:dyDescent="0.35">
      <c r="A226" s="16" t="s">
        <v>393</v>
      </c>
      <c r="B226" s="254">
        <v>1457175</v>
      </c>
      <c r="C226" s="254">
        <v>0</v>
      </c>
      <c r="D226" s="257">
        <v>0</v>
      </c>
      <c r="E226" s="25">
        <f t="shared" si="23"/>
        <v>1457175</v>
      </c>
    </row>
    <row r="227" spans="1:6" x14ac:dyDescent="0.35">
      <c r="A227" s="16" t="s">
        <v>394</v>
      </c>
      <c r="B227" s="254">
        <v>0</v>
      </c>
      <c r="C227" s="254">
        <v>0</v>
      </c>
      <c r="D227" s="257">
        <v>0</v>
      </c>
      <c r="E227" s="25">
        <f t="shared" si="23"/>
        <v>0</v>
      </c>
    </row>
    <row r="228" spans="1:6" x14ac:dyDescent="0.35">
      <c r="A228" s="16" t="s">
        <v>395</v>
      </c>
      <c r="B228" s="254">
        <v>281624</v>
      </c>
      <c r="C228" s="254">
        <v>0</v>
      </c>
      <c r="D228" s="257">
        <v>0</v>
      </c>
      <c r="E228" s="25">
        <f t="shared" si="23"/>
        <v>281624</v>
      </c>
    </row>
    <row r="229" spans="1:6" x14ac:dyDescent="0.35">
      <c r="A229" s="16" t="s">
        <v>396</v>
      </c>
      <c r="B229" s="254">
        <v>0</v>
      </c>
      <c r="C229" s="254">
        <v>0</v>
      </c>
      <c r="D229" s="257">
        <v>0</v>
      </c>
      <c r="E229" s="25">
        <f t="shared" si="23"/>
        <v>0</v>
      </c>
    </row>
    <row r="230" spans="1:6" x14ac:dyDescent="0.35">
      <c r="A230" s="16" t="s">
        <v>397</v>
      </c>
      <c r="B230" s="254">
        <v>70413</v>
      </c>
      <c r="C230" s="254">
        <v>0</v>
      </c>
      <c r="D230" s="257">
        <v>0</v>
      </c>
      <c r="E230" s="25">
        <f t="shared" si="23"/>
        <v>70413</v>
      </c>
    </row>
    <row r="231" spans="1:6" x14ac:dyDescent="0.35">
      <c r="A231" s="16" t="s">
        <v>398</v>
      </c>
      <c r="B231" s="254">
        <v>0</v>
      </c>
      <c r="C231" s="254">
        <v>0</v>
      </c>
      <c r="D231" s="257">
        <v>0</v>
      </c>
      <c r="E231" s="25">
        <f t="shared" si="23"/>
        <v>0</v>
      </c>
    </row>
    <row r="232" spans="1:6" x14ac:dyDescent="0.35">
      <c r="A232" s="16" t="s">
        <v>399</v>
      </c>
      <c r="B232" s="254">
        <v>0</v>
      </c>
      <c r="C232" s="254">
        <v>0</v>
      </c>
      <c r="D232" s="257">
        <v>0</v>
      </c>
      <c r="E232" s="25">
        <f t="shared" si="23"/>
        <v>0</v>
      </c>
    </row>
    <row r="233" spans="1:6" x14ac:dyDescent="0.35">
      <c r="A233" s="16" t="s">
        <v>230</v>
      </c>
      <c r="B233" s="25">
        <f>SUM(B224:B232)</f>
        <v>1809212</v>
      </c>
      <c r="C233" s="225">
        <f>SUM(C224:C232)</f>
        <v>0</v>
      </c>
      <c r="D233" s="25">
        <f>SUM(D224:D232)</f>
        <v>0</v>
      </c>
      <c r="E233" s="25">
        <f>SUM(E224:E232)</f>
        <v>1809212</v>
      </c>
    </row>
    <row r="234" spans="1:6" x14ac:dyDescent="0.35">
      <c r="A234" s="16"/>
      <c r="B234" s="16"/>
      <c r="C234" s="22"/>
      <c r="D234" s="16"/>
      <c r="E234" s="16"/>
      <c r="F234" s="11">
        <f>E220-E233</f>
        <v>22355390</v>
      </c>
    </row>
    <row r="235" spans="1:6" x14ac:dyDescent="0.35">
      <c r="A235" s="30" t="s">
        <v>401</v>
      </c>
      <c r="B235" s="30"/>
      <c r="C235" s="30"/>
      <c r="D235" s="30"/>
      <c r="E235" s="30"/>
    </row>
    <row r="236" spans="1:6" x14ac:dyDescent="0.35">
      <c r="A236" s="30"/>
      <c r="B236" s="315" t="s">
        <v>402</v>
      </c>
      <c r="C236" s="315"/>
      <c r="D236" s="30"/>
      <c r="E236" s="30"/>
    </row>
    <row r="237" spans="1:6" x14ac:dyDescent="0.35">
      <c r="A237" s="43" t="s">
        <v>402</v>
      </c>
      <c r="B237" s="30"/>
      <c r="C237" s="254">
        <f>6893+387495</f>
        <v>394388</v>
      </c>
      <c r="D237" s="32">
        <f>C237</f>
        <v>394388</v>
      </c>
      <c r="E237" s="30"/>
    </row>
    <row r="238" spans="1:6" x14ac:dyDescent="0.35">
      <c r="A238" s="34" t="s">
        <v>403</v>
      </c>
      <c r="B238" s="34"/>
      <c r="C238" s="34"/>
      <c r="D238" s="34"/>
      <c r="E238" s="34"/>
    </row>
    <row r="239" spans="1:6" x14ac:dyDescent="0.35">
      <c r="A239" s="16" t="s">
        <v>404</v>
      </c>
      <c r="B239" s="35" t="s">
        <v>299</v>
      </c>
      <c r="C239" s="254">
        <f>2936127+3297752</f>
        <v>6233879</v>
      </c>
      <c r="D239" s="16"/>
      <c r="E239" s="16"/>
    </row>
    <row r="240" spans="1:6" x14ac:dyDescent="0.35">
      <c r="A240" s="16" t="s">
        <v>405</v>
      </c>
      <c r="B240" s="35" t="s">
        <v>299</v>
      </c>
      <c r="C240" s="254">
        <f>28240+243999+334700</f>
        <v>606939</v>
      </c>
      <c r="D240" s="16"/>
      <c r="E240" s="16"/>
    </row>
    <row r="241" spans="1:5" x14ac:dyDescent="0.35">
      <c r="A241" s="16" t="s">
        <v>406</v>
      </c>
      <c r="B241" s="35" t="s">
        <v>299</v>
      </c>
      <c r="C241" s="254">
        <v>0</v>
      </c>
      <c r="D241" s="16"/>
      <c r="E241" s="16"/>
    </row>
    <row r="242" spans="1:5" x14ac:dyDescent="0.35">
      <c r="A242" s="16" t="s">
        <v>407</v>
      </c>
      <c r="B242" s="35" t="s">
        <v>299</v>
      </c>
      <c r="C242" s="254">
        <v>288978</v>
      </c>
      <c r="D242" s="16"/>
      <c r="E242" s="16"/>
    </row>
    <row r="243" spans="1:5" x14ac:dyDescent="0.35">
      <c r="A243" s="16" t="s">
        <v>408</v>
      </c>
      <c r="B243" s="35" t="s">
        <v>299</v>
      </c>
      <c r="C243" s="254">
        <f>2513277+1840472</f>
        <v>4353749</v>
      </c>
      <c r="D243" s="16"/>
      <c r="E243" s="16"/>
    </row>
    <row r="244" spans="1:5" x14ac:dyDescent="0.35">
      <c r="A244" s="16" t="s">
        <v>409</v>
      </c>
      <c r="B244" s="35" t="s">
        <v>299</v>
      </c>
      <c r="C244" s="254">
        <f>11188066-11148845</f>
        <v>39221</v>
      </c>
      <c r="D244" s="16"/>
      <c r="E244" s="16"/>
    </row>
    <row r="245" spans="1:5" x14ac:dyDescent="0.35">
      <c r="A245" s="16" t="s">
        <v>410</v>
      </c>
      <c r="B245" s="16"/>
      <c r="C245" s="22"/>
      <c r="D245" s="25">
        <f>SUM(C239:C244)</f>
        <v>11522766</v>
      </c>
      <c r="E245" s="16"/>
    </row>
    <row r="246" spans="1:5" x14ac:dyDescent="0.35">
      <c r="A246" s="34" t="s">
        <v>411</v>
      </c>
      <c r="B246" s="34"/>
      <c r="C246" s="34"/>
      <c r="D246" s="34"/>
      <c r="E246" s="34"/>
    </row>
    <row r="247" spans="1:5" x14ac:dyDescent="0.35">
      <c r="A247" s="21" t="s">
        <v>412</v>
      </c>
      <c r="B247" s="35" t="s">
        <v>299</v>
      </c>
      <c r="C247" s="256">
        <v>140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413</v>
      </c>
      <c r="B249" s="35" t="s">
        <v>299</v>
      </c>
      <c r="C249" s="254">
        <v>23084824</v>
      </c>
      <c r="D249" s="16"/>
      <c r="E249" s="16"/>
    </row>
    <row r="250" spans="1:5" x14ac:dyDescent="0.35">
      <c r="A250" s="21" t="s">
        <v>414</v>
      </c>
      <c r="B250" s="35" t="s">
        <v>299</v>
      </c>
      <c r="C250" s="254">
        <f>442254+473762.66</f>
        <v>916016.65999999992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415</v>
      </c>
      <c r="B252" s="16"/>
      <c r="C252" s="22"/>
      <c r="D252" s="25">
        <f>SUM(C249:C251)</f>
        <v>24000840.66</v>
      </c>
      <c r="E252" s="16"/>
    </row>
    <row r="253" spans="1:5" x14ac:dyDescent="0.35">
      <c r="A253" s="34" t="s">
        <v>416</v>
      </c>
      <c r="B253" s="34"/>
      <c r="C253" s="34"/>
      <c r="D253" s="34"/>
      <c r="E253" s="34"/>
    </row>
    <row r="254" spans="1:5" x14ac:dyDescent="0.35">
      <c r="A254" s="16" t="s">
        <v>417</v>
      </c>
      <c r="B254" s="35" t="s">
        <v>299</v>
      </c>
      <c r="C254" s="254">
        <v>0</v>
      </c>
      <c r="D254" s="16"/>
      <c r="E254" s="16"/>
    </row>
    <row r="255" spans="1:5" x14ac:dyDescent="0.35">
      <c r="A255" s="16" t="s">
        <v>416</v>
      </c>
      <c r="B255" s="35" t="s">
        <v>299</v>
      </c>
      <c r="C255" s="254">
        <v>44600</v>
      </c>
      <c r="D255" s="16"/>
      <c r="E255" s="16"/>
    </row>
    <row r="256" spans="1:5" x14ac:dyDescent="0.35">
      <c r="A256" s="16" t="s">
        <v>418</v>
      </c>
      <c r="B256" s="16"/>
      <c r="C256" s="22"/>
      <c r="D256" s="25">
        <f>SUM(C254:C255)</f>
        <v>44600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419</v>
      </c>
      <c r="B258" s="16"/>
      <c r="C258" s="22"/>
      <c r="D258" s="25">
        <f>D237+D245+D252+D256</f>
        <v>35962594.659999996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420</v>
      </c>
      <c r="B264" s="30"/>
      <c r="C264" s="30"/>
      <c r="D264" s="30"/>
      <c r="E264" s="30"/>
    </row>
    <row r="265" spans="1:5" x14ac:dyDescent="0.35">
      <c r="A265" s="34" t="s">
        <v>421</v>
      </c>
      <c r="B265" s="34"/>
      <c r="C265" s="34"/>
      <c r="D265" s="34"/>
      <c r="E265" s="34"/>
    </row>
    <row r="266" spans="1:5" x14ac:dyDescent="0.35">
      <c r="A266" s="16" t="s">
        <v>422</v>
      </c>
      <c r="B266" s="35" t="s">
        <v>299</v>
      </c>
      <c r="C266" s="254">
        <v>0</v>
      </c>
      <c r="D266" s="16"/>
      <c r="E266" s="16"/>
    </row>
    <row r="267" spans="1:5" x14ac:dyDescent="0.35">
      <c r="A267" s="16" t="s">
        <v>423</v>
      </c>
      <c r="B267" s="35" t="s">
        <v>299</v>
      </c>
      <c r="C267" s="254">
        <v>0</v>
      </c>
      <c r="D267" s="16"/>
      <c r="E267" s="16"/>
    </row>
    <row r="268" spans="1:5" x14ac:dyDescent="0.35">
      <c r="A268" s="16" t="s">
        <v>424</v>
      </c>
      <c r="B268" s="35" t="s">
        <v>299</v>
      </c>
      <c r="C268" s="254">
        <v>8104747.1100000003</v>
      </c>
      <c r="D268" s="16"/>
      <c r="E268" s="16"/>
    </row>
    <row r="269" spans="1:5" x14ac:dyDescent="0.35">
      <c r="A269" s="16" t="s">
        <v>425</v>
      </c>
      <c r="B269" s="35" t="s">
        <v>299</v>
      </c>
      <c r="C269" s="254">
        <f>3630738.63+6214.64</f>
        <v>3636953.27</v>
      </c>
      <c r="D269" s="16"/>
      <c r="E269" s="16"/>
    </row>
    <row r="270" spans="1:5" x14ac:dyDescent="0.35">
      <c r="A270" s="16" t="s">
        <v>426</v>
      </c>
      <c r="B270" s="35" t="s">
        <v>299</v>
      </c>
      <c r="C270" s="254">
        <v>0</v>
      </c>
      <c r="D270" s="16"/>
      <c r="E270" s="16"/>
    </row>
    <row r="271" spans="1:5" x14ac:dyDescent="0.35">
      <c r="A271" s="16" t="s">
        <v>427</v>
      </c>
      <c r="B271" s="35" t="s">
        <v>299</v>
      </c>
      <c r="C271" s="254">
        <v>0</v>
      </c>
      <c r="D271" s="16"/>
      <c r="E271" s="16"/>
    </row>
    <row r="272" spans="1:5" x14ac:dyDescent="0.35">
      <c r="A272" s="16" t="s">
        <v>428</v>
      </c>
      <c r="B272" s="35" t="s">
        <v>299</v>
      </c>
      <c r="C272" s="254">
        <v>0</v>
      </c>
      <c r="D272" s="16"/>
      <c r="E272" s="16"/>
    </row>
    <row r="273" spans="1:5" x14ac:dyDescent="0.35">
      <c r="A273" s="16" t="s">
        <v>429</v>
      </c>
      <c r="B273" s="35" t="s">
        <v>299</v>
      </c>
      <c r="C273" s="254">
        <v>0</v>
      </c>
      <c r="D273" s="16"/>
      <c r="E273" s="16"/>
    </row>
    <row r="274" spans="1:5" x14ac:dyDescent="0.35">
      <c r="A274" s="16" t="s">
        <v>430</v>
      </c>
      <c r="B274" s="35" t="s">
        <v>299</v>
      </c>
      <c r="C274" s="254">
        <v>70574.62</v>
      </c>
      <c r="D274" s="16"/>
      <c r="E274" s="16"/>
    </row>
    <row r="275" spans="1:5" x14ac:dyDescent="0.35">
      <c r="A275" s="16" t="s">
        <v>431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432</v>
      </c>
      <c r="B276" s="16"/>
      <c r="C276" s="22"/>
      <c r="D276" s="25">
        <f>SUM(C266:C268)-C269+SUM(C270:C275)</f>
        <v>4538368.46</v>
      </c>
      <c r="E276" s="16"/>
    </row>
    <row r="277" spans="1:5" x14ac:dyDescent="0.35">
      <c r="A277" s="34" t="s">
        <v>433</v>
      </c>
      <c r="B277" s="34"/>
      <c r="C277" s="34"/>
      <c r="D277" s="34"/>
      <c r="E277" s="34"/>
    </row>
    <row r="278" spans="1:5" x14ac:dyDescent="0.35">
      <c r="A278" s="16" t="s">
        <v>422</v>
      </c>
      <c r="B278" s="35" t="s">
        <v>299</v>
      </c>
      <c r="C278" s="254">
        <v>0</v>
      </c>
      <c r="D278" s="16"/>
      <c r="E278" s="16"/>
    </row>
    <row r="279" spans="1:5" x14ac:dyDescent="0.35">
      <c r="A279" s="16" t="s">
        <v>423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434</v>
      </c>
      <c r="B280" s="35" t="s">
        <v>299</v>
      </c>
      <c r="C280" s="254">
        <v>0</v>
      </c>
      <c r="D280" s="16"/>
      <c r="E280" s="16"/>
    </row>
    <row r="281" spans="1:5" x14ac:dyDescent="0.35">
      <c r="A281" s="16" t="s">
        <v>435</v>
      </c>
      <c r="B281" s="16"/>
      <c r="C281" s="22"/>
      <c r="D281" s="25">
        <f>SUM(C278:C280)</f>
        <v>0</v>
      </c>
      <c r="E281" s="16"/>
    </row>
    <row r="282" spans="1:5" x14ac:dyDescent="0.35">
      <c r="A282" s="34" t="s">
        <v>436</v>
      </c>
      <c r="B282" s="34"/>
      <c r="C282" s="34"/>
      <c r="D282" s="34"/>
      <c r="E282" s="34"/>
    </row>
    <row r="283" spans="1:5" x14ac:dyDescent="0.35">
      <c r="A283" s="16" t="s">
        <v>391</v>
      </c>
      <c r="B283" s="35" t="s">
        <v>299</v>
      </c>
      <c r="C283" s="254">
        <v>3750000</v>
      </c>
      <c r="D283" s="16"/>
      <c r="E283" s="16"/>
    </row>
    <row r="284" spans="1:5" x14ac:dyDescent="0.35">
      <c r="A284" s="16" t="s">
        <v>392</v>
      </c>
      <c r="B284" s="35" t="s">
        <v>299</v>
      </c>
      <c r="C284" s="254">
        <v>0</v>
      </c>
      <c r="D284" s="16"/>
      <c r="E284" s="16"/>
    </row>
    <row r="285" spans="1:5" x14ac:dyDescent="0.35">
      <c r="A285" s="16" t="s">
        <v>393</v>
      </c>
      <c r="B285" s="35" t="s">
        <v>299</v>
      </c>
      <c r="C285" s="254">
        <v>32110000</v>
      </c>
      <c r="D285" s="16"/>
      <c r="E285" s="16"/>
    </row>
    <row r="286" spans="1:5" x14ac:dyDescent="0.35">
      <c r="A286" s="16" t="s">
        <v>437</v>
      </c>
      <c r="B286" s="35" t="s">
        <v>299</v>
      </c>
      <c r="C286" s="254">
        <v>0</v>
      </c>
      <c r="D286" s="16"/>
      <c r="E286" s="16"/>
    </row>
    <row r="287" spans="1:5" x14ac:dyDescent="0.35">
      <c r="A287" s="16" t="s">
        <v>438</v>
      </c>
      <c r="B287" s="35" t="s">
        <v>299</v>
      </c>
      <c r="C287" s="254">
        <v>1057054.1000000001</v>
      </c>
      <c r="D287" s="16"/>
      <c r="E287" s="16"/>
    </row>
    <row r="288" spans="1:5" x14ac:dyDescent="0.35">
      <c r="A288" s="16" t="s">
        <v>439</v>
      </c>
      <c r="B288" s="35" t="s">
        <v>299</v>
      </c>
      <c r="C288" s="254">
        <v>212321.72</v>
      </c>
      <c r="D288" s="16"/>
      <c r="E288" s="16"/>
    </row>
    <row r="289" spans="1:5" x14ac:dyDescent="0.35">
      <c r="A289" s="16" t="s">
        <v>398</v>
      </c>
      <c r="B289" s="35" t="s">
        <v>299</v>
      </c>
      <c r="C289" s="254">
        <v>37064.31</v>
      </c>
      <c r="D289" s="16"/>
      <c r="E289" s="16"/>
    </row>
    <row r="290" spans="1:5" x14ac:dyDescent="0.35">
      <c r="A290" s="16" t="s">
        <v>399</v>
      </c>
      <c r="B290" s="35" t="s">
        <v>299</v>
      </c>
      <c r="C290" s="254">
        <f>37064.31-17164.13</f>
        <v>19900.179999999997</v>
      </c>
      <c r="D290" s="16"/>
      <c r="E290" s="16"/>
    </row>
    <row r="291" spans="1:5" x14ac:dyDescent="0.35">
      <c r="A291" s="16" t="s">
        <v>440</v>
      </c>
      <c r="B291" s="16"/>
      <c r="C291" s="22"/>
      <c r="D291" s="25">
        <f>SUM(C283:C290)</f>
        <v>37186340.310000002</v>
      </c>
      <c r="E291" s="16"/>
    </row>
    <row r="292" spans="1:5" x14ac:dyDescent="0.35">
      <c r="A292" s="16" t="s">
        <v>441</v>
      </c>
      <c r="B292" s="35" t="s">
        <v>299</v>
      </c>
      <c r="C292" s="254">
        <v>943890.26</v>
      </c>
      <c r="D292" s="16"/>
      <c r="E292" s="16"/>
    </row>
    <row r="293" spans="1:5" x14ac:dyDescent="0.35">
      <c r="A293" s="16" t="s">
        <v>442</v>
      </c>
      <c r="B293" s="16"/>
      <c r="C293" s="22"/>
      <c r="D293" s="25">
        <f>D291-C292</f>
        <v>36242450.050000004</v>
      </c>
      <c r="E293" s="16"/>
    </row>
    <row r="294" spans="1:5" x14ac:dyDescent="0.35">
      <c r="A294" s="34" t="s">
        <v>443</v>
      </c>
      <c r="B294" s="34"/>
      <c r="C294" s="34"/>
      <c r="D294" s="34"/>
      <c r="E294" s="34"/>
    </row>
    <row r="295" spans="1:5" x14ac:dyDescent="0.35">
      <c r="A295" s="16" t="s">
        <v>444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445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446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434</v>
      </c>
      <c r="B298" s="35" t="s">
        <v>299</v>
      </c>
      <c r="C298" s="254">
        <v>0</v>
      </c>
      <c r="D298" s="16"/>
      <c r="E298" s="16"/>
    </row>
    <row r="299" spans="1:5" x14ac:dyDescent="0.35">
      <c r="A299" s="16" t="s">
        <v>447</v>
      </c>
      <c r="B299" s="16"/>
      <c r="C299" s="22"/>
      <c r="D299" s="25">
        <f>C295-C296+C297+C298</f>
        <v>0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448</v>
      </c>
      <c r="B301" s="34"/>
      <c r="C301" s="34"/>
      <c r="D301" s="34"/>
      <c r="E301" s="34"/>
    </row>
    <row r="302" spans="1:5" x14ac:dyDescent="0.35">
      <c r="A302" s="16" t="s">
        <v>449</v>
      </c>
      <c r="B302" s="35" t="s">
        <v>299</v>
      </c>
      <c r="C302" s="254">
        <v>10489479.880000001</v>
      </c>
      <c r="D302" s="16"/>
      <c r="E302" s="16"/>
    </row>
    <row r="303" spans="1:5" x14ac:dyDescent="0.35">
      <c r="A303" s="16" t="s">
        <v>450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451</v>
      </c>
      <c r="B304" s="35" t="s">
        <v>299</v>
      </c>
      <c r="C304" s="254">
        <v>228073</v>
      </c>
      <c r="D304" s="16"/>
      <c r="E304" s="16"/>
    </row>
    <row r="305" spans="1:6" x14ac:dyDescent="0.35">
      <c r="A305" s="16" t="s">
        <v>452</v>
      </c>
      <c r="B305" s="35" t="s">
        <v>299</v>
      </c>
      <c r="C305" s="254">
        <v>0</v>
      </c>
      <c r="D305" s="16"/>
      <c r="E305" s="16"/>
    </row>
    <row r="306" spans="1:6" x14ac:dyDescent="0.35">
      <c r="A306" s="16" t="s">
        <v>453</v>
      </c>
      <c r="B306" s="16"/>
      <c r="C306" s="22"/>
      <c r="D306" s="25">
        <f>SUM(C302:C305)</f>
        <v>10717552.880000001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454</v>
      </c>
      <c r="B308" s="16"/>
      <c r="C308" s="22"/>
      <c r="D308" s="25">
        <f>D276+D281+D293+D299+D306</f>
        <v>51498371.390000008</v>
      </c>
      <c r="E308" s="16"/>
    </row>
    <row r="309" spans="1:6" x14ac:dyDescent="0.35">
      <c r="A309" s="16"/>
      <c r="B309" s="16"/>
      <c r="C309" s="22"/>
      <c r="D309" s="16"/>
      <c r="E309" s="16"/>
      <c r="F309" s="11">
        <f>D308-F308</f>
        <v>51498371.390000008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455</v>
      </c>
      <c r="B312" s="30"/>
      <c r="C312" s="30"/>
      <c r="D312" s="30"/>
      <c r="E312" s="30"/>
    </row>
    <row r="313" spans="1:6" x14ac:dyDescent="0.35">
      <c r="A313" s="34" t="s">
        <v>456</v>
      </c>
      <c r="B313" s="34"/>
      <c r="C313" s="34"/>
      <c r="D313" s="34"/>
      <c r="E313" s="34"/>
    </row>
    <row r="314" spans="1:6" x14ac:dyDescent="0.35">
      <c r="A314" s="16" t="s">
        <v>457</v>
      </c>
      <c r="B314" s="35" t="s">
        <v>299</v>
      </c>
      <c r="C314" s="254">
        <f>36442.84+274993.36</f>
        <v>311436.19999999995</v>
      </c>
      <c r="D314" s="16"/>
      <c r="E314" s="16"/>
    </row>
    <row r="315" spans="1:6" x14ac:dyDescent="0.35">
      <c r="A315" s="16" t="s">
        <v>458</v>
      </c>
      <c r="B315" s="35" t="s">
        <v>299</v>
      </c>
      <c r="C315" s="254">
        <v>1831522.3</v>
      </c>
      <c r="D315" s="16"/>
      <c r="E315" s="16"/>
    </row>
    <row r="316" spans="1:6" x14ac:dyDescent="0.35">
      <c r="A316" s="16" t="s">
        <v>459</v>
      </c>
      <c r="B316" s="35" t="s">
        <v>299</v>
      </c>
      <c r="C316" s="254">
        <v>798683.61</v>
      </c>
      <c r="D316" s="16"/>
      <c r="E316" s="16"/>
    </row>
    <row r="317" spans="1:6" x14ac:dyDescent="0.35">
      <c r="A317" s="16" t="s">
        <v>460</v>
      </c>
      <c r="B317" s="35" t="s">
        <v>299</v>
      </c>
      <c r="C317" s="254">
        <v>0</v>
      </c>
      <c r="D317" s="16"/>
      <c r="E317" s="16"/>
    </row>
    <row r="318" spans="1:6" x14ac:dyDescent="0.35">
      <c r="A318" s="16" t="s">
        <v>461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462</v>
      </c>
      <c r="B319" s="35" t="s">
        <v>299</v>
      </c>
      <c r="C319" s="254">
        <v>0</v>
      </c>
      <c r="D319" s="16"/>
      <c r="E319" s="16"/>
    </row>
    <row r="320" spans="1:6" x14ac:dyDescent="0.35">
      <c r="A320" s="16" t="s">
        <v>463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464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465</v>
      </c>
      <c r="B322" s="35" t="s">
        <v>299</v>
      </c>
      <c r="C322" s="254">
        <v>288704</v>
      </c>
      <c r="D322" s="16"/>
      <c r="E322" s="16"/>
    </row>
    <row r="323" spans="1:5" x14ac:dyDescent="0.35">
      <c r="A323" s="16" t="s">
        <v>466</v>
      </c>
      <c r="B323" s="35" t="s">
        <v>299</v>
      </c>
      <c r="C323" s="254">
        <v>0</v>
      </c>
      <c r="D323" s="16"/>
      <c r="E323" s="16"/>
    </row>
    <row r="324" spans="1:5" x14ac:dyDescent="0.35">
      <c r="A324" s="16" t="s">
        <v>467</v>
      </c>
      <c r="B324" s="16"/>
      <c r="C324" s="22"/>
      <c r="D324" s="25">
        <f>SUM(C314:C323)</f>
        <v>3230346.11</v>
      </c>
      <c r="E324" s="16"/>
    </row>
    <row r="325" spans="1:5" x14ac:dyDescent="0.35">
      <c r="A325" s="34" t="s">
        <v>468</v>
      </c>
      <c r="B325" s="34"/>
      <c r="C325" s="34"/>
      <c r="D325" s="34"/>
      <c r="E325" s="34"/>
    </row>
    <row r="326" spans="1:5" x14ac:dyDescent="0.35">
      <c r="A326" s="16" t="s">
        <v>469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470</v>
      </c>
      <c r="B327" s="35" t="s">
        <v>299</v>
      </c>
      <c r="C327" s="254">
        <v>0</v>
      </c>
      <c r="D327" s="16"/>
      <c r="E327" s="16"/>
    </row>
    <row r="328" spans="1:5" x14ac:dyDescent="0.35">
      <c r="A328" s="16" t="s">
        <v>471</v>
      </c>
      <c r="B328" s="35" t="s">
        <v>299</v>
      </c>
      <c r="C328" s="254">
        <v>0</v>
      </c>
      <c r="D328" s="16"/>
      <c r="E328" s="16"/>
    </row>
    <row r="329" spans="1:5" x14ac:dyDescent="0.35">
      <c r="A329" s="16" t="s">
        <v>472</v>
      </c>
      <c r="B329" s="16"/>
      <c r="C329" s="22"/>
      <c r="D329" s="25">
        <f>SUM(C326:C328)</f>
        <v>0</v>
      </c>
      <c r="E329" s="16"/>
    </row>
    <row r="330" spans="1:5" x14ac:dyDescent="0.35">
      <c r="A330" s="34" t="s">
        <v>473</v>
      </c>
      <c r="B330" s="34"/>
      <c r="C330" s="34"/>
      <c r="D330" s="34"/>
      <c r="E330" s="34"/>
    </row>
    <row r="331" spans="1:5" x14ac:dyDescent="0.35">
      <c r="A331" s="16" t="s">
        <v>474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475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476</v>
      </c>
      <c r="B333" s="35" t="s">
        <v>299</v>
      </c>
      <c r="C333" s="254">
        <v>0</v>
      </c>
      <c r="D333" s="16"/>
      <c r="E333" s="16"/>
    </row>
    <row r="334" spans="1:5" x14ac:dyDescent="0.35">
      <c r="A334" s="21" t="s">
        <v>477</v>
      </c>
      <c r="B334" s="35" t="s">
        <v>299</v>
      </c>
      <c r="C334" s="254">
        <v>44665394.399999999</v>
      </c>
      <c r="D334" s="16"/>
      <c r="E334" s="16"/>
    </row>
    <row r="335" spans="1:5" x14ac:dyDescent="0.35">
      <c r="A335" s="16" t="s">
        <v>478</v>
      </c>
      <c r="B335" s="35" t="s">
        <v>299</v>
      </c>
      <c r="C335" s="254">
        <v>0</v>
      </c>
      <c r="D335" s="16"/>
      <c r="E335" s="16"/>
    </row>
    <row r="336" spans="1:5" x14ac:dyDescent="0.35">
      <c r="A336" s="21" t="s">
        <v>479</v>
      </c>
      <c r="B336" s="35" t="s">
        <v>299</v>
      </c>
      <c r="C336" s="254">
        <v>4976324.47</v>
      </c>
      <c r="D336" s="16"/>
      <c r="E336" s="16"/>
    </row>
    <row r="337" spans="1:5" x14ac:dyDescent="0.35">
      <c r="A337" s="21" t="s">
        <v>480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481</v>
      </c>
      <c r="B338" s="35" t="s">
        <v>299</v>
      </c>
      <c r="C338" s="254">
        <v>120551.31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f>SUM(C331:C338)</f>
        <v>49762270.18</v>
      </c>
      <c r="E339" s="16"/>
    </row>
    <row r="340" spans="1:5" x14ac:dyDescent="0.35">
      <c r="A340" s="16" t="s">
        <v>482</v>
      </c>
      <c r="B340" s="16"/>
      <c r="C340" s="22"/>
      <c r="D340" s="25">
        <f>C323</f>
        <v>0</v>
      </c>
      <c r="E340" s="16"/>
    </row>
    <row r="341" spans="1:5" x14ac:dyDescent="0.35">
      <c r="A341" s="16" t="s">
        <v>483</v>
      </c>
      <c r="B341" s="16"/>
      <c r="C341" s="22"/>
      <c r="D341" s="25">
        <f>D339-D340</f>
        <v>49762270.18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484</v>
      </c>
      <c r="B343" s="35" t="s">
        <v>299</v>
      </c>
      <c r="C343" s="259">
        <v>0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485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486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487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488</v>
      </c>
      <c r="B348" s="35" t="s">
        <v>299</v>
      </c>
      <c r="C348" s="255">
        <v>-1494245.11</v>
      </c>
      <c r="D348" s="16"/>
      <c r="E348" s="16"/>
    </row>
    <row r="349" spans="1:5" x14ac:dyDescent="0.35">
      <c r="A349" s="16" t="s">
        <v>489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490</v>
      </c>
      <c r="B350" s="16"/>
      <c r="C350" s="22"/>
      <c r="D350" s="25">
        <f>D324+D329+D341+C343+C347+C348</f>
        <v>51498371.18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491</v>
      </c>
      <c r="B352" s="16"/>
      <c r="C352" s="22"/>
      <c r="D352" s="25">
        <f>D308</f>
        <v>51498371.390000008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492</v>
      </c>
      <c r="B356" s="30"/>
      <c r="C356" s="30"/>
      <c r="D356" s="30"/>
      <c r="E356" s="30"/>
    </row>
    <row r="357" spans="1:5" x14ac:dyDescent="0.35">
      <c r="A357" s="34" t="s">
        <v>493</v>
      </c>
      <c r="B357" s="34"/>
      <c r="C357" s="34"/>
      <c r="D357" s="34"/>
      <c r="E357" s="34"/>
    </row>
    <row r="358" spans="1:5" x14ac:dyDescent="0.35">
      <c r="A358" s="16" t="s">
        <v>494</v>
      </c>
      <c r="B358" s="35" t="s">
        <v>299</v>
      </c>
      <c r="C358" s="254">
        <f>57520439</f>
        <v>57520439</v>
      </c>
      <c r="D358" s="16"/>
      <c r="E358" s="16"/>
    </row>
    <row r="359" spans="1:5" x14ac:dyDescent="0.35">
      <c r="A359" s="16" t="s">
        <v>495</v>
      </c>
      <c r="B359" s="35" t="s">
        <v>299</v>
      </c>
      <c r="C359" s="254">
        <f>3042001+2748087</f>
        <v>5790088</v>
      </c>
      <c r="D359" s="16"/>
      <c r="E359" s="16"/>
    </row>
    <row r="360" spans="1:5" x14ac:dyDescent="0.35">
      <c r="A360" s="16" t="s">
        <v>496</v>
      </c>
      <c r="B360" s="16"/>
      <c r="C360" s="22"/>
      <c r="D360" s="25">
        <f>SUM(C358:C359)</f>
        <v>63310527</v>
      </c>
      <c r="E360" s="16"/>
    </row>
    <row r="361" spans="1:5" x14ac:dyDescent="0.35">
      <c r="A361" s="34" t="s">
        <v>497</v>
      </c>
      <c r="B361" s="34"/>
      <c r="C361" s="34"/>
      <c r="D361" s="34"/>
      <c r="E361" s="34"/>
    </row>
    <row r="362" spans="1:5" x14ac:dyDescent="0.35">
      <c r="A362" s="16" t="s">
        <v>402</v>
      </c>
      <c r="B362" s="34"/>
      <c r="C362" s="254">
        <v>227105.81</v>
      </c>
      <c r="D362" s="16"/>
      <c r="E362" s="34"/>
    </row>
    <row r="363" spans="1:5" x14ac:dyDescent="0.35">
      <c r="A363" s="16" t="s">
        <v>498</v>
      </c>
      <c r="B363" s="35" t="s">
        <v>299</v>
      </c>
      <c r="C363" s="254">
        <v>12472678</v>
      </c>
      <c r="D363" s="16"/>
      <c r="E363" s="16"/>
    </row>
    <row r="364" spans="1:5" x14ac:dyDescent="0.35">
      <c r="A364" s="16" t="s">
        <v>499</v>
      </c>
      <c r="B364" s="35" t="s">
        <v>299</v>
      </c>
      <c r="C364" s="254">
        <v>23130913.18</v>
      </c>
      <c r="D364" s="16"/>
      <c r="E364" s="16"/>
    </row>
    <row r="365" spans="1:5" x14ac:dyDescent="0.35">
      <c r="A365" s="16" t="s">
        <v>500</v>
      </c>
      <c r="B365" s="35" t="s">
        <v>299</v>
      </c>
      <c r="C365" s="254">
        <f>109920.23+21979</f>
        <v>131899.22999999998</v>
      </c>
      <c r="D365" s="16"/>
      <c r="E365" s="16"/>
    </row>
    <row r="366" spans="1:5" x14ac:dyDescent="0.35">
      <c r="A366" s="16" t="s">
        <v>419</v>
      </c>
      <c r="B366" s="16"/>
      <c r="C366" s="22"/>
      <c r="D366" s="25">
        <f>SUM(C362:C365)</f>
        <v>35962596.219999999</v>
      </c>
      <c r="E366" s="16"/>
    </row>
    <row r="367" spans="1:5" x14ac:dyDescent="0.35">
      <c r="A367" s="16" t="s">
        <v>501</v>
      </c>
      <c r="B367" s="16"/>
      <c r="C367" s="22"/>
      <c r="D367" s="25">
        <f>D360-D366</f>
        <v>27347930.780000001</v>
      </c>
      <c r="E367" s="16"/>
    </row>
    <row r="368" spans="1:5" x14ac:dyDescent="0.35">
      <c r="A368" s="45" t="s">
        <v>502</v>
      </c>
      <c r="B368" s="34"/>
      <c r="C368" s="34"/>
      <c r="D368" s="34"/>
      <c r="E368" s="34"/>
    </row>
    <row r="369" spans="1:6" x14ac:dyDescent="0.35">
      <c r="A369" s="25" t="s">
        <v>503</v>
      </c>
      <c r="B369" s="16"/>
      <c r="C369" s="16"/>
      <c r="D369" s="16"/>
      <c r="E369" s="16"/>
    </row>
    <row r="370" spans="1:6" x14ac:dyDescent="0.35">
      <c r="A370" s="46" t="s">
        <v>504</v>
      </c>
      <c r="B370" s="32" t="s">
        <v>299</v>
      </c>
      <c r="C370" s="254">
        <v>0</v>
      </c>
      <c r="D370" s="25">
        <v>0</v>
      </c>
      <c r="E370" s="25"/>
    </row>
    <row r="371" spans="1:6" x14ac:dyDescent="0.35">
      <c r="A371" s="46" t="s">
        <v>505</v>
      </c>
      <c r="B371" s="32" t="s">
        <v>299</v>
      </c>
      <c r="C371" s="254">
        <v>0</v>
      </c>
      <c r="D371" s="25">
        <v>0</v>
      </c>
      <c r="E371" s="25"/>
    </row>
    <row r="372" spans="1:6" x14ac:dyDescent="0.35">
      <c r="A372" s="46" t="s">
        <v>506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507</v>
      </c>
      <c r="B373" s="32" t="s">
        <v>299</v>
      </c>
      <c r="C373" s="254">
        <v>0</v>
      </c>
      <c r="D373" s="25">
        <v>0</v>
      </c>
      <c r="E373" s="25"/>
    </row>
    <row r="374" spans="1:6" x14ac:dyDescent="0.35">
      <c r="A374" s="46" t="s">
        <v>508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509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510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511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512</v>
      </c>
      <c r="B378" s="32" t="s">
        <v>299</v>
      </c>
      <c r="C378" s="254">
        <v>0</v>
      </c>
      <c r="D378" s="25">
        <v>0</v>
      </c>
      <c r="E378" s="25"/>
    </row>
    <row r="379" spans="1:6" x14ac:dyDescent="0.35">
      <c r="A379" s="46" t="s">
        <v>513</v>
      </c>
      <c r="B379" s="32" t="s">
        <v>299</v>
      </c>
      <c r="C379" s="254">
        <v>0</v>
      </c>
      <c r="D379" s="25">
        <v>0</v>
      </c>
      <c r="E379" s="25"/>
    </row>
    <row r="380" spans="1:6" x14ac:dyDescent="0.35">
      <c r="A380" s="46" t="s">
        <v>514</v>
      </c>
      <c r="B380" s="32" t="s">
        <v>299</v>
      </c>
      <c r="C380" s="256">
        <v>1086651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35">
      <c r="A381" s="48" t="s">
        <v>515</v>
      </c>
      <c r="B381" s="35"/>
      <c r="C381" s="35"/>
      <c r="D381" s="25">
        <f>SUM(C370:C380)</f>
        <v>1086651</v>
      </c>
      <c r="E381" s="25"/>
      <c r="F381" s="47"/>
    </row>
    <row r="382" spans="1:6" x14ac:dyDescent="0.35">
      <c r="A382" s="43" t="s">
        <v>516</v>
      </c>
      <c r="B382" s="35" t="s">
        <v>299</v>
      </c>
      <c r="C382" s="254">
        <v>0</v>
      </c>
      <c r="D382" s="25">
        <v>0</v>
      </c>
      <c r="E382" s="16"/>
    </row>
    <row r="383" spans="1:6" x14ac:dyDescent="0.35">
      <c r="A383" s="16" t="s">
        <v>517</v>
      </c>
      <c r="B383" s="16"/>
      <c r="C383" s="22"/>
      <c r="D383" s="25">
        <f>D381+C382</f>
        <v>1086651</v>
      </c>
      <c r="E383" s="16"/>
    </row>
    <row r="384" spans="1:6" x14ac:dyDescent="0.35">
      <c r="A384" s="16" t="s">
        <v>518</v>
      </c>
      <c r="B384" s="16"/>
      <c r="C384" s="22"/>
      <c r="D384" s="25">
        <f>D367+D383</f>
        <v>28434581.780000001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519</v>
      </c>
      <c r="B388" s="34"/>
      <c r="C388" s="34"/>
      <c r="D388" s="34"/>
      <c r="E388" s="34"/>
    </row>
    <row r="389" spans="1:5" x14ac:dyDescent="0.35">
      <c r="A389" s="16" t="s">
        <v>520</v>
      </c>
      <c r="B389" s="35" t="s">
        <v>299</v>
      </c>
      <c r="C389" s="254">
        <v>12488885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1971000.49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571346.19999999995</v>
      </c>
      <c r="D391" s="16"/>
      <c r="E391" s="16"/>
    </row>
    <row r="392" spans="1:5" x14ac:dyDescent="0.35">
      <c r="A392" s="16" t="s">
        <v>521</v>
      </c>
      <c r="B392" s="35" t="s">
        <v>299</v>
      </c>
      <c r="C392" s="254">
        <v>391326.65</v>
      </c>
      <c r="D392" s="16"/>
      <c r="E392" s="16"/>
    </row>
    <row r="393" spans="1:5" x14ac:dyDescent="0.35">
      <c r="A393" s="16" t="s">
        <v>522</v>
      </c>
      <c r="B393" s="35" t="s">
        <v>299</v>
      </c>
      <c r="C393" s="254">
        <v>0</v>
      </c>
      <c r="D393" s="16"/>
      <c r="E393" s="16"/>
    </row>
    <row r="394" spans="1:5" x14ac:dyDescent="0.35">
      <c r="A394" s="16" t="s">
        <v>523</v>
      </c>
      <c r="B394" s="35" t="s">
        <v>299</v>
      </c>
      <c r="C394" s="254">
        <v>421363.8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1095982</v>
      </c>
      <c r="D395" s="16"/>
      <c r="E395" s="16"/>
    </row>
    <row r="396" spans="1:5" x14ac:dyDescent="0.35">
      <c r="A396" s="16" t="s">
        <v>524</v>
      </c>
      <c r="B396" s="35" t="s">
        <v>299</v>
      </c>
      <c r="C396" s="254">
        <v>57885</v>
      </c>
      <c r="D396" s="16"/>
      <c r="E396" s="16"/>
    </row>
    <row r="397" spans="1:5" x14ac:dyDescent="0.35">
      <c r="A397" s="16" t="s">
        <v>525</v>
      </c>
      <c r="B397" s="35" t="s">
        <v>299</v>
      </c>
      <c r="C397" s="256">
        <v>0</v>
      </c>
      <c r="D397" s="16"/>
      <c r="E397" s="16"/>
    </row>
    <row r="398" spans="1:5" x14ac:dyDescent="0.35">
      <c r="A398" s="16" t="s">
        <v>526</v>
      </c>
      <c r="B398" s="35" t="s">
        <v>299</v>
      </c>
      <c r="C398" s="256">
        <v>0</v>
      </c>
      <c r="D398" s="16"/>
      <c r="E398" s="16"/>
    </row>
    <row r="399" spans="1:5" x14ac:dyDescent="0.35">
      <c r="A399" s="16" t="s">
        <v>527</v>
      </c>
      <c r="B399" s="35" t="s">
        <v>299</v>
      </c>
      <c r="C399" s="256">
        <f>4619042+-1579989</f>
        <v>3039053</v>
      </c>
      <c r="D399" s="16"/>
      <c r="E399" s="16"/>
    </row>
    <row r="400" spans="1:5" x14ac:dyDescent="0.35">
      <c r="A400" s="25" t="s">
        <v>528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3451939.88</v>
      </c>
      <c r="D402" s="25">
        <v>0</v>
      </c>
      <c r="E402" s="25"/>
    </row>
    <row r="403" spans="1:9" x14ac:dyDescent="0.35">
      <c r="A403" s="26" t="s">
        <v>529</v>
      </c>
      <c r="B403" s="32" t="s">
        <v>299</v>
      </c>
      <c r="C403" s="254">
        <v>151675.13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>
        <v>197560.75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87442.33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145791.20000000001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477880.37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194877.8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680284.52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47750.239999999998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51870.68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>
        <f>1715926.09+595085</f>
        <v>2311011.09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314874.68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0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35">
      <c r="A415" s="49" t="s">
        <v>530</v>
      </c>
      <c r="B415" s="35"/>
      <c r="C415" s="35"/>
      <c r="D415" s="25">
        <f>SUM(C401:C414)</f>
        <v>8112958.6699999999</v>
      </c>
      <c r="E415" s="25"/>
      <c r="F415" s="47"/>
      <c r="G415" s="47"/>
      <c r="H415" s="47"/>
      <c r="I415" s="47"/>
    </row>
    <row r="416" spans="1:9" x14ac:dyDescent="0.35">
      <c r="A416" s="25" t="s">
        <v>531</v>
      </c>
      <c r="B416" s="16"/>
      <c r="C416" s="22"/>
      <c r="D416" s="25">
        <f>SUM(C389:C399,D415)</f>
        <v>28149800.810000002</v>
      </c>
      <c r="E416" s="25"/>
    </row>
    <row r="417" spans="1:13" x14ac:dyDescent="0.35">
      <c r="A417" s="25" t="s">
        <v>532</v>
      </c>
      <c r="B417" s="16"/>
      <c r="C417" s="22"/>
      <c r="D417" s="25">
        <f>D384-D416</f>
        <v>284780.96999999881</v>
      </c>
      <c r="E417" s="25"/>
    </row>
    <row r="418" spans="1:13" x14ac:dyDescent="0.35">
      <c r="A418" s="25" t="s">
        <v>533</v>
      </c>
      <c r="B418" s="16"/>
      <c r="C418" s="256">
        <v>0</v>
      </c>
      <c r="D418" s="25">
        <v>0</v>
      </c>
      <c r="E418" s="25"/>
    </row>
    <row r="419" spans="1:13" x14ac:dyDescent="0.35">
      <c r="A419" s="46" t="s">
        <v>534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535</v>
      </c>
      <c r="B420" s="16"/>
      <c r="C420" s="16"/>
      <c r="D420" s="25">
        <f>SUM(C418:C419)</f>
        <v>0</v>
      </c>
      <c r="E420" s="25"/>
      <c r="F420" s="11">
        <f>D420-C399</f>
        <v>-3039053</v>
      </c>
    </row>
    <row r="421" spans="1:13" x14ac:dyDescent="0.35">
      <c r="A421" s="25" t="s">
        <v>536</v>
      </c>
      <c r="B421" s="16"/>
      <c r="C421" s="22"/>
      <c r="D421" s="25">
        <f>D417+D420</f>
        <v>284780.96999999881</v>
      </c>
      <c r="E421" s="25"/>
      <c r="F421" s="50"/>
    </row>
    <row r="422" spans="1:13" x14ac:dyDescent="0.35">
      <c r="A422" s="25" t="s">
        <v>537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538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539</v>
      </c>
      <c r="B424" s="16"/>
      <c r="C424" s="22"/>
      <c r="D424" s="25">
        <f>D421+C422-C423</f>
        <v>284780.96999999881</v>
      </c>
      <c r="E424" s="16"/>
    </row>
    <row r="426" spans="1:13" ht="29" customHeight="1" x14ac:dyDescent="0.35">
      <c r="A426" s="316" t="s">
        <v>1367</v>
      </c>
      <c r="B426" s="316"/>
      <c r="C426" s="316"/>
      <c r="D426" s="316"/>
      <c r="E426" s="31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540</v>
      </c>
      <c r="D612" s="217">
        <f>CE90-(BE90+CD90)</f>
        <v>0</v>
      </c>
      <c r="E612" s="219" t="e">
        <f>SUM(C624:D647)+SUM(C668:D713)</f>
        <v>#DIV/0!</v>
      </c>
      <c r="F612" s="219">
        <f>CE64-(AX64+BD64+BE64+BG64+BJ64+BN64+BP64+BQ64+CB64+CC64+CD64)</f>
        <v>241645.16999999998</v>
      </c>
      <c r="G612" s="217">
        <f>CE91-(AX91+AY91+BD91+BE91+BG91+BJ91+BN91+BP91+BQ91+CB91+CC91+CD91)</f>
        <v>68889</v>
      </c>
      <c r="H612" s="222">
        <f>CE60-(AX60+AY60+AZ60+BD60+BE60+BG60+BJ60+BN60+BO60+BP60+BQ60+BR60+CB60+CC60+CD60)</f>
        <v>120.15582600000003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67709207</v>
      </c>
      <c r="L612" s="223">
        <f>CE94-(AW94+AX94+AY94+AZ94+BA94+BB94+BC94+BD94+BE94+BF94+BG94+BH94+BI94+BJ94+BK94+BL94+BM94+BN94+BO94+BP94+BQ94+BR94+BS94+BT94+BU94+BV94+BW94+BX94+BY94+BZ94+CA94+CB94+CC94+CD94)</f>
        <v>69794.25</v>
      </c>
    </row>
    <row r="613" spans="1:14" s="202" customFormat="1" ht="12.65" customHeight="1" x14ac:dyDescent="0.3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2093299.4100000001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5" customHeight="1" x14ac:dyDescent="0.3">
      <c r="A615" s="212"/>
      <c r="B615" s="211" t="s">
        <v>552</v>
      </c>
      <c r="C615" s="217">
        <f>CD69-CD84</f>
        <v>0</v>
      </c>
      <c r="D615" s="217">
        <f>SUM(C614:C615)</f>
        <v>2093299.4100000001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5" customHeight="1" x14ac:dyDescent="0.3">
      <c r="A616" s="212">
        <v>8310</v>
      </c>
      <c r="B616" s="216" t="s">
        <v>554</v>
      </c>
      <c r="C616" s="217">
        <f>AX85</f>
        <v>0</v>
      </c>
      <c r="D616" s="217" t="e">
        <f>(D615/D612)*AX90</f>
        <v>#DIV/0!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494810.84</v>
      </c>
      <c r="D617" s="217" t="e">
        <f>(D615/D612)*BJ90</f>
        <v>#DIV/0!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5" customHeight="1" x14ac:dyDescent="0.3">
      <c r="A618" s="212">
        <v>8470</v>
      </c>
      <c r="B618" s="216" t="s">
        <v>557</v>
      </c>
      <c r="C618" s="217">
        <f>BG85</f>
        <v>0</v>
      </c>
      <c r="D618" s="217" t="e">
        <f>(D615/D612)*BG90</f>
        <v>#DIV/0!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5" customHeight="1" x14ac:dyDescent="0.3">
      <c r="A619" s="212">
        <v>8610</v>
      </c>
      <c r="B619" s="216" t="s">
        <v>559</v>
      </c>
      <c r="C619" s="217">
        <f>BN85</f>
        <v>3389683.81</v>
      </c>
      <c r="D619" s="217" t="e">
        <f>(D615/D612)*BN90</f>
        <v>#DIV/0!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5" customHeight="1" x14ac:dyDescent="0.3">
      <c r="A620" s="212">
        <v>8790</v>
      </c>
      <c r="B620" s="216" t="s">
        <v>561</v>
      </c>
      <c r="C620" s="217">
        <f>CC85</f>
        <v>289930.59999999998</v>
      </c>
      <c r="D620" s="217" t="e">
        <f>(D615/D612)*CC90</f>
        <v>#DIV/0!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5" customHeight="1" x14ac:dyDescent="0.3">
      <c r="A621" s="212">
        <v>8630</v>
      </c>
      <c r="B621" s="216" t="s">
        <v>563</v>
      </c>
      <c r="C621" s="217">
        <f>BP85</f>
        <v>0</v>
      </c>
      <c r="D621" s="217" t="e">
        <f>(D615/D612)*BP90</f>
        <v>#DIV/0!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5" customHeight="1" x14ac:dyDescent="0.3">
      <c r="A622" s="212">
        <v>8770</v>
      </c>
      <c r="B622" s="211" t="s">
        <v>565</v>
      </c>
      <c r="C622" s="217">
        <f>CB85</f>
        <v>0</v>
      </c>
      <c r="D622" s="217" t="e">
        <f>(D615/D612)*CB90</f>
        <v>#DIV/0!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5" customHeight="1" x14ac:dyDescent="0.3">
      <c r="A623" s="212">
        <v>8640</v>
      </c>
      <c r="B623" s="216" t="s">
        <v>567</v>
      </c>
      <c r="C623" s="217">
        <f>BQ85</f>
        <v>0</v>
      </c>
      <c r="D623" s="217" t="e">
        <f>(D615/D612)*BQ90</f>
        <v>#DIV/0!</v>
      </c>
      <c r="E623" s="219" t="e">
        <f>SUM(C616:D623)</f>
        <v>#DIV/0!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0</v>
      </c>
      <c r="D624" s="217" t="e">
        <f>(D615/D612)*BD90</f>
        <v>#DIV/0!</v>
      </c>
      <c r="E624" s="219" t="e">
        <f>(E623/E612)*SUM(C624:D624)</f>
        <v>#DIV/0!</v>
      </c>
      <c r="F624" s="219" t="e">
        <f>SUM(C624:E624)</f>
        <v>#DIV/0!</v>
      </c>
      <c r="G624" s="217"/>
      <c r="H624" s="219"/>
      <c r="I624" s="217"/>
      <c r="J624" s="217"/>
      <c r="N624" s="213" t="s">
        <v>569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711829.83000000007</v>
      </c>
      <c r="D625" s="217" t="e">
        <f>(D615/D612)*AY90</f>
        <v>#DIV/0!</v>
      </c>
      <c r="E625" s="219" t="e">
        <f>(E623/E612)*SUM(C625:D625)</f>
        <v>#DIV/0!</v>
      </c>
      <c r="F625" s="219" t="e">
        <f>(F624/F612)*AY64</f>
        <v>#DIV/0!</v>
      </c>
      <c r="G625" s="217" t="e">
        <f>SUM(C625:F625)</f>
        <v>#DIV/0!</v>
      </c>
      <c r="H625" s="219"/>
      <c r="I625" s="217"/>
      <c r="J625" s="217"/>
      <c r="N625" s="213" t="s">
        <v>570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317224.61</v>
      </c>
      <c r="D626" s="217" t="e">
        <f>(D615/D612)*BR90</f>
        <v>#DIV/0!</v>
      </c>
      <c r="E626" s="219" t="e">
        <f>(E623/E612)*SUM(C626:D626)</f>
        <v>#DIV/0!</v>
      </c>
      <c r="F626" s="219" t="e">
        <f>(F624/F612)*BR64</f>
        <v>#DIV/0!</v>
      </c>
      <c r="G626" s="217" t="e">
        <f>(G625/G612)*BR91</f>
        <v>#DIV/0!</v>
      </c>
      <c r="H626" s="219"/>
      <c r="I626" s="217"/>
      <c r="J626" s="217"/>
      <c r="N626" s="213" t="s">
        <v>571</v>
      </c>
    </row>
    <row r="627" spans="1:14" s="202" customFormat="1" ht="12.65" customHeight="1" x14ac:dyDescent="0.3">
      <c r="A627" s="212">
        <v>8620</v>
      </c>
      <c r="B627" s="211" t="s">
        <v>572</v>
      </c>
      <c r="C627" s="217">
        <f>BO85</f>
        <v>0</v>
      </c>
      <c r="D627" s="217" t="e">
        <f>(D615/D612)*BO90</f>
        <v>#DIV/0!</v>
      </c>
      <c r="E627" s="219" t="e">
        <f>(E623/E612)*SUM(C627:D627)</f>
        <v>#DIV/0!</v>
      </c>
      <c r="F627" s="219" t="e">
        <f>(F624/F612)*BO64</f>
        <v>#DIV/0!</v>
      </c>
      <c r="G627" s="217" t="e">
        <f>(G625/G612)*BO91</f>
        <v>#DIV/0!</v>
      </c>
      <c r="H627" s="219"/>
      <c r="I627" s="217"/>
      <c r="J627" s="217"/>
      <c r="N627" s="213" t="s">
        <v>573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 t="e">
        <f>(D615/D612)*AZ90</f>
        <v>#DIV/0!</v>
      </c>
      <c r="E628" s="219" t="e">
        <f>(E623/E612)*SUM(C628:D628)</f>
        <v>#DIV/0!</v>
      </c>
      <c r="F628" s="219" t="e">
        <f>(F624/F612)*AZ64</f>
        <v>#DIV/0!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574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0</v>
      </c>
      <c r="D629" s="217" t="e">
        <f>(D615/D612)*BF90</f>
        <v>#DIV/0!</v>
      </c>
      <c r="E629" s="219" t="e">
        <f>(E623/E612)*SUM(C629:D629)</f>
        <v>#DIV/0!</v>
      </c>
      <c r="F629" s="219" t="e">
        <f>(F624/F612)*BF64</f>
        <v>#DIV/0!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575</v>
      </c>
    </row>
    <row r="630" spans="1:14" s="202" customFormat="1" ht="12.65" customHeight="1" x14ac:dyDescent="0.3">
      <c r="A630" s="212">
        <v>8350</v>
      </c>
      <c r="B630" s="216" t="s">
        <v>576</v>
      </c>
      <c r="C630" s="217">
        <f>BA85</f>
        <v>0</v>
      </c>
      <c r="D630" s="217" t="e">
        <f>(D615/D612)*BA90</f>
        <v>#DIV/0!</v>
      </c>
      <c r="E630" s="219" t="e">
        <f>(E623/E612)*SUM(C630:D630)</f>
        <v>#DIV/0!</v>
      </c>
      <c r="F630" s="219" t="e">
        <f>(F624/F612)*BA64</f>
        <v>#DIV/0!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577</v>
      </c>
    </row>
    <row r="631" spans="1:14" s="202" customFormat="1" ht="12.65" customHeight="1" x14ac:dyDescent="0.3">
      <c r="A631" s="212">
        <v>8200</v>
      </c>
      <c r="B631" s="216" t="s">
        <v>578</v>
      </c>
      <c r="C631" s="217">
        <f>AW85</f>
        <v>0</v>
      </c>
      <c r="D631" s="217" t="e">
        <f>(D615/D612)*AW90</f>
        <v>#DIV/0!</v>
      </c>
      <c r="E631" s="219" t="e">
        <f>(E623/E612)*SUM(C631:D631)</f>
        <v>#DIV/0!</v>
      </c>
      <c r="F631" s="219" t="e">
        <f>(F624/F612)*AW64</f>
        <v>#DIV/0!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579</v>
      </c>
    </row>
    <row r="632" spans="1:14" s="202" customFormat="1" ht="12.65" customHeight="1" x14ac:dyDescent="0.3">
      <c r="A632" s="212">
        <v>8360</v>
      </c>
      <c r="B632" s="216" t="s">
        <v>580</v>
      </c>
      <c r="C632" s="217">
        <f>BB85</f>
        <v>0</v>
      </c>
      <c r="D632" s="217" t="e">
        <f>(D615/D612)*BB90</f>
        <v>#DIV/0!</v>
      </c>
      <c r="E632" s="219" t="e">
        <f>(E623/E612)*SUM(C632:D632)</f>
        <v>#DIV/0!</v>
      </c>
      <c r="F632" s="219" t="e">
        <f>(F624/F612)*BB64</f>
        <v>#DIV/0!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581</v>
      </c>
    </row>
    <row r="633" spans="1:14" s="202" customFormat="1" ht="12.65" customHeight="1" x14ac:dyDescent="0.3">
      <c r="A633" s="212">
        <v>8370</v>
      </c>
      <c r="B633" s="216" t="s">
        <v>582</v>
      </c>
      <c r="C633" s="217">
        <f>BC85</f>
        <v>0</v>
      </c>
      <c r="D633" s="217" t="e">
        <f>(D615/D612)*BC90</f>
        <v>#DIV/0!</v>
      </c>
      <c r="E633" s="219" t="e">
        <f>(E623/E612)*SUM(C633:D633)</f>
        <v>#DIV/0!</v>
      </c>
      <c r="F633" s="219" t="e">
        <f>(F624/F612)*BC64</f>
        <v>#DIV/0!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583</v>
      </c>
    </row>
    <row r="634" spans="1:14" s="202" customFormat="1" ht="12.65" customHeight="1" x14ac:dyDescent="0.3">
      <c r="A634" s="212">
        <v>8490</v>
      </c>
      <c r="B634" s="216" t="s">
        <v>584</v>
      </c>
      <c r="C634" s="217">
        <f>BI85</f>
        <v>0</v>
      </c>
      <c r="D634" s="217" t="e">
        <f>(D615/D612)*BI90</f>
        <v>#DIV/0!</v>
      </c>
      <c r="E634" s="219" t="e">
        <f>(E623/E612)*SUM(C634:D634)</f>
        <v>#DIV/0!</v>
      </c>
      <c r="F634" s="219" t="e">
        <f>(F624/F612)*BI64</f>
        <v>#DIV/0!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585</v>
      </c>
    </row>
    <row r="635" spans="1:14" s="202" customFormat="1" ht="12.65" customHeight="1" x14ac:dyDescent="0.3">
      <c r="A635" s="212">
        <v>8530</v>
      </c>
      <c r="B635" s="216" t="s">
        <v>586</v>
      </c>
      <c r="C635" s="217">
        <f>BK85</f>
        <v>292212.39</v>
      </c>
      <c r="D635" s="217" t="e">
        <f>(D615/D612)*BK90</f>
        <v>#DIV/0!</v>
      </c>
      <c r="E635" s="219" t="e">
        <f>(E623/E612)*SUM(C635:D635)</f>
        <v>#DIV/0!</v>
      </c>
      <c r="F635" s="219" t="e">
        <f>(F624/F612)*BK64</f>
        <v>#DIV/0!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587</v>
      </c>
    </row>
    <row r="636" spans="1:14" s="202" customFormat="1" ht="12.65" customHeight="1" x14ac:dyDescent="0.3">
      <c r="A636" s="212">
        <v>8480</v>
      </c>
      <c r="B636" s="216" t="s">
        <v>588</v>
      </c>
      <c r="C636" s="217">
        <f>BH85</f>
        <v>0</v>
      </c>
      <c r="D636" s="217" t="e">
        <f>(D615/D612)*BH90</f>
        <v>#DIV/0!</v>
      </c>
      <c r="E636" s="219" t="e">
        <f>(E623/E612)*SUM(C636:D636)</f>
        <v>#DIV/0!</v>
      </c>
      <c r="F636" s="219" t="e">
        <f>(F624/F612)*BH64</f>
        <v>#DIV/0!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589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1869388.7599999998</v>
      </c>
      <c r="D637" s="217" t="e">
        <f>(D615/D612)*BL90</f>
        <v>#DIV/0!</v>
      </c>
      <c r="E637" s="219" t="e">
        <f>(E623/E612)*SUM(C637:D637)</f>
        <v>#DIV/0!</v>
      </c>
      <c r="F637" s="219" t="e">
        <f>(F624/F612)*BL64</f>
        <v>#DIV/0!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590</v>
      </c>
    </row>
    <row r="638" spans="1:14" s="202" customFormat="1" ht="12.65" customHeight="1" x14ac:dyDescent="0.3">
      <c r="A638" s="212">
        <v>8590</v>
      </c>
      <c r="B638" s="216" t="s">
        <v>591</v>
      </c>
      <c r="C638" s="217">
        <f>BM85</f>
        <v>0</v>
      </c>
      <c r="D638" s="217" t="e">
        <f>(D615/D612)*BM90</f>
        <v>#DIV/0!</v>
      </c>
      <c r="E638" s="219" t="e">
        <f>(E623/E612)*SUM(C638:D638)</f>
        <v>#DIV/0!</v>
      </c>
      <c r="F638" s="219" t="e">
        <f>(F624/F612)*BM64</f>
        <v>#DIV/0!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592</v>
      </c>
    </row>
    <row r="639" spans="1:14" s="202" customFormat="1" ht="12.65" customHeight="1" x14ac:dyDescent="0.3">
      <c r="A639" s="212">
        <v>8660</v>
      </c>
      <c r="B639" s="216" t="s">
        <v>593</v>
      </c>
      <c r="C639" s="217">
        <f>BS85</f>
        <v>0</v>
      </c>
      <c r="D639" s="217" t="e">
        <f>(D615/D612)*BS90</f>
        <v>#DIV/0!</v>
      </c>
      <c r="E639" s="219" t="e">
        <f>(E623/E612)*SUM(C639:D639)</f>
        <v>#DIV/0!</v>
      </c>
      <c r="F639" s="219" t="e">
        <f>(F624/F612)*BS64</f>
        <v>#DIV/0!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594</v>
      </c>
    </row>
    <row r="640" spans="1:14" s="202" customFormat="1" ht="12.65" customHeight="1" x14ac:dyDescent="0.3">
      <c r="A640" s="212">
        <v>8670</v>
      </c>
      <c r="B640" s="216" t="s">
        <v>595</v>
      </c>
      <c r="C640" s="217">
        <f>BT85</f>
        <v>0</v>
      </c>
      <c r="D640" s="217" t="e">
        <f>(D615/D612)*BT90</f>
        <v>#DIV/0!</v>
      </c>
      <c r="E640" s="219" t="e">
        <f>(E623/E612)*SUM(C640:D640)</f>
        <v>#DIV/0!</v>
      </c>
      <c r="F640" s="219" t="e">
        <f>(F624/F612)*BT64</f>
        <v>#DIV/0!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596</v>
      </c>
    </row>
    <row r="641" spans="1:14" s="202" customFormat="1" ht="12.65" customHeight="1" x14ac:dyDescent="0.3">
      <c r="A641" s="212">
        <v>8680</v>
      </c>
      <c r="B641" s="216" t="s">
        <v>597</v>
      </c>
      <c r="C641" s="217">
        <f>BU85</f>
        <v>0</v>
      </c>
      <c r="D641" s="217" t="e">
        <f>(D615/D612)*BU90</f>
        <v>#DIV/0!</v>
      </c>
      <c r="E641" s="219" t="e">
        <f>(E623/E612)*SUM(C641:D641)</f>
        <v>#DIV/0!</v>
      </c>
      <c r="F641" s="219" t="e">
        <f>(F624/F612)*BU64</f>
        <v>#DIV/0!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598</v>
      </c>
    </row>
    <row r="642" spans="1:14" s="202" customFormat="1" ht="12.65" customHeight="1" x14ac:dyDescent="0.3">
      <c r="A642" s="212">
        <v>8690</v>
      </c>
      <c r="B642" s="216" t="s">
        <v>599</v>
      </c>
      <c r="C642" s="217">
        <f>BV85</f>
        <v>189087.17</v>
      </c>
      <c r="D642" s="217" t="e">
        <f>(D615/D612)*BV90</f>
        <v>#DIV/0!</v>
      </c>
      <c r="E642" s="219" t="e">
        <f>(E623/E612)*SUM(C642:D642)</f>
        <v>#DIV/0!</v>
      </c>
      <c r="F642" s="219" t="e">
        <f>(F624/F612)*BV64</f>
        <v>#DIV/0!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600</v>
      </c>
    </row>
    <row r="643" spans="1:14" s="202" customFormat="1" ht="12.65" customHeight="1" x14ac:dyDescent="0.3">
      <c r="A643" s="212">
        <v>8700</v>
      </c>
      <c r="B643" s="216" t="s">
        <v>601</v>
      </c>
      <c r="C643" s="217">
        <f>BW85</f>
        <v>2934694.48</v>
      </c>
      <c r="D643" s="217" t="e">
        <f>(D615/D612)*BW90</f>
        <v>#DIV/0!</v>
      </c>
      <c r="E643" s="219" t="e">
        <f>(E623/E612)*SUM(C643:D643)</f>
        <v>#DIV/0!</v>
      </c>
      <c r="F643" s="219" t="e">
        <f>(F624/F612)*BW64</f>
        <v>#DIV/0!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602</v>
      </c>
    </row>
    <row r="644" spans="1:14" s="202" customFormat="1" ht="12.65" customHeight="1" x14ac:dyDescent="0.3">
      <c r="A644" s="212">
        <v>8710</v>
      </c>
      <c r="B644" s="216" t="s">
        <v>603</v>
      </c>
      <c r="C644" s="217">
        <f>BX85</f>
        <v>0</v>
      </c>
      <c r="D644" s="217" t="e">
        <f>(D615/D612)*BX90</f>
        <v>#DIV/0!</v>
      </c>
      <c r="E644" s="219" t="e">
        <f>(E623/E612)*SUM(C644:D644)</f>
        <v>#DIV/0!</v>
      </c>
      <c r="F644" s="219" t="e">
        <f>(F624/F612)*BX64</f>
        <v>#DIV/0!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604</v>
      </c>
    </row>
    <row r="645" spans="1:14" s="202" customFormat="1" ht="12.65" customHeight="1" x14ac:dyDescent="0.3">
      <c r="A645" s="212">
        <v>8720</v>
      </c>
      <c r="B645" s="216" t="s">
        <v>605</v>
      </c>
      <c r="C645" s="217">
        <f>BY85</f>
        <v>1204596.1399999999</v>
      </c>
      <c r="D645" s="217" t="e">
        <f>(D615/D612)*BY90</f>
        <v>#DIV/0!</v>
      </c>
      <c r="E645" s="219" t="e">
        <f>(E623/E612)*SUM(C645:D645)</f>
        <v>#DIV/0!</v>
      </c>
      <c r="F645" s="219" t="e">
        <f>(F624/F612)*BY64</f>
        <v>#DIV/0!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606</v>
      </c>
    </row>
    <row r="646" spans="1:14" s="202" customFormat="1" ht="12.65" customHeight="1" x14ac:dyDescent="0.3">
      <c r="A646" s="212">
        <v>8730</v>
      </c>
      <c r="B646" s="216" t="s">
        <v>607</v>
      </c>
      <c r="C646" s="217">
        <f>BZ85</f>
        <v>0</v>
      </c>
      <c r="D646" s="217" t="e">
        <f>(D615/D612)*BZ90</f>
        <v>#DIV/0!</v>
      </c>
      <c r="E646" s="219" t="e">
        <f>(E623/E612)*SUM(C646:D646)</f>
        <v>#DIV/0!</v>
      </c>
      <c r="F646" s="219" t="e">
        <f>(F624/F612)*BZ64</f>
        <v>#DIV/0!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608</v>
      </c>
    </row>
    <row r="647" spans="1:14" s="202" customFormat="1" ht="12.65" customHeight="1" x14ac:dyDescent="0.3">
      <c r="A647" s="212">
        <v>8740</v>
      </c>
      <c r="B647" s="216" t="s">
        <v>609</v>
      </c>
      <c r="C647" s="217">
        <f>CA85</f>
        <v>0</v>
      </c>
      <c r="D647" s="217" t="e">
        <f>(D615/D612)*CA90</f>
        <v>#DIV/0!</v>
      </c>
      <c r="E647" s="219" t="e">
        <f>(E623/E612)*SUM(C647:D647)</f>
        <v>#DIV/0!</v>
      </c>
      <c r="F647" s="219" t="e">
        <f>(F624/F612)*CA64</f>
        <v>#DIV/0!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610</v>
      </c>
    </row>
    <row r="648" spans="1:14" s="202" customFormat="1" ht="12.65" customHeight="1" x14ac:dyDescent="0.3">
      <c r="A648" s="212"/>
      <c r="B648" s="212"/>
      <c r="C648" s="202">
        <f>SUM(C614:C647)</f>
        <v>13786758.040000001</v>
      </c>
      <c r="L648" s="215"/>
    </row>
    <row r="666" spans="1:14" s="202" customFormat="1" ht="12.65" customHeight="1" x14ac:dyDescent="0.3">
      <c r="C666" s="210" t="s">
        <v>611</v>
      </c>
      <c r="M666" s="210" t="s">
        <v>612</v>
      </c>
    </row>
    <row r="667" spans="1:14" s="202" customFormat="1" ht="12.65" customHeight="1" x14ac:dyDescent="0.3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5" customHeight="1" x14ac:dyDescent="0.3">
      <c r="A668" s="212">
        <v>6010</v>
      </c>
      <c r="B668" s="211" t="s">
        <v>340</v>
      </c>
      <c r="C668" s="217">
        <f>C85</f>
        <v>0</v>
      </c>
      <c r="D668" s="217" t="e">
        <f>(D615/D612)*C90</f>
        <v>#DIV/0!</v>
      </c>
      <c r="E668" s="219" t="e">
        <f>(E623/E612)*SUM(C668:D668)</f>
        <v>#DIV/0!</v>
      </c>
      <c r="F668" s="219" t="e">
        <f>(F624/F612)*C64</f>
        <v>#DIV/0!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614</v>
      </c>
    </row>
    <row r="669" spans="1:14" s="202" customFormat="1" ht="12.65" customHeight="1" x14ac:dyDescent="0.3">
      <c r="A669" s="212">
        <v>6030</v>
      </c>
      <c r="B669" s="211" t="s">
        <v>341</v>
      </c>
      <c r="C669" s="217">
        <f>D85</f>
        <v>0</v>
      </c>
      <c r="D669" s="217" t="e">
        <f>(D615/D612)*D90</f>
        <v>#DIV/0!</v>
      </c>
      <c r="E669" s="219" t="e">
        <f>(E623/E612)*SUM(C669:D669)</f>
        <v>#DIV/0!</v>
      </c>
      <c r="F669" s="219" t="e">
        <f>(F624/F612)*D64</f>
        <v>#DIV/0!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615</v>
      </c>
    </row>
    <row r="670" spans="1:14" s="202" customFormat="1" ht="12.65" customHeight="1" x14ac:dyDescent="0.3">
      <c r="A670" s="212">
        <v>6070</v>
      </c>
      <c r="B670" s="211" t="s">
        <v>616</v>
      </c>
      <c r="C670" s="217">
        <f>E85</f>
        <v>0</v>
      </c>
      <c r="D670" s="217" t="e">
        <f>(D615/D612)*E90</f>
        <v>#DIV/0!</v>
      </c>
      <c r="E670" s="219" t="e">
        <f>(E623/E612)*SUM(C670:D670)</f>
        <v>#DIV/0!</v>
      </c>
      <c r="F670" s="219" t="e">
        <f>(F624/F612)*E64</f>
        <v>#DIV/0!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617</v>
      </c>
    </row>
    <row r="671" spans="1:14" s="202" customFormat="1" ht="12.65" customHeight="1" x14ac:dyDescent="0.3">
      <c r="A671" s="212">
        <v>6100</v>
      </c>
      <c r="B671" s="211" t="s">
        <v>618</v>
      </c>
      <c r="C671" s="217">
        <f>F85</f>
        <v>0</v>
      </c>
      <c r="D671" s="217" t="e">
        <f>(D615/D612)*F90</f>
        <v>#DIV/0!</v>
      </c>
      <c r="E671" s="219" t="e">
        <f>(E623/E612)*SUM(C671:D671)</f>
        <v>#DIV/0!</v>
      </c>
      <c r="F671" s="219" t="e">
        <f>(F624/F612)*F64</f>
        <v>#DIV/0!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619</v>
      </c>
    </row>
    <row r="672" spans="1:14" s="202" customFormat="1" ht="12.65" customHeight="1" x14ac:dyDescent="0.3">
      <c r="A672" s="212">
        <v>6120</v>
      </c>
      <c r="B672" s="211" t="s">
        <v>620</v>
      </c>
      <c r="C672" s="217">
        <f>G85</f>
        <v>0</v>
      </c>
      <c r="D672" s="217" t="e">
        <f>(D615/D612)*G90</f>
        <v>#DIV/0!</v>
      </c>
      <c r="E672" s="219" t="e">
        <f>(E623/E612)*SUM(C672:D672)</f>
        <v>#DIV/0!</v>
      </c>
      <c r="F672" s="219" t="e">
        <f>(F624/F612)*G64</f>
        <v>#DIV/0!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621</v>
      </c>
    </row>
    <row r="673" spans="1:14" s="202" customFormat="1" ht="12.65" customHeight="1" x14ac:dyDescent="0.3">
      <c r="A673" s="212">
        <v>6140</v>
      </c>
      <c r="B673" s="211" t="s">
        <v>622</v>
      </c>
      <c r="C673" s="217">
        <f>H85</f>
        <v>10027662.84</v>
      </c>
      <c r="D673" s="217" t="e">
        <f>(D615/D612)*H90</f>
        <v>#DIV/0!</v>
      </c>
      <c r="E673" s="219" t="e">
        <f>(E623/E612)*SUM(C673:D673)</f>
        <v>#DIV/0!</v>
      </c>
      <c r="F673" s="219" t="e">
        <f>(F624/F612)*H64</f>
        <v>#DIV/0!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623</v>
      </c>
    </row>
    <row r="674" spans="1:14" s="202" customFormat="1" ht="12.65" customHeight="1" x14ac:dyDescent="0.3">
      <c r="A674" s="212">
        <v>6150</v>
      </c>
      <c r="B674" s="211" t="s">
        <v>624</v>
      </c>
      <c r="C674" s="217">
        <f>I85</f>
        <v>0</v>
      </c>
      <c r="D674" s="217" t="e">
        <f>(D615/D612)*I90</f>
        <v>#DIV/0!</v>
      </c>
      <c r="E674" s="219" t="e">
        <f>(E623/E612)*SUM(C674:D674)</f>
        <v>#DIV/0!</v>
      </c>
      <c r="F674" s="219" t="e">
        <f>(F624/F612)*I64</f>
        <v>#DIV/0!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625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0</v>
      </c>
      <c r="D675" s="217" t="e">
        <f>(D615/D612)*J90</f>
        <v>#DIV/0!</v>
      </c>
      <c r="E675" s="219" t="e">
        <f>(E623/E612)*SUM(C675:D675)</f>
        <v>#DIV/0!</v>
      </c>
      <c r="F675" s="219" t="e">
        <f>(F624/F612)*J64</f>
        <v>#DIV/0!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626</v>
      </c>
    </row>
    <row r="676" spans="1:14" s="202" customFormat="1" ht="12.65" customHeight="1" x14ac:dyDescent="0.3">
      <c r="A676" s="212">
        <v>6200</v>
      </c>
      <c r="B676" s="211" t="s">
        <v>346</v>
      </c>
      <c r="C676" s="217">
        <f>K85</f>
        <v>0</v>
      </c>
      <c r="D676" s="217" t="e">
        <f>(D615/D612)*K90</f>
        <v>#DIV/0!</v>
      </c>
      <c r="E676" s="219" t="e">
        <f>(E623/E612)*SUM(C676:D676)</f>
        <v>#DIV/0!</v>
      </c>
      <c r="F676" s="219" t="e">
        <f>(F624/F612)*K64</f>
        <v>#DIV/0!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627</v>
      </c>
    </row>
    <row r="677" spans="1:14" s="202" customFormat="1" ht="12.65" customHeight="1" x14ac:dyDescent="0.3">
      <c r="A677" s="212">
        <v>6210</v>
      </c>
      <c r="B677" s="211" t="s">
        <v>347</v>
      </c>
      <c r="C677" s="217">
        <f>L85</f>
        <v>0</v>
      </c>
      <c r="D677" s="217" t="e">
        <f>(D615/D612)*L90</f>
        <v>#DIV/0!</v>
      </c>
      <c r="E677" s="219" t="e">
        <f>(E623/E612)*SUM(C677:D677)</f>
        <v>#DIV/0!</v>
      </c>
      <c r="F677" s="219" t="e">
        <f>(F624/F612)*L64</f>
        <v>#DIV/0!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628</v>
      </c>
    </row>
    <row r="678" spans="1:14" s="202" customFormat="1" ht="12.65" customHeight="1" x14ac:dyDescent="0.3">
      <c r="A678" s="212">
        <v>6330</v>
      </c>
      <c r="B678" s="211" t="s">
        <v>629</v>
      </c>
      <c r="C678" s="217">
        <f>M85</f>
        <v>0</v>
      </c>
      <c r="D678" s="217" t="e">
        <f>(D615/D612)*M90</f>
        <v>#DIV/0!</v>
      </c>
      <c r="E678" s="219" t="e">
        <f>(E623/E612)*SUM(C678:D678)</f>
        <v>#DIV/0!</v>
      </c>
      <c r="F678" s="219" t="e">
        <f>(F624/F612)*M64</f>
        <v>#DIV/0!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630</v>
      </c>
    </row>
    <row r="679" spans="1:14" s="202" customFormat="1" ht="12.65" customHeight="1" x14ac:dyDescent="0.3">
      <c r="A679" s="212">
        <v>6400</v>
      </c>
      <c r="B679" s="211" t="s">
        <v>631</v>
      </c>
      <c r="C679" s="217">
        <f>N85</f>
        <v>0</v>
      </c>
      <c r="D679" s="217" t="e">
        <f>(D615/D612)*N90</f>
        <v>#DIV/0!</v>
      </c>
      <c r="E679" s="219" t="e">
        <f>(E623/E612)*SUM(C679:D679)</f>
        <v>#DIV/0!</v>
      </c>
      <c r="F679" s="219" t="e">
        <f>(F624/F612)*N64</f>
        <v>#DIV/0!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632</v>
      </c>
    </row>
    <row r="680" spans="1:14" s="202" customFormat="1" ht="12.65" customHeight="1" x14ac:dyDescent="0.3">
      <c r="A680" s="212">
        <v>7010</v>
      </c>
      <c r="B680" s="211" t="s">
        <v>633</v>
      </c>
      <c r="C680" s="217">
        <f>O85</f>
        <v>0</v>
      </c>
      <c r="D680" s="217" t="e">
        <f>(D615/D612)*O90</f>
        <v>#DIV/0!</v>
      </c>
      <c r="E680" s="219" t="e">
        <f>(E623/E612)*SUM(C680:D680)</f>
        <v>#DIV/0!</v>
      </c>
      <c r="F680" s="219" t="e">
        <f>(F624/F612)*O64</f>
        <v>#DIV/0!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634</v>
      </c>
    </row>
    <row r="681" spans="1:14" s="202" customFormat="1" ht="12.65" customHeight="1" x14ac:dyDescent="0.3">
      <c r="A681" s="212">
        <v>7020</v>
      </c>
      <c r="B681" s="211" t="s">
        <v>635</v>
      </c>
      <c r="C681" s="217">
        <f>P85</f>
        <v>0</v>
      </c>
      <c r="D681" s="217" t="e">
        <f>(D615/D612)*P90</f>
        <v>#DIV/0!</v>
      </c>
      <c r="E681" s="219" t="e">
        <f>(E623/E612)*SUM(C681:D681)</f>
        <v>#DIV/0!</v>
      </c>
      <c r="F681" s="219" t="e">
        <f>(F624/F612)*P64</f>
        <v>#DIV/0!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636</v>
      </c>
    </row>
    <row r="682" spans="1:14" s="202" customFormat="1" ht="12.65" customHeight="1" x14ac:dyDescent="0.3">
      <c r="A682" s="212">
        <v>7030</v>
      </c>
      <c r="B682" s="211" t="s">
        <v>637</v>
      </c>
      <c r="C682" s="217">
        <f>Q85</f>
        <v>0</v>
      </c>
      <c r="D682" s="217" t="e">
        <f>(D615/D612)*Q90</f>
        <v>#DIV/0!</v>
      </c>
      <c r="E682" s="219" t="e">
        <f>(E623/E612)*SUM(C682:D682)</f>
        <v>#DIV/0!</v>
      </c>
      <c r="F682" s="219" t="e">
        <f>(F624/F612)*Q64</f>
        <v>#DIV/0!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638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0</v>
      </c>
      <c r="D683" s="217" t="e">
        <f>(D615/D612)*R90</f>
        <v>#DIV/0!</v>
      </c>
      <c r="E683" s="219" t="e">
        <f>(E623/E612)*SUM(C683:D683)</f>
        <v>#DIV/0!</v>
      </c>
      <c r="F683" s="219" t="e">
        <f>(F624/F612)*R64</f>
        <v>#DIV/0!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639</v>
      </c>
    </row>
    <row r="684" spans="1:14" s="202" customFormat="1" ht="12.65" customHeight="1" x14ac:dyDescent="0.3">
      <c r="A684" s="212">
        <v>7050</v>
      </c>
      <c r="B684" s="211" t="s">
        <v>640</v>
      </c>
      <c r="C684" s="217">
        <f>S85</f>
        <v>0</v>
      </c>
      <c r="D684" s="217" t="e">
        <f>(D615/D612)*S90</f>
        <v>#DIV/0!</v>
      </c>
      <c r="E684" s="219" t="e">
        <f>(E623/E612)*SUM(C684:D684)</f>
        <v>#DIV/0!</v>
      </c>
      <c r="F684" s="219" t="e">
        <f>(F624/F612)*S64</f>
        <v>#DIV/0!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641</v>
      </c>
    </row>
    <row r="685" spans="1:14" s="202" customFormat="1" ht="12.65" customHeight="1" x14ac:dyDescent="0.3">
      <c r="A685" s="212">
        <v>7060</v>
      </c>
      <c r="B685" s="211" t="s">
        <v>642</v>
      </c>
      <c r="C685" s="217">
        <f>T85</f>
        <v>0</v>
      </c>
      <c r="D685" s="217" t="e">
        <f>(D615/D612)*T90</f>
        <v>#DIV/0!</v>
      </c>
      <c r="E685" s="219" t="e">
        <f>(E623/E612)*SUM(C685:D685)</f>
        <v>#DIV/0!</v>
      </c>
      <c r="F685" s="219" t="e">
        <f>(F624/F612)*T64</f>
        <v>#DIV/0!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643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0</v>
      </c>
      <c r="D686" s="217" t="e">
        <f>(D615/D612)*U90</f>
        <v>#DIV/0!</v>
      </c>
      <c r="E686" s="219" t="e">
        <f>(E623/E612)*SUM(C686:D686)</f>
        <v>#DIV/0!</v>
      </c>
      <c r="F686" s="219" t="e">
        <f>(F624/F612)*U64</f>
        <v>#DIV/0!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644</v>
      </c>
    </row>
    <row r="687" spans="1:14" s="202" customFormat="1" ht="12.65" customHeight="1" x14ac:dyDescent="0.3">
      <c r="A687" s="212">
        <v>7110</v>
      </c>
      <c r="B687" s="211" t="s">
        <v>645</v>
      </c>
      <c r="C687" s="217">
        <f>V85</f>
        <v>0</v>
      </c>
      <c r="D687" s="217" t="e">
        <f>(D615/D612)*V90</f>
        <v>#DIV/0!</v>
      </c>
      <c r="E687" s="219" t="e">
        <f>(E623/E612)*SUM(C687:D687)</f>
        <v>#DIV/0!</v>
      </c>
      <c r="F687" s="219" t="e">
        <f>(F624/F612)*V64</f>
        <v>#DIV/0!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646</v>
      </c>
    </row>
    <row r="688" spans="1:14" s="202" customFormat="1" ht="12.65" customHeight="1" x14ac:dyDescent="0.3">
      <c r="A688" s="212">
        <v>7120</v>
      </c>
      <c r="B688" s="211" t="s">
        <v>647</v>
      </c>
      <c r="C688" s="217">
        <f>W85</f>
        <v>0</v>
      </c>
      <c r="D688" s="217" t="e">
        <f>(D615/D612)*W90</f>
        <v>#DIV/0!</v>
      </c>
      <c r="E688" s="219" t="e">
        <f>(E623/E612)*SUM(C688:D688)</f>
        <v>#DIV/0!</v>
      </c>
      <c r="F688" s="219" t="e">
        <f>(F624/F612)*W64</f>
        <v>#DIV/0!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648</v>
      </c>
    </row>
    <row r="689" spans="1:14" s="202" customFormat="1" ht="12.65" customHeight="1" x14ac:dyDescent="0.3">
      <c r="A689" s="212">
        <v>7130</v>
      </c>
      <c r="B689" s="211" t="s">
        <v>649</v>
      </c>
      <c r="C689" s="217">
        <f>X85</f>
        <v>0</v>
      </c>
      <c r="D689" s="217" t="e">
        <f>(D615/D612)*X90</f>
        <v>#DIV/0!</v>
      </c>
      <c r="E689" s="219" t="e">
        <f>(E623/E612)*SUM(C689:D689)</f>
        <v>#DIV/0!</v>
      </c>
      <c r="F689" s="219" t="e">
        <f>(F624/F612)*X64</f>
        <v>#DIV/0!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650</v>
      </c>
    </row>
    <row r="690" spans="1:14" s="202" customFormat="1" ht="12.65" customHeight="1" x14ac:dyDescent="0.3">
      <c r="A690" s="212">
        <v>7140</v>
      </c>
      <c r="B690" s="211" t="s">
        <v>651</v>
      </c>
      <c r="C690" s="217">
        <f>Y85</f>
        <v>0</v>
      </c>
      <c r="D690" s="217" t="e">
        <f>(D615/D612)*Y90</f>
        <v>#DIV/0!</v>
      </c>
      <c r="E690" s="219" t="e">
        <f>(E623/E612)*SUM(C690:D690)</f>
        <v>#DIV/0!</v>
      </c>
      <c r="F690" s="219" t="e">
        <f>(F624/F612)*Y64</f>
        <v>#DIV/0!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652</v>
      </c>
    </row>
    <row r="691" spans="1:14" s="202" customFormat="1" ht="12.65" customHeight="1" x14ac:dyDescent="0.3">
      <c r="A691" s="212">
        <v>7150</v>
      </c>
      <c r="B691" s="211" t="s">
        <v>653</v>
      </c>
      <c r="C691" s="217">
        <f>Z85</f>
        <v>0</v>
      </c>
      <c r="D691" s="217" t="e">
        <f>(D615/D612)*Z90</f>
        <v>#DIV/0!</v>
      </c>
      <c r="E691" s="219" t="e">
        <f>(E623/E612)*SUM(C691:D691)</f>
        <v>#DIV/0!</v>
      </c>
      <c r="F691" s="219" t="e">
        <f>(F624/F612)*Z64</f>
        <v>#DIV/0!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654</v>
      </c>
    </row>
    <row r="692" spans="1:14" s="202" customFormat="1" ht="12.65" customHeight="1" x14ac:dyDescent="0.3">
      <c r="A692" s="212">
        <v>7160</v>
      </c>
      <c r="B692" s="211" t="s">
        <v>655</v>
      </c>
      <c r="C692" s="217">
        <f>AA85</f>
        <v>0</v>
      </c>
      <c r="D692" s="217" t="e">
        <f>(D615/D612)*AA90</f>
        <v>#DIV/0!</v>
      </c>
      <c r="E692" s="219" t="e">
        <f>(E623/E612)*SUM(C692:D692)</f>
        <v>#DIV/0!</v>
      </c>
      <c r="F692" s="219" t="e">
        <f>(F624/F612)*AA64</f>
        <v>#DIV/0!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656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0</v>
      </c>
      <c r="D693" s="217" t="e">
        <f>(D615/D612)*AB90</f>
        <v>#DIV/0!</v>
      </c>
      <c r="E693" s="219" t="e">
        <f>(E623/E612)*SUM(C693:D693)</f>
        <v>#DIV/0!</v>
      </c>
      <c r="F693" s="219" t="e">
        <f>(F624/F612)*AB64</f>
        <v>#DIV/0!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657</v>
      </c>
    </row>
    <row r="694" spans="1:14" s="202" customFormat="1" ht="12.65" customHeight="1" x14ac:dyDescent="0.3">
      <c r="A694" s="212">
        <v>7180</v>
      </c>
      <c r="B694" s="211" t="s">
        <v>658</v>
      </c>
      <c r="C694" s="217">
        <f>AC85</f>
        <v>0</v>
      </c>
      <c r="D694" s="217" t="e">
        <f>(D615/D612)*AC90</f>
        <v>#DIV/0!</v>
      </c>
      <c r="E694" s="219" t="e">
        <f>(E623/E612)*SUM(C694:D694)</f>
        <v>#DIV/0!</v>
      </c>
      <c r="F694" s="219" t="e">
        <f>(F624/F612)*AC64</f>
        <v>#DIV/0!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659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 t="e">
        <f>(D615/D612)*AD90</f>
        <v>#DIV/0!</v>
      </c>
      <c r="E695" s="219" t="e">
        <f>(E623/E612)*SUM(C695:D695)</f>
        <v>#DIV/0!</v>
      </c>
      <c r="F695" s="219" t="e">
        <f>(F624/F612)*AD64</f>
        <v>#DIV/0!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660</v>
      </c>
    </row>
    <row r="696" spans="1:14" s="202" customFormat="1" ht="12.65" customHeight="1" x14ac:dyDescent="0.3">
      <c r="A696" s="212">
        <v>7200</v>
      </c>
      <c r="B696" s="211" t="s">
        <v>661</v>
      </c>
      <c r="C696" s="217">
        <f>AE85</f>
        <v>0</v>
      </c>
      <c r="D696" s="217" t="e">
        <f>(D615/D612)*AE90</f>
        <v>#DIV/0!</v>
      </c>
      <c r="E696" s="219" t="e">
        <f>(E623/E612)*SUM(C696:D696)</f>
        <v>#DIV/0!</v>
      </c>
      <c r="F696" s="219" t="e">
        <f>(F624/F612)*AE64</f>
        <v>#DIV/0!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662</v>
      </c>
    </row>
    <row r="697" spans="1:14" s="202" customFormat="1" ht="12.65" customHeight="1" x14ac:dyDescent="0.3">
      <c r="A697" s="212">
        <v>7220</v>
      </c>
      <c r="B697" s="211" t="s">
        <v>663</v>
      </c>
      <c r="C697" s="217">
        <f>AF85</f>
        <v>0</v>
      </c>
      <c r="D697" s="217" t="e">
        <f>(D615/D612)*AF90</f>
        <v>#DIV/0!</v>
      </c>
      <c r="E697" s="219" t="e">
        <f>(E623/E612)*SUM(C697:D697)</f>
        <v>#DIV/0!</v>
      </c>
      <c r="F697" s="219" t="e">
        <f>(F624/F612)*AF64</f>
        <v>#DIV/0!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664</v>
      </c>
    </row>
    <row r="698" spans="1:14" s="202" customFormat="1" ht="12.65" customHeight="1" x14ac:dyDescent="0.3">
      <c r="A698" s="212">
        <v>7230</v>
      </c>
      <c r="B698" s="211" t="s">
        <v>665</v>
      </c>
      <c r="C698" s="217">
        <f>AG85</f>
        <v>0</v>
      </c>
      <c r="D698" s="217" t="e">
        <f>(D615/D612)*AG90</f>
        <v>#DIV/0!</v>
      </c>
      <c r="E698" s="219" t="e">
        <f>(E623/E612)*SUM(C698:D698)</f>
        <v>#DIV/0!</v>
      </c>
      <c r="F698" s="219" t="e">
        <f>(F624/F612)*AG64</f>
        <v>#DIV/0!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666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0</v>
      </c>
      <c r="D699" s="217" t="e">
        <f>(D615/D612)*AH90</f>
        <v>#DIV/0!</v>
      </c>
      <c r="E699" s="219" t="e">
        <f>(E623/E612)*SUM(C699:D699)</f>
        <v>#DIV/0!</v>
      </c>
      <c r="F699" s="219" t="e">
        <f>(F624/F612)*AH64</f>
        <v>#DIV/0!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667</v>
      </c>
    </row>
    <row r="700" spans="1:14" s="202" customFormat="1" ht="12.65" customHeight="1" x14ac:dyDescent="0.3">
      <c r="A700" s="212">
        <v>7250</v>
      </c>
      <c r="B700" s="211" t="s">
        <v>668</v>
      </c>
      <c r="C700" s="217">
        <f>AI85</f>
        <v>0</v>
      </c>
      <c r="D700" s="217" t="e">
        <f>(D615/D612)*AI90</f>
        <v>#DIV/0!</v>
      </c>
      <c r="E700" s="219" t="e">
        <f>(E623/E612)*SUM(C700:D700)</f>
        <v>#DIV/0!</v>
      </c>
      <c r="F700" s="219" t="e">
        <f>(F624/F612)*AI64</f>
        <v>#DIV/0!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669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0</v>
      </c>
      <c r="D701" s="217" t="e">
        <f>(D615/D612)*AJ90</f>
        <v>#DIV/0!</v>
      </c>
      <c r="E701" s="219" t="e">
        <f>(E623/E612)*SUM(C701:D701)</f>
        <v>#DIV/0!</v>
      </c>
      <c r="F701" s="219" t="e">
        <f>(F624/F612)*AJ64</f>
        <v>#DIV/0!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670</v>
      </c>
    </row>
    <row r="702" spans="1:14" s="202" customFormat="1" ht="12.65" customHeight="1" x14ac:dyDescent="0.3">
      <c r="A702" s="212">
        <v>7310</v>
      </c>
      <c r="B702" s="211" t="s">
        <v>671</v>
      </c>
      <c r="C702" s="217">
        <f>AK85</f>
        <v>0</v>
      </c>
      <c r="D702" s="217" t="e">
        <f>(D615/D612)*AK90</f>
        <v>#DIV/0!</v>
      </c>
      <c r="E702" s="219" t="e">
        <f>(E623/E612)*SUM(C702:D702)</f>
        <v>#DIV/0!</v>
      </c>
      <c r="F702" s="219" t="e">
        <f>(F624/F612)*AK64</f>
        <v>#DIV/0!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672</v>
      </c>
    </row>
    <row r="703" spans="1:14" s="202" customFormat="1" ht="12.65" customHeight="1" x14ac:dyDescent="0.3">
      <c r="A703" s="212">
        <v>7320</v>
      </c>
      <c r="B703" s="211" t="s">
        <v>673</v>
      </c>
      <c r="C703" s="217">
        <f>AL85</f>
        <v>0</v>
      </c>
      <c r="D703" s="217" t="e">
        <f>(D615/D612)*AL90</f>
        <v>#DIV/0!</v>
      </c>
      <c r="E703" s="219" t="e">
        <f>(E623/E612)*SUM(C703:D703)</f>
        <v>#DIV/0!</v>
      </c>
      <c r="F703" s="219" t="e">
        <f>(F624/F612)*AL64</f>
        <v>#DIV/0!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674</v>
      </c>
    </row>
    <row r="704" spans="1:14" s="202" customFormat="1" ht="12.65" customHeight="1" x14ac:dyDescent="0.3">
      <c r="A704" s="212">
        <v>7330</v>
      </c>
      <c r="B704" s="211" t="s">
        <v>675</v>
      </c>
      <c r="C704" s="217">
        <f>AM85</f>
        <v>201318.33299999998</v>
      </c>
      <c r="D704" s="217" t="e">
        <f>(D615/D612)*AM90</f>
        <v>#DIV/0!</v>
      </c>
      <c r="E704" s="219" t="e">
        <f>(E623/E612)*SUM(C704:D704)</f>
        <v>#DIV/0!</v>
      </c>
      <c r="F704" s="219" t="e">
        <f>(F624/F612)*AM64</f>
        <v>#DIV/0!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676</v>
      </c>
    </row>
    <row r="705" spans="1:14" s="202" customFormat="1" ht="12.65" customHeight="1" x14ac:dyDescent="0.3">
      <c r="A705" s="212">
        <v>7340</v>
      </c>
      <c r="B705" s="211" t="s">
        <v>677</v>
      </c>
      <c r="C705" s="217">
        <f>AN85</f>
        <v>0</v>
      </c>
      <c r="D705" s="217" t="e">
        <f>(D615/D612)*AN90</f>
        <v>#DIV/0!</v>
      </c>
      <c r="E705" s="219" t="e">
        <f>(E623/E612)*SUM(C705:D705)</f>
        <v>#DIV/0!</v>
      </c>
      <c r="F705" s="219" t="e">
        <f>(F624/F612)*AN64</f>
        <v>#DIV/0!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678</v>
      </c>
    </row>
    <row r="706" spans="1:14" s="202" customFormat="1" ht="12.65" customHeight="1" x14ac:dyDescent="0.3">
      <c r="A706" s="212">
        <v>7350</v>
      </c>
      <c r="B706" s="211" t="s">
        <v>679</v>
      </c>
      <c r="C706" s="217">
        <f>AO85</f>
        <v>0</v>
      </c>
      <c r="D706" s="217" t="e">
        <f>(D615/D612)*AO90</f>
        <v>#DIV/0!</v>
      </c>
      <c r="E706" s="219" t="e">
        <f>(E623/E612)*SUM(C706:D706)</f>
        <v>#DIV/0!</v>
      </c>
      <c r="F706" s="219" t="e">
        <f>(F624/F612)*AO64</f>
        <v>#DIV/0!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680</v>
      </c>
    </row>
    <row r="707" spans="1:14" s="202" customFormat="1" ht="12.65" customHeight="1" x14ac:dyDescent="0.3">
      <c r="A707" s="212">
        <v>7380</v>
      </c>
      <c r="B707" s="211" t="s">
        <v>681</v>
      </c>
      <c r="C707" s="217">
        <f>AP85</f>
        <v>0</v>
      </c>
      <c r="D707" s="217" t="e">
        <f>(D615/D612)*AP90</f>
        <v>#DIV/0!</v>
      </c>
      <c r="E707" s="219" t="e">
        <f>(E623/E612)*SUM(C707:D707)</f>
        <v>#DIV/0!</v>
      </c>
      <c r="F707" s="219" t="e">
        <f>(F624/F612)*AP64</f>
        <v>#DIV/0!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682</v>
      </c>
    </row>
    <row r="708" spans="1:14" s="202" customFormat="1" ht="12.65" customHeight="1" x14ac:dyDescent="0.3">
      <c r="A708" s="212">
        <v>7390</v>
      </c>
      <c r="B708" s="211" t="s">
        <v>683</v>
      </c>
      <c r="C708" s="217">
        <f>AQ85</f>
        <v>0</v>
      </c>
      <c r="D708" s="217" t="e">
        <f>(D615/D612)*AQ90</f>
        <v>#DIV/0!</v>
      </c>
      <c r="E708" s="219" t="e">
        <f>(E623/E612)*SUM(C708:D708)</f>
        <v>#DIV/0!</v>
      </c>
      <c r="F708" s="219" t="e">
        <f>(F624/F612)*AQ64</f>
        <v>#DIV/0!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684</v>
      </c>
    </row>
    <row r="709" spans="1:14" s="202" customFormat="1" ht="12.65" customHeight="1" x14ac:dyDescent="0.3">
      <c r="A709" s="212">
        <v>7400</v>
      </c>
      <c r="B709" s="211" t="s">
        <v>685</v>
      </c>
      <c r="C709" s="217">
        <f>AR85</f>
        <v>0</v>
      </c>
      <c r="D709" s="217" t="e">
        <f>(D615/D612)*AR90</f>
        <v>#DIV/0!</v>
      </c>
      <c r="E709" s="219" t="e">
        <f>(E623/E612)*SUM(C709:D709)</f>
        <v>#DIV/0!</v>
      </c>
      <c r="F709" s="219" t="e">
        <f>(F624/F612)*AR64</f>
        <v>#DIV/0!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686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 t="e">
        <f>(D615/D612)*AS90</f>
        <v>#DIV/0!</v>
      </c>
      <c r="E710" s="219" t="e">
        <f>(E623/E612)*SUM(C710:D710)</f>
        <v>#DIV/0!</v>
      </c>
      <c r="F710" s="219" t="e">
        <f>(F624/F612)*AS64</f>
        <v>#DIV/0!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687</v>
      </c>
    </row>
    <row r="711" spans="1:14" s="202" customFormat="1" ht="12.65" customHeight="1" x14ac:dyDescent="0.3">
      <c r="A711" s="212">
        <v>7420</v>
      </c>
      <c r="B711" s="211" t="s">
        <v>688</v>
      </c>
      <c r="C711" s="217">
        <f>AT85</f>
        <v>0</v>
      </c>
      <c r="D711" s="217" t="e">
        <f>(D615/D612)*AT90</f>
        <v>#DIV/0!</v>
      </c>
      <c r="E711" s="219" t="e">
        <f>(E623/E612)*SUM(C711:D711)</f>
        <v>#DIV/0!</v>
      </c>
      <c r="F711" s="219" t="e">
        <f>(F624/F612)*AT64</f>
        <v>#DIV/0!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689</v>
      </c>
    </row>
    <row r="712" spans="1:14" s="202" customFormat="1" ht="12.65" customHeight="1" x14ac:dyDescent="0.3">
      <c r="A712" s="212">
        <v>7430</v>
      </c>
      <c r="B712" s="211" t="s">
        <v>690</v>
      </c>
      <c r="C712" s="217">
        <f>AU85</f>
        <v>1062618.1099999999</v>
      </c>
      <c r="D712" s="217" t="e">
        <f>(D615/D612)*AU90</f>
        <v>#DIV/0!</v>
      </c>
      <c r="E712" s="219" t="e">
        <f>(E623/E612)*SUM(C712:D712)</f>
        <v>#DIV/0!</v>
      </c>
      <c r="F712" s="219" t="e">
        <f>(F624/F612)*AU64</f>
        <v>#DIV/0!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691</v>
      </c>
    </row>
    <row r="713" spans="1:14" s="202" customFormat="1" ht="12.65" customHeight="1" x14ac:dyDescent="0.3">
      <c r="A713" s="212">
        <v>7490</v>
      </c>
      <c r="B713" s="211" t="s">
        <v>692</v>
      </c>
      <c r="C713" s="217">
        <f>AV85</f>
        <v>0</v>
      </c>
      <c r="D713" s="217" t="e">
        <f>(D615/D612)*AV90</f>
        <v>#DIV/0!</v>
      </c>
      <c r="E713" s="219" t="e">
        <f>(E623/E612)*SUM(C713:D713)</f>
        <v>#DIV/0!</v>
      </c>
      <c r="F713" s="219" t="e">
        <f>(F624/F612)*AV64</f>
        <v>#DIV/0!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693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25078357.322999999</v>
      </c>
      <c r="D715" s="202" t="e">
        <f>SUM(D616:D647)+SUM(D668:D713)</f>
        <v>#DIV/0!</v>
      </c>
      <c r="E715" s="202" t="e">
        <f>SUM(E624:E647)+SUM(E668:E713)</f>
        <v>#DIV/0!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694</v>
      </c>
    </row>
    <row r="716" spans="1:14" s="202" customFormat="1" ht="12.65" customHeight="1" x14ac:dyDescent="0.3">
      <c r="C716" s="214">
        <f>CE85</f>
        <v>25078357.323000003</v>
      </c>
      <c r="D716" s="202">
        <f>D615</f>
        <v>2093299.4100000001</v>
      </c>
      <c r="E716" s="202" t="e">
        <f>E623</f>
        <v>#DIV/0!</v>
      </c>
      <c r="F716" s="202" t="e">
        <f>F624</f>
        <v>#DIV/0!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13786758.040000001</v>
      </c>
      <c r="N716" s="211" t="s">
        <v>695</v>
      </c>
    </row>
  </sheetData>
  <sheetProtection algorithmName="SHA-512" hashValue="I9/MokQuCy1y/JKMJq2tVnYm0ioXZsxqTrnz6M+ocql6BF+vfxc+6wWFDejf10uMt1jJEheJtyXhrSxqXINTyw==" saltValue="jfv/EioZF5MWPf0Mg3c3m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M26" sqref="M26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94" t="s">
        <v>696</v>
      </c>
    </row>
    <row r="2" spans="2:10" x14ac:dyDescent="0.3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35">
      <c r="B3" s="98"/>
      <c r="F3" s="10" t="s">
        <v>697</v>
      </c>
      <c r="G3" s="10"/>
      <c r="J3" s="99"/>
    </row>
    <row r="4" spans="2:10" x14ac:dyDescent="0.35">
      <c r="B4" s="98"/>
      <c r="F4" s="10" t="s">
        <v>698</v>
      </c>
      <c r="G4" s="10"/>
      <c r="J4" s="99"/>
    </row>
    <row r="5" spans="2:10" x14ac:dyDescent="0.35">
      <c r="B5" s="98"/>
      <c r="J5" s="99"/>
    </row>
    <row r="6" spans="2:10" x14ac:dyDescent="0.3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35">
      <c r="B7" s="98"/>
      <c r="J7" s="99"/>
    </row>
    <row r="8" spans="2:10" x14ac:dyDescent="0.35">
      <c r="B8" s="98"/>
      <c r="F8" s="10" t="s">
        <v>699</v>
      </c>
      <c r="G8" s="10"/>
      <c r="J8" s="99"/>
    </row>
    <row r="9" spans="2:10" x14ac:dyDescent="0.3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35">
      <c r="B10" s="98"/>
      <c r="F10" s="10" t="s">
        <v>701</v>
      </c>
      <c r="G10" s="10"/>
      <c r="J10" s="99"/>
    </row>
    <row r="11" spans="2:10" x14ac:dyDescent="0.35">
      <c r="B11" s="98"/>
      <c r="F11" s="10"/>
      <c r="G11" s="10"/>
      <c r="J11" s="99"/>
    </row>
    <row r="12" spans="2:10" x14ac:dyDescent="0.35">
      <c r="B12" s="98"/>
      <c r="F12" s="10" t="s">
        <v>702</v>
      </c>
      <c r="G12" s="10"/>
      <c r="J12" s="99"/>
    </row>
    <row r="13" spans="2:10" x14ac:dyDescent="0.35">
      <c r="B13" s="98"/>
      <c r="F13" s="10" t="s">
        <v>703</v>
      </c>
      <c r="G13" s="10"/>
      <c r="J13" s="99"/>
    </row>
    <row r="14" spans="2:10" x14ac:dyDescent="0.3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35">
      <c r="B15" s="98"/>
      <c r="J15" s="99"/>
    </row>
    <row r="16" spans="2:10" x14ac:dyDescent="0.35">
      <c r="B16" s="98"/>
      <c r="F16" s="11" t="s">
        <v>704</v>
      </c>
      <c r="J16" s="99"/>
    </row>
    <row r="17" spans="2:10" x14ac:dyDescent="0.35">
      <c r="B17" s="95"/>
      <c r="C17" s="104" t="s">
        <v>705</v>
      </c>
      <c r="D17" s="104"/>
      <c r="E17" s="96" t="str">
        <f>+data!C98</f>
        <v>Rainier Springs</v>
      </c>
      <c r="F17" s="103"/>
      <c r="G17" s="103"/>
      <c r="H17" s="96"/>
      <c r="I17" s="96"/>
      <c r="J17" s="97"/>
    </row>
    <row r="18" spans="2:10" x14ac:dyDescent="0.35">
      <c r="B18" s="98"/>
      <c r="C18" s="53" t="s">
        <v>706</v>
      </c>
      <c r="D18" s="53"/>
      <c r="E18" s="11" t="str">
        <f>+"H-"&amp;data!C97</f>
        <v>H-925</v>
      </c>
      <c r="F18" s="10"/>
      <c r="G18" s="10"/>
      <c r="J18" s="99"/>
    </row>
    <row r="19" spans="2:10" x14ac:dyDescent="0.35">
      <c r="B19" s="98"/>
      <c r="C19" s="53" t="s">
        <v>707</v>
      </c>
      <c r="D19" s="53"/>
      <c r="E19" s="11" t="str">
        <f>+data!C99</f>
        <v>2805 NE 129th St</v>
      </c>
      <c r="F19" s="10"/>
      <c r="G19" s="10"/>
      <c r="J19" s="99"/>
    </row>
    <row r="20" spans="2:10" x14ac:dyDescent="0.35">
      <c r="B20" s="98"/>
      <c r="C20" s="53" t="s">
        <v>708</v>
      </c>
      <c r="D20" s="53"/>
      <c r="E20" s="11" t="str">
        <f>+data!C99</f>
        <v>2805 NE 129th St</v>
      </c>
      <c r="F20" s="10"/>
      <c r="G20" s="10"/>
      <c r="J20" s="99"/>
    </row>
    <row r="21" spans="2:10" x14ac:dyDescent="0.35">
      <c r="B21" s="98"/>
      <c r="C21" s="53" t="s">
        <v>709</v>
      </c>
      <c r="D21" s="53"/>
      <c r="E21" s="11" t="str">
        <f>CONCATENATE(+data!C100,", ",+data!C101)</f>
        <v>Vancouver, Washington</v>
      </c>
      <c r="F21" s="10"/>
      <c r="G21" s="10"/>
      <c r="J21" s="99"/>
    </row>
    <row r="22" spans="2:10" x14ac:dyDescent="0.3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35">
      <c r="B23" s="98"/>
      <c r="J23" s="99"/>
    </row>
    <row r="24" spans="2:10" x14ac:dyDescent="0.35">
      <c r="B24" s="98"/>
      <c r="J24" s="99"/>
    </row>
    <row r="25" spans="2:10" x14ac:dyDescent="0.35">
      <c r="B25" s="98"/>
      <c r="J25" s="99"/>
    </row>
    <row r="26" spans="2:10" x14ac:dyDescent="0.3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3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35">
      <c r="B28" s="98" t="str">
        <f>+"by the Department of Health for the fiscal year ended "&amp;data!C96&amp;"."</f>
        <v>by the Department of Health for the fiscal year ended 12/31/2023.</v>
      </c>
      <c r="J28" s="99"/>
    </row>
    <row r="29" spans="2:10" x14ac:dyDescent="0.35">
      <c r="B29" s="98" t="s">
        <v>712</v>
      </c>
      <c r="J29" s="99"/>
    </row>
    <row r="30" spans="2:10" x14ac:dyDescent="0.3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3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35">
      <c r="B32" s="98"/>
      <c r="J32" s="99"/>
    </row>
    <row r="33" spans="2:10" x14ac:dyDescent="0.3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3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35">
      <c r="B35" s="105" t="s">
        <v>1362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3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3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35">
      <c r="B38" s="98"/>
      <c r="J38" s="99"/>
    </row>
    <row r="39" spans="2:10" x14ac:dyDescent="0.3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35">
      <c r="B40" s="105" t="s">
        <v>1361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35">
      <c r="B41" s="105" t="s">
        <v>1363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3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I77" sqref="I7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54" t="s">
        <v>716</v>
      </c>
    </row>
    <row r="3" spans="1:13" x14ac:dyDescent="0.35">
      <c r="A3" s="54"/>
    </row>
    <row r="4" spans="1:13" x14ac:dyDescent="0.35">
      <c r="A4" s="149" t="s">
        <v>717</v>
      </c>
    </row>
    <row r="5" spans="1:13" x14ac:dyDescent="0.35">
      <c r="A5" s="149" t="s">
        <v>718</v>
      </c>
    </row>
    <row r="6" spans="1:13" x14ac:dyDescent="0.35">
      <c r="A6" s="149" t="s">
        <v>719</v>
      </c>
    </row>
    <row r="7" spans="1:13" x14ac:dyDescent="0.35">
      <c r="A7" s="149"/>
    </row>
    <row r="8" spans="1:13" x14ac:dyDescent="0.35">
      <c r="A8" s="2" t="s">
        <v>720</v>
      </c>
    </row>
    <row r="9" spans="1:13" x14ac:dyDescent="0.35">
      <c r="A9" s="149" t="s">
        <v>27</v>
      </c>
    </row>
    <row r="12" spans="1:13" x14ac:dyDescent="0.35">
      <c r="A12" s="1">
        <f>data!C97</f>
        <v>925</v>
      </c>
      <c r="B12" s="228" t="str">
        <f>RIGHT('Prior Year'!C96,4)</f>
        <v>2022</v>
      </c>
      <c r="C12" s="228" t="str">
        <f>RIGHT(data!C96,4)</f>
        <v>2023</v>
      </c>
      <c r="D12" s="1" t="str">
        <f>RIGHT('Prior Year'!C96,4)</f>
        <v>2022</v>
      </c>
      <c r="E12" s="228" t="str">
        <f>RIGHT(data!C96,4)</f>
        <v>2023</v>
      </c>
      <c r="F12" s="1" t="str">
        <f>RIGHT('Prior Year'!C96,4)</f>
        <v>2022</v>
      </c>
      <c r="G12" s="228" t="str">
        <f>RIGHT(data!C96,4)</f>
        <v>2023</v>
      </c>
      <c r="H12" s="3"/>
    </row>
    <row r="13" spans="1:13" x14ac:dyDescent="0.3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35">
      <c r="A14" s="1" t="s">
        <v>725</v>
      </c>
      <c r="B14" s="228" t="s">
        <v>362</v>
      </c>
      <c r="C14" s="228" t="s">
        <v>362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35">
      <c r="A15" s="1" t="s">
        <v>731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35">
      <c r="A17" s="1" t="s">
        <v>733</v>
      </c>
      <c r="B17" s="228">
        <f>ROUND(N('Prior Year'!E85), 0)</f>
        <v>0</v>
      </c>
      <c r="C17" s="228">
        <f>data!E85</f>
        <v>0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3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3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35">
      <c r="A20" s="1" t="s">
        <v>736</v>
      </c>
      <c r="B20" s="228">
        <f>ROUND(N('Prior Year'!H85), 0)</f>
        <v>7277775</v>
      </c>
      <c r="C20" s="228">
        <f>data!H85</f>
        <v>10027662.84</v>
      </c>
      <c r="D20" s="228">
        <f>ROUND(N('Prior Year'!H59), 0)</f>
        <v>18266</v>
      </c>
      <c r="E20" s="1">
        <f>data!H59</f>
        <v>21594</v>
      </c>
      <c r="F20" s="205">
        <f t="shared" si="0"/>
        <v>398.43288076207159</v>
      </c>
      <c r="G20" s="205">
        <f t="shared" si="1"/>
        <v>464.37264240066685</v>
      </c>
      <c r="H20" s="6" t="str">
        <f t="shared" si="2"/>
        <v/>
      </c>
      <c r="I20" s="228" t="str">
        <f t="shared" si="3"/>
        <v/>
      </c>
      <c r="M20" s="7"/>
    </row>
    <row r="21" spans="1:13" x14ac:dyDescent="0.3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35">
      <c r="A22" s="1" t="s">
        <v>738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3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3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3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3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35">
      <c r="A27" s="1" t="s">
        <v>743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35">
      <c r="A28" s="1" t="s">
        <v>744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35">
      <c r="A29" s="1" t="s">
        <v>745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35">
      <c r="A30" s="1" t="s">
        <v>746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35">
      <c r="A31" s="1" t="s">
        <v>747</v>
      </c>
      <c r="B31" s="228">
        <f>ROUND(N('Prior Year'!S85), 0)</f>
        <v>0</v>
      </c>
      <c r="C31" s="228">
        <f>data!S85</f>
        <v>0</v>
      </c>
      <c r="D31" s="228" t="s">
        <v>748</v>
      </c>
      <c r="E31" s="4" t="s">
        <v>748</v>
      </c>
      <c r="F31" s="205" t="s">
        <v>5</v>
      </c>
      <c r="G31" s="205" t="str">
        <f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35">
      <c r="A32" s="1" t="s">
        <v>749</v>
      </c>
      <c r="B32" s="228">
        <f>ROUND(N('Prior Year'!T85), 0)</f>
        <v>0</v>
      </c>
      <c r="C32" s="228">
        <f>data!T85</f>
        <v>0</v>
      </c>
      <c r="D32" s="228" t="s">
        <v>748</v>
      </c>
      <c r="E32" s="4" t="s">
        <v>748</v>
      </c>
      <c r="F32" s="205" t="s">
        <v>5</v>
      </c>
      <c r="G32" s="205" t="str">
        <f>IFERROR(IF(C32=0,"",IF(E32=0,"",C32/E32)),"")</f>
        <v/>
      </c>
      <c r="H32" s="6" t="s">
        <v>5</v>
      </c>
      <c r="I32" s="228" t="str">
        <f t="shared" si="3"/>
        <v/>
      </c>
      <c r="M32" s="7"/>
    </row>
    <row r="33" spans="1:13" x14ac:dyDescent="0.35">
      <c r="A33" s="1" t="s">
        <v>750</v>
      </c>
      <c r="B33" s="228">
        <f>ROUND(N('Prior Year'!U85), 0)</f>
        <v>0</v>
      </c>
      <c r="C33" s="228">
        <f>data!U85</f>
        <v>0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35">
      <c r="A34" s="1" t="s">
        <v>751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35">
      <c r="A35" s="1" t="s">
        <v>752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35">
      <c r="A36" s="1" t="s">
        <v>753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35">
      <c r="A37" s="1" t="s">
        <v>754</v>
      </c>
      <c r="B37" s="228">
        <f>ROUND(N('Prior Year'!Y85), 0)</f>
        <v>0</v>
      </c>
      <c r="C37" s="228">
        <f>data!Y85</f>
        <v>0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35">
      <c r="A38" s="1" t="s">
        <v>755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35">
      <c r="A39" s="1" t="s">
        <v>756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35">
      <c r="A40" s="1" t="s">
        <v>757</v>
      </c>
      <c r="B40" s="228">
        <f>ROUND(N('Prior Year'!AB85), 0)</f>
        <v>4470</v>
      </c>
      <c r="C40" s="228">
        <f>data!AB85</f>
        <v>0</v>
      </c>
      <c r="D40" s="228" t="s">
        <v>748</v>
      </c>
      <c r="E40" s="4" t="s">
        <v>748</v>
      </c>
      <c r="F40" s="205" t="s">
        <v>5</v>
      </c>
      <c r="G40" s="205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35">
      <c r="A41" s="1" t="s">
        <v>758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35">
      <c r="A42" s="1" t="s">
        <v>759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35">
      <c r="A43" s="1" t="s">
        <v>760</v>
      </c>
      <c r="B43" s="228">
        <f>ROUND(N('Prior Year'!AE85), 0)</f>
        <v>0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35">
      <c r="A44" s="1" t="s">
        <v>761</v>
      </c>
      <c r="B44" s="228">
        <f>ROUND(N('Prior Year'!AF85), 0)</f>
        <v>200614</v>
      </c>
      <c r="C44" s="228">
        <f>data!AF85</f>
        <v>0</v>
      </c>
      <c r="D44" s="228">
        <f>ROUND(N('Prior Year'!AF59), 0)</f>
        <v>2064</v>
      </c>
      <c r="E44" s="1">
        <f>data!AF59</f>
        <v>0</v>
      </c>
      <c r="F44" s="205">
        <f t="shared" si="0"/>
        <v>97.196705426356587</v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35">
      <c r="A45" s="1" t="s">
        <v>762</v>
      </c>
      <c r="B45" s="228">
        <f>ROUND(N('Prior Year'!AG85), 0)</f>
        <v>0</v>
      </c>
      <c r="C45" s="228">
        <f>data!AG85</f>
        <v>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3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3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765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35">
      <c r="A49" s="1" t="s">
        <v>766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35">
      <c r="A50" s="1" t="s">
        <v>767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35">
      <c r="A51" s="1" t="s">
        <v>768</v>
      </c>
      <c r="B51" s="228">
        <f>ROUND(N('Prior Year'!AM85), 0)</f>
        <v>343691</v>
      </c>
      <c r="C51" s="228">
        <f>data!AM85</f>
        <v>201318.33299999998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3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3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3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3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35">
      <c r="A56" s="1" t="s">
        <v>773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3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3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35">
      <c r="A59" s="1" t="s">
        <v>776</v>
      </c>
      <c r="B59" s="228">
        <f>ROUND(N('Prior Year'!AU85), 0)</f>
        <v>627508</v>
      </c>
      <c r="C59" s="228">
        <f>data!AU85</f>
        <v>1062618.1099999999</v>
      </c>
      <c r="D59" s="228">
        <f>ROUND(N('Prior Year'!AU59), 0)</f>
        <v>3142</v>
      </c>
      <c r="E59" s="1">
        <f>data!AU59</f>
        <v>5737</v>
      </c>
      <c r="F59" s="205">
        <f t="shared" si="0"/>
        <v>199.71610439210693</v>
      </c>
      <c r="G59" s="205">
        <f t="shared" si="4"/>
        <v>185.22191214920687</v>
      </c>
      <c r="H59" s="6" t="str">
        <f t="shared" si="6"/>
        <v/>
      </c>
      <c r="I59" s="228" t="str">
        <f t="shared" si="7"/>
        <v/>
      </c>
      <c r="M59" s="7"/>
    </row>
    <row r="60" spans="1:13" x14ac:dyDescent="0.35">
      <c r="A60" s="1" t="s">
        <v>777</v>
      </c>
      <c r="B60" s="228">
        <f>ROUND(N('Prior Year'!AV85), 0)</f>
        <v>0</v>
      </c>
      <c r="C60" s="228">
        <f>data!AV85</f>
        <v>0</v>
      </c>
      <c r="D60" s="228" t="s">
        <v>748</v>
      </c>
      <c r="E60" s="4" t="s">
        <v>748</v>
      </c>
      <c r="F60" s="205" t="s">
        <v>5</v>
      </c>
      <c r="G60" s="205"/>
      <c r="H60" s="6" t="s">
        <v>5</v>
      </c>
      <c r="I60" s="228" t="str">
        <f t="shared" si="7"/>
        <v/>
      </c>
      <c r="M60" s="7"/>
    </row>
    <row r="61" spans="1:13" x14ac:dyDescent="0.35">
      <c r="A61" s="1" t="s">
        <v>778</v>
      </c>
      <c r="B61" s="228">
        <f>ROUND(N('Prior Year'!AW85), 0)</f>
        <v>0</v>
      </c>
      <c r="C61" s="228">
        <f>data!AW85</f>
        <v>0</v>
      </c>
      <c r="D61" s="228" t="s">
        <v>748</v>
      </c>
      <c r="E61" s="4" t="s">
        <v>748</v>
      </c>
      <c r="F61" s="205" t="s">
        <v>5</v>
      </c>
      <c r="G61" s="205"/>
      <c r="H61" s="6" t="s">
        <v>5</v>
      </c>
      <c r="I61" s="228" t="str">
        <f t="shared" si="7"/>
        <v/>
      </c>
      <c r="M61" s="7"/>
    </row>
    <row r="62" spans="1:13" x14ac:dyDescent="0.35">
      <c r="A62" s="1" t="s">
        <v>779</v>
      </c>
      <c r="B62" s="228">
        <f>ROUND(N('Prior Year'!AX85), 0)</f>
        <v>0</v>
      </c>
      <c r="C62" s="228">
        <f>data!AX85</f>
        <v>0</v>
      </c>
      <c r="D62" s="228" t="s">
        <v>748</v>
      </c>
      <c r="E62" s="4" t="s">
        <v>748</v>
      </c>
      <c r="F62" s="205" t="s">
        <v>5</v>
      </c>
      <c r="G62" s="205"/>
      <c r="H62" s="6" t="s">
        <v>5</v>
      </c>
      <c r="I62" s="228" t="str">
        <f t="shared" si="7"/>
        <v/>
      </c>
      <c r="M62" s="7"/>
    </row>
    <row r="63" spans="1:13" x14ac:dyDescent="0.35">
      <c r="A63" s="1" t="s">
        <v>780</v>
      </c>
      <c r="B63" s="228">
        <f>ROUND(N('Prior Year'!AY85), 0)</f>
        <v>403515</v>
      </c>
      <c r="C63" s="228">
        <f>data!AY85</f>
        <v>711829.83000000007</v>
      </c>
      <c r="D63" s="228">
        <f>ROUND(N('Prior Year'!AY59), 0)</f>
        <v>54798</v>
      </c>
      <c r="E63" s="1">
        <f>data!AY59</f>
        <v>68889</v>
      </c>
      <c r="F63" s="205">
        <f>IF(B63=0,"",IF(D63=0,"",B63/D63))</f>
        <v>7.363681156246578</v>
      </c>
      <c r="G63" s="205">
        <f t="shared" si="4"/>
        <v>10.332996995166138</v>
      </c>
      <c r="H63" s="6">
        <f>IF(B63 = 0, "", IF(C63 = 0, "", IF(D63 = 0, "", IF(E63 = 0, "", IF(G63 / F63 - 1 &lt; -0.25, G63 / F63 - 1, IF(G63 / F63 - 1 &gt; 0.25, G63 / F63 - 1, ""))))))</f>
        <v>0.4032379696940982</v>
      </c>
      <c r="I63" s="228" t="s">
        <v>1364</v>
      </c>
      <c r="M63" s="7"/>
    </row>
    <row r="64" spans="1:13" x14ac:dyDescent="0.35">
      <c r="A64" s="1" t="s">
        <v>781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35">
      <c r="A65" s="1" t="s">
        <v>782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35">
      <c r="A66" s="1" t="s">
        <v>783</v>
      </c>
      <c r="B66" s="228">
        <f>ROUND(N('Prior Year'!BB85), 0)</f>
        <v>0</v>
      </c>
      <c r="C66" s="228">
        <f>data!BB85</f>
        <v>0</v>
      </c>
      <c r="D66" s="228" t="s">
        <v>748</v>
      </c>
      <c r="E66" s="4" t="s">
        <v>748</v>
      </c>
      <c r="F66" s="205" t="s">
        <v>5</v>
      </c>
      <c r="G66" s="205" t="str">
        <f t="shared" ref="G66:G68" si="8">IFERROR(IF(C66=0,"",IF(E66=0,"",C66/E66)),"")</f>
        <v/>
      </c>
      <c r="H66" s="6" t="s">
        <v>5</v>
      </c>
      <c r="I66" s="228" t="str">
        <f t="shared" si="7"/>
        <v/>
      </c>
      <c r="M66" s="7"/>
    </row>
    <row r="67" spans="1:13" x14ac:dyDescent="0.3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5</v>
      </c>
      <c r="G67" s="205" t="str">
        <f t="shared" si="8"/>
        <v/>
      </c>
      <c r="H67" s="6" t="s">
        <v>5</v>
      </c>
      <c r="I67" s="228" t="str">
        <f t="shared" si="7"/>
        <v/>
      </c>
      <c r="M67" s="7"/>
    </row>
    <row r="68" spans="1:13" x14ac:dyDescent="0.35">
      <c r="A68" s="1" t="s">
        <v>785</v>
      </c>
      <c r="B68" s="228">
        <f>ROUND(N('Prior Year'!BD85), 0)</f>
        <v>0</v>
      </c>
      <c r="C68" s="228">
        <f>data!BD85</f>
        <v>0</v>
      </c>
      <c r="D68" s="228" t="s">
        <v>748</v>
      </c>
      <c r="E68" s="4" t="s">
        <v>748</v>
      </c>
      <c r="F68" s="205" t="s">
        <v>5</v>
      </c>
      <c r="G68" s="205" t="str">
        <f t="shared" si="8"/>
        <v/>
      </c>
      <c r="H68" s="6" t="s">
        <v>5</v>
      </c>
      <c r="I68" s="228" t="str">
        <f t="shared" si="7"/>
        <v/>
      </c>
      <c r="M68" s="7"/>
    </row>
    <row r="69" spans="1:13" x14ac:dyDescent="0.35">
      <c r="A69" s="1" t="s">
        <v>786</v>
      </c>
      <c r="B69" s="228">
        <f>ROUND(N('Prior Year'!BE85), 0)</f>
        <v>329063</v>
      </c>
      <c r="C69" s="228">
        <f>data!BE85</f>
        <v>2093299.4100000001</v>
      </c>
      <c r="D69" s="228">
        <f>ROUND(N('Prior Year'!BE59), 0)</f>
        <v>49553</v>
      </c>
      <c r="E69" s="1">
        <f>data!BE59</f>
        <v>49533</v>
      </c>
      <c r="F69" s="205">
        <f>IF(B69=0,"",IF(D69=0,"",B69/D69))</f>
        <v>6.6406272072326598</v>
      </c>
      <c r="G69" s="205">
        <f t="shared" si="4"/>
        <v>42.260703167585248</v>
      </c>
      <c r="H69" s="6">
        <f>IF(B69 = 0, "", IF(C69 = 0, "", IF(D69 = 0, "", IF(E69 = 0, "", IF(G69 / F69 - 1 &lt; -0.25, G69 / F69 - 1, IF(G69 / F69 - 1 &gt; 0.25, G69 / F69 - 1, ""))))))</f>
        <v>5.3639625970204854</v>
      </c>
      <c r="I69" s="228" t="s">
        <v>1365</v>
      </c>
      <c r="M69" s="7"/>
    </row>
    <row r="70" spans="1:13" x14ac:dyDescent="0.35">
      <c r="A70" s="1" t="s">
        <v>787</v>
      </c>
      <c r="B70" s="228">
        <f>ROUND(N('Prior Year'!BF85), 0)</f>
        <v>14754</v>
      </c>
      <c r="C70" s="228">
        <f>data!BF85</f>
        <v>0</v>
      </c>
      <c r="D70" s="228" t="s">
        <v>748</v>
      </c>
      <c r="E70" s="4" t="s">
        <v>748</v>
      </c>
      <c r="F70" s="205" t="s">
        <v>5</v>
      </c>
      <c r="G70" s="205" t="str">
        <f t="shared" ref="G70:G94" si="9">IFERROR(IF(C70=0,"",IF(E70=0,"",C70/E70)),"")</f>
        <v/>
      </c>
      <c r="H70" s="6" t="s">
        <v>5</v>
      </c>
      <c r="I70" s="228" t="str">
        <f t="shared" si="7"/>
        <v/>
      </c>
      <c r="M70" s="7"/>
    </row>
    <row r="71" spans="1:13" x14ac:dyDescent="0.35">
      <c r="A71" s="1" t="s">
        <v>788</v>
      </c>
      <c r="B71" s="228">
        <f>ROUND(N('Prior Year'!BG85), 0)</f>
        <v>0</v>
      </c>
      <c r="C71" s="228">
        <f>data!BG85</f>
        <v>0</v>
      </c>
      <c r="D71" s="228" t="s">
        <v>748</v>
      </c>
      <c r="E71" s="4" t="s">
        <v>748</v>
      </c>
      <c r="F71" s="205" t="s">
        <v>5</v>
      </c>
      <c r="G71" s="205" t="str">
        <f t="shared" si="9"/>
        <v/>
      </c>
      <c r="H71" s="6" t="s">
        <v>5</v>
      </c>
      <c r="I71" s="228" t="str">
        <f t="shared" si="7"/>
        <v/>
      </c>
      <c r="M71" s="7"/>
    </row>
    <row r="72" spans="1:13" x14ac:dyDescent="0.35">
      <c r="A72" s="1" t="s">
        <v>789</v>
      </c>
      <c r="B72" s="228">
        <f>ROUND(N('Prior Year'!BH85), 0)</f>
        <v>0</v>
      </c>
      <c r="C72" s="228">
        <f>data!BH85</f>
        <v>0</v>
      </c>
      <c r="D72" s="228" t="s">
        <v>748</v>
      </c>
      <c r="E72" s="4" t="s">
        <v>748</v>
      </c>
      <c r="F72" s="205" t="s">
        <v>5</v>
      </c>
      <c r="G72" s="205" t="str">
        <f t="shared" si="9"/>
        <v/>
      </c>
      <c r="H72" s="6" t="s">
        <v>5</v>
      </c>
      <c r="I72" s="228" t="str">
        <f t="shared" si="7"/>
        <v/>
      </c>
      <c r="M72" s="7"/>
    </row>
    <row r="73" spans="1:13" x14ac:dyDescent="0.35">
      <c r="A73" s="1" t="s">
        <v>790</v>
      </c>
      <c r="B73" s="228">
        <f>ROUND(N('Prior Year'!BI85), 0)</f>
        <v>0</v>
      </c>
      <c r="C73" s="228">
        <f>data!BI85</f>
        <v>0</v>
      </c>
      <c r="D73" s="228" t="s">
        <v>748</v>
      </c>
      <c r="E73" s="4" t="s">
        <v>748</v>
      </c>
      <c r="F73" s="205" t="s">
        <v>5</v>
      </c>
      <c r="G73" s="205" t="str">
        <f t="shared" si="9"/>
        <v/>
      </c>
      <c r="H73" s="6" t="s">
        <v>5</v>
      </c>
      <c r="I73" s="228" t="str">
        <f t="shared" si="7"/>
        <v/>
      </c>
      <c r="M73" s="7"/>
    </row>
    <row r="74" spans="1:13" x14ac:dyDescent="0.35">
      <c r="A74" s="1" t="s">
        <v>791</v>
      </c>
      <c r="B74" s="228">
        <f>ROUND(N('Prior Year'!BJ85), 0)</f>
        <v>0</v>
      </c>
      <c r="C74" s="228">
        <f>data!BJ85</f>
        <v>494810.84</v>
      </c>
      <c r="D74" s="228" t="s">
        <v>748</v>
      </c>
      <c r="E74" s="4" t="s">
        <v>748</v>
      </c>
      <c r="F74" s="205" t="s">
        <v>5</v>
      </c>
      <c r="G74" s="205" t="str">
        <f t="shared" si="9"/>
        <v/>
      </c>
      <c r="H74" s="6" t="s">
        <v>5</v>
      </c>
      <c r="I74" s="228" t="str">
        <f t="shared" si="7"/>
        <v/>
      </c>
      <c r="M74" s="7"/>
    </row>
    <row r="75" spans="1:13" x14ac:dyDescent="0.35">
      <c r="A75" s="1" t="s">
        <v>792</v>
      </c>
      <c r="B75" s="228">
        <f>ROUND(N('Prior Year'!BK85), 0)</f>
        <v>193720</v>
      </c>
      <c r="C75" s="228">
        <f>data!BK85</f>
        <v>292212.39</v>
      </c>
      <c r="D75" s="228" t="s">
        <v>748</v>
      </c>
      <c r="E75" s="4" t="s">
        <v>748</v>
      </c>
      <c r="F75" s="205" t="s">
        <v>5</v>
      </c>
      <c r="G75" s="205" t="str">
        <f t="shared" si="9"/>
        <v/>
      </c>
      <c r="H75" s="6" t="s">
        <v>5</v>
      </c>
      <c r="I75" s="228" t="str">
        <f t="shared" si="7"/>
        <v/>
      </c>
      <c r="M75" s="7"/>
    </row>
    <row r="76" spans="1:13" x14ac:dyDescent="0.35">
      <c r="A76" s="1" t="s">
        <v>793</v>
      </c>
      <c r="B76" s="228">
        <f>ROUND(N('Prior Year'!BL85), 0)</f>
        <v>1510102</v>
      </c>
      <c r="C76" s="228">
        <f>data!BL85</f>
        <v>1869388.7599999998</v>
      </c>
      <c r="D76" s="228" t="s">
        <v>748</v>
      </c>
      <c r="E76" s="4" t="s">
        <v>748</v>
      </c>
      <c r="F76" s="205" t="s">
        <v>5</v>
      </c>
      <c r="G76" s="205" t="str">
        <f t="shared" si="9"/>
        <v/>
      </c>
      <c r="H76" s="6" t="s">
        <v>5</v>
      </c>
      <c r="I76" s="228" t="str">
        <f t="shared" si="7"/>
        <v/>
      </c>
      <c r="M76" s="7"/>
    </row>
    <row r="77" spans="1:13" x14ac:dyDescent="0.35">
      <c r="A77" s="1" t="s">
        <v>794</v>
      </c>
      <c r="B77" s="228">
        <f>ROUND(N('Prior Year'!BM85), 0)</f>
        <v>0</v>
      </c>
      <c r="C77" s="228">
        <f>data!BM85</f>
        <v>0</v>
      </c>
      <c r="D77" s="228" t="s">
        <v>748</v>
      </c>
      <c r="E77" s="4" t="s">
        <v>748</v>
      </c>
      <c r="F77" s="205" t="s">
        <v>5</v>
      </c>
      <c r="G77" s="205" t="str">
        <f t="shared" si="9"/>
        <v/>
      </c>
      <c r="H77" s="6" t="s">
        <v>5</v>
      </c>
      <c r="I77" s="228" t="str">
        <f t="shared" si="7"/>
        <v/>
      </c>
      <c r="M77" s="7"/>
    </row>
    <row r="78" spans="1:13" x14ac:dyDescent="0.35">
      <c r="A78" s="1" t="s">
        <v>795</v>
      </c>
      <c r="B78" s="228">
        <f>ROUND(N('Prior Year'!BN85), 0)</f>
        <v>408382</v>
      </c>
      <c r="C78" s="228">
        <f>data!BN85</f>
        <v>3389683.81</v>
      </c>
      <c r="D78" s="228" t="s">
        <v>748</v>
      </c>
      <c r="E78" s="4" t="s">
        <v>748</v>
      </c>
      <c r="F78" s="205" t="s">
        <v>5</v>
      </c>
      <c r="G78" s="205" t="str">
        <f t="shared" si="9"/>
        <v/>
      </c>
      <c r="H78" s="6" t="s">
        <v>5</v>
      </c>
      <c r="I78" s="228" t="str">
        <f t="shared" si="7"/>
        <v/>
      </c>
      <c r="M78" s="7"/>
    </row>
    <row r="79" spans="1:13" x14ac:dyDescent="0.35">
      <c r="A79" s="1" t="s">
        <v>796</v>
      </c>
      <c r="B79" s="228">
        <f>ROUND(N('Prior Year'!BO85), 0)</f>
        <v>0</v>
      </c>
      <c r="C79" s="228">
        <f>data!BO85</f>
        <v>0</v>
      </c>
      <c r="D79" s="228" t="s">
        <v>748</v>
      </c>
      <c r="E79" s="4" t="s">
        <v>748</v>
      </c>
      <c r="F79" s="205" t="s">
        <v>5</v>
      </c>
      <c r="G79" s="205" t="str">
        <f t="shared" si="9"/>
        <v/>
      </c>
      <c r="H79" s="6" t="s">
        <v>5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797</v>
      </c>
      <c r="B80" s="228">
        <f>ROUND(N('Prior Year'!BP85), 0)</f>
        <v>0</v>
      </c>
      <c r="C80" s="228">
        <f>data!BP85</f>
        <v>0</v>
      </c>
      <c r="D80" s="228" t="s">
        <v>748</v>
      </c>
      <c r="E80" s="4" t="s">
        <v>748</v>
      </c>
      <c r="F80" s="205" t="s">
        <v>5</v>
      </c>
      <c r="G80" s="205" t="str">
        <f t="shared" si="9"/>
        <v/>
      </c>
      <c r="H80" s="6" t="s">
        <v>5</v>
      </c>
      <c r="I80" s="228" t="str">
        <f t="shared" si="10"/>
        <v/>
      </c>
      <c r="M80" s="7"/>
    </row>
    <row r="81" spans="1:13" x14ac:dyDescent="0.3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5</v>
      </c>
      <c r="G81" s="205" t="str">
        <f t="shared" si="9"/>
        <v/>
      </c>
      <c r="H81" s="6" t="s">
        <v>5</v>
      </c>
      <c r="I81" s="228" t="str">
        <f t="shared" si="10"/>
        <v/>
      </c>
      <c r="M81" s="7"/>
    </row>
    <row r="82" spans="1:13" x14ac:dyDescent="0.35">
      <c r="A82" s="1" t="s">
        <v>799</v>
      </c>
      <c r="B82" s="228">
        <f>ROUND(N('Prior Year'!BR85), 0)</f>
        <v>136197</v>
      </c>
      <c r="C82" s="228">
        <f>data!BR85</f>
        <v>317224.61</v>
      </c>
      <c r="D82" s="228" t="s">
        <v>748</v>
      </c>
      <c r="E82" s="4" t="s">
        <v>748</v>
      </c>
      <c r="F82" s="205" t="s">
        <v>5</v>
      </c>
      <c r="G82" s="205" t="str">
        <f t="shared" si="9"/>
        <v/>
      </c>
      <c r="H82" s="6" t="s">
        <v>5</v>
      </c>
      <c r="I82" s="228" t="str">
        <f t="shared" si="10"/>
        <v/>
      </c>
      <c r="M82" s="7"/>
    </row>
    <row r="83" spans="1:13" x14ac:dyDescent="0.35">
      <c r="A83" s="1" t="s">
        <v>800</v>
      </c>
      <c r="B83" s="228">
        <f>ROUND(N('Prior Year'!BS85), 0)</f>
        <v>0</v>
      </c>
      <c r="C83" s="228">
        <f>data!BS85</f>
        <v>0</v>
      </c>
      <c r="D83" s="228" t="s">
        <v>748</v>
      </c>
      <c r="E83" s="4" t="s">
        <v>748</v>
      </c>
      <c r="F83" s="205" t="s">
        <v>5</v>
      </c>
      <c r="G83" s="205" t="str">
        <f t="shared" si="9"/>
        <v/>
      </c>
      <c r="H83" s="6" t="s">
        <v>5</v>
      </c>
      <c r="I83" s="228" t="str">
        <f t="shared" si="10"/>
        <v/>
      </c>
      <c r="M83" s="7"/>
    </row>
    <row r="84" spans="1:13" x14ac:dyDescent="0.35">
      <c r="A84" s="1" t="s">
        <v>801</v>
      </c>
      <c r="B84" s="228">
        <f>ROUND(N('Prior Year'!BT85), 0)</f>
        <v>0</v>
      </c>
      <c r="C84" s="228">
        <f>data!BT85</f>
        <v>0</v>
      </c>
      <c r="D84" s="228" t="s">
        <v>748</v>
      </c>
      <c r="E84" s="4" t="s">
        <v>748</v>
      </c>
      <c r="F84" s="205" t="s">
        <v>5</v>
      </c>
      <c r="G84" s="205" t="str">
        <f t="shared" si="9"/>
        <v/>
      </c>
      <c r="H84" s="6" t="s">
        <v>5</v>
      </c>
      <c r="I84" s="228" t="str">
        <f t="shared" si="10"/>
        <v/>
      </c>
      <c r="M84" s="7"/>
    </row>
    <row r="85" spans="1:13" x14ac:dyDescent="0.3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5</v>
      </c>
      <c r="G85" s="205" t="str">
        <f t="shared" si="9"/>
        <v/>
      </c>
      <c r="H85" s="6" t="s">
        <v>5</v>
      </c>
      <c r="I85" s="228" t="str">
        <f t="shared" si="10"/>
        <v/>
      </c>
      <c r="M85" s="7"/>
    </row>
    <row r="86" spans="1:13" x14ac:dyDescent="0.35">
      <c r="A86" s="1" t="s">
        <v>803</v>
      </c>
      <c r="B86" s="228">
        <f>ROUND(N('Prior Year'!BV85), 0)</f>
        <v>213017</v>
      </c>
      <c r="C86" s="228">
        <f>data!BV85</f>
        <v>189087.17</v>
      </c>
      <c r="D86" s="228" t="s">
        <v>748</v>
      </c>
      <c r="E86" s="4" t="s">
        <v>748</v>
      </c>
      <c r="F86" s="205" t="s">
        <v>5</v>
      </c>
      <c r="G86" s="205" t="str">
        <f t="shared" si="9"/>
        <v/>
      </c>
      <c r="H86" s="6" t="s">
        <v>5</v>
      </c>
      <c r="I86" s="228" t="str">
        <f t="shared" si="10"/>
        <v/>
      </c>
      <c r="M86" s="7"/>
    </row>
    <row r="87" spans="1:13" x14ac:dyDescent="0.35">
      <c r="A87" s="1" t="s">
        <v>804</v>
      </c>
      <c r="B87" s="228">
        <f>ROUND(N('Prior Year'!BW85), 0)</f>
        <v>2952685</v>
      </c>
      <c r="C87" s="228">
        <f>data!BW85</f>
        <v>2934694.48</v>
      </c>
      <c r="D87" s="228" t="s">
        <v>748</v>
      </c>
      <c r="E87" s="4" t="s">
        <v>748</v>
      </c>
      <c r="F87" s="205" t="s">
        <v>5</v>
      </c>
      <c r="G87" s="205" t="str">
        <f t="shared" si="9"/>
        <v/>
      </c>
      <c r="H87" s="6" t="s">
        <v>5</v>
      </c>
      <c r="I87" s="228" t="str">
        <f t="shared" si="10"/>
        <v/>
      </c>
      <c r="M87" s="7"/>
    </row>
    <row r="88" spans="1:13" x14ac:dyDescent="0.35">
      <c r="A88" s="1" t="s">
        <v>805</v>
      </c>
      <c r="B88" s="228">
        <f>ROUND(N('Prior Year'!BX85), 0)</f>
        <v>421574</v>
      </c>
      <c r="C88" s="228">
        <f>data!BX85</f>
        <v>0</v>
      </c>
      <c r="D88" s="228" t="s">
        <v>748</v>
      </c>
      <c r="E88" s="4" t="s">
        <v>748</v>
      </c>
      <c r="F88" s="205" t="s">
        <v>5</v>
      </c>
      <c r="G88" s="205" t="str">
        <f t="shared" si="9"/>
        <v/>
      </c>
      <c r="H88" s="6" t="s">
        <v>5</v>
      </c>
      <c r="I88" s="228" t="str">
        <f t="shared" si="10"/>
        <v/>
      </c>
      <c r="M88" s="7"/>
    </row>
    <row r="89" spans="1:13" x14ac:dyDescent="0.35">
      <c r="A89" s="1" t="s">
        <v>806</v>
      </c>
      <c r="B89" s="228">
        <f>ROUND(N('Prior Year'!BY85), 0)</f>
        <v>1335384</v>
      </c>
      <c r="C89" s="228">
        <f>data!BY85</f>
        <v>1204596.1399999999</v>
      </c>
      <c r="D89" s="228" t="s">
        <v>748</v>
      </c>
      <c r="E89" s="4" t="s">
        <v>748</v>
      </c>
      <c r="F89" s="205" t="s">
        <v>5</v>
      </c>
      <c r="G89" s="205" t="str">
        <f t="shared" si="9"/>
        <v/>
      </c>
      <c r="H89" s="6" t="s">
        <v>5</v>
      </c>
      <c r="I89" s="228" t="str">
        <f t="shared" si="10"/>
        <v/>
      </c>
      <c r="M89" s="7"/>
    </row>
    <row r="90" spans="1:13" x14ac:dyDescent="0.35">
      <c r="A90" s="1" t="s">
        <v>807</v>
      </c>
      <c r="B90" s="228">
        <f>ROUND(N('Prior Year'!BZ85), 0)</f>
        <v>0</v>
      </c>
      <c r="C90" s="228">
        <f>data!BZ85</f>
        <v>0</v>
      </c>
      <c r="D90" s="228" t="s">
        <v>748</v>
      </c>
      <c r="E90" s="4" t="s">
        <v>748</v>
      </c>
      <c r="F90" s="205" t="s">
        <v>5</v>
      </c>
      <c r="G90" s="205" t="str">
        <f t="shared" si="9"/>
        <v/>
      </c>
      <c r="H90" s="6" t="s">
        <v>5</v>
      </c>
      <c r="I90" s="228" t="str">
        <f t="shared" si="10"/>
        <v/>
      </c>
      <c r="M90" s="7"/>
    </row>
    <row r="91" spans="1:13" x14ac:dyDescent="0.35">
      <c r="A91" s="1" t="s">
        <v>808</v>
      </c>
      <c r="B91" s="228">
        <f>ROUND(N('Prior Year'!CA85), 0)</f>
        <v>0</v>
      </c>
      <c r="C91" s="228">
        <f>data!CA85</f>
        <v>0</v>
      </c>
      <c r="D91" s="228" t="s">
        <v>748</v>
      </c>
      <c r="E91" s="4" t="s">
        <v>748</v>
      </c>
      <c r="F91" s="205" t="s">
        <v>5</v>
      </c>
      <c r="G91" s="205" t="str">
        <f t="shared" si="9"/>
        <v/>
      </c>
      <c r="H91" s="6" t="s">
        <v>5</v>
      </c>
      <c r="I91" s="228" t="str">
        <f t="shared" si="10"/>
        <v/>
      </c>
      <c r="M91" s="7"/>
    </row>
    <row r="92" spans="1:13" x14ac:dyDescent="0.35">
      <c r="A92" s="1" t="s">
        <v>809</v>
      </c>
      <c r="B92" s="228">
        <f>ROUND(N('Prior Year'!CB85), 0)</f>
        <v>0</v>
      </c>
      <c r="C92" s="228">
        <f>data!CB85</f>
        <v>0</v>
      </c>
      <c r="D92" s="228" t="s">
        <v>748</v>
      </c>
      <c r="E92" s="4" t="s">
        <v>748</v>
      </c>
      <c r="F92" s="205" t="s">
        <v>5</v>
      </c>
      <c r="G92" s="205" t="str">
        <f t="shared" si="9"/>
        <v/>
      </c>
      <c r="H92" s="6" t="s">
        <v>5</v>
      </c>
      <c r="I92" s="228" t="str">
        <f t="shared" si="10"/>
        <v/>
      </c>
      <c r="M92" s="7"/>
    </row>
    <row r="93" spans="1:13" x14ac:dyDescent="0.35">
      <c r="A93" s="1" t="s">
        <v>810</v>
      </c>
      <c r="B93" s="228">
        <f>ROUND(N('Prior Year'!CC85), 0)</f>
        <v>0</v>
      </c>
      <c r="C93" s="228">
        <f>data!CC85</f>
        <v>289930.59999999998</v>
      </c>
      <c r="D93" s="228" t="s">
        <v>748</v>
      </c>
      <c r="E93" s="4" t="s">
        <v>748</v>
      </c>
      <c r="F93" s="205" t="s">
        <v>5</v>
      </c>
      <c r="G93" s="205" t="str">
        <f t="shared" si="9"/>
        <v/>
      </c>
      <c r="H93" s="6" t="s">
        <v>5</v>
      </c>
      <c r="I93" s="228" t="str">
        <f t="shared" si="10"/>
        <v/>
      </c>
      <c r="M93" s="7"/>
    </row>
    <row r="94" spans="1:13" x14ac:dyDescent="0.3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5</v>
      </c>
      <c r="G94" s="205" t="str">
        <f t="shared" si="9"/>
        <v/>
      </c>
      <c r="H94" s="6" t="s">
        <v>5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18" workbookViewId="0">
      <selection activeCell="D25" sqref="D25"/>
    </sheetView>
  </sheetViews>
  <sheetFormatPr defaultRowHeight="12.5" x14ac:dyDescent="0.25"/>
  <sheetData>
    <row r="1" spans="1:4" ht="14.5" x14ac:dyDescent="0.35">
      <c r="A1" s="278" t="s">
        <v>812</v>
      </c>
      <c r="B1" s="277"/>
      <c r="C1" s="277"/>
      <c r="D1" s="277"/>
    </row>
    <row r="2" spans="1:4" ht="14.5" x14ac:dyDescent="0.35">
      <c r="A2" s="277"/>
      <c r="B2" s="277"/>
      <c r="C2" s="277"/>
      <c r="D2" s="277"/>
    </row>
    <row r="3" spans="1:4" ht="14.5" x14ac:dyDescent="0.35">
      <c r="A3" s="280" t="s">
        <v>813</v>
      </c>
      <c r="B3" s="277"/>
      <c r="C3" s="277"/>
      <c r="D3" s="277"/>
    </row>
    <row r="4" spans="1:4" ht="14.5" x14ac:dyDescent="0.35">
      <c r="A4" s="277" t="s">
        <v>814</v>
      </c>
      <c r="B4" s="277"/>
      <c r="C4" s="277"/>
      <c r="D4" s="277"/>
    </row>
    <row r="5" spans="1:4" ht="14.5" x14ac:dyDescent="0.35">
      <c r="A5" s="277" t="s">
        <v>815</v>
      </c>
      <c r="B5" s="277"/>
      <c r="C5" s="277"/>
      <c r="D5" s="277"/>
    </row>
    <row r="6" spans="1:4" ht="14.5" x14ac:dyDescent="0.35">
      <c r="A6" s="277"/>
      <c r="B6" s="277"/>
      <c r="C6" s="277"/>
      <c r="D6" s="277"/>
    </row>
    <row r="7" spans="1:4" ht="14.5" x14ac:dyDescent="0.35">
      <c r="A7" s="277" t="s">
        <v>816</v>
      </c>
      <c r="B7" s="277"/>
      <c r="C7" s="277"/>
      <c r="D7" s="277"/>
    </row>
    <row r="8" spans="1:4" ht="14.5" x14ac:dyDescent="0.35">
      <c r="A8" s="277" t="s">
        <v>817</v>
      </c>
      <c r="B8" s="277"/>
      <c r="C8" s="277"/>
      <c r="D8" s="277"/>
    </row>
    <row r="9" spans="1:4" ht="14.5" x14ac:dyDescent="0.35">
      <c r="A9" s="277"/>
      <c r="B9" s="277"/>
      <c r="C9" s="277"/>
      <c r="D9" s="277"/>
    </row>
    <row r="10" spans="1:4" ht="14.5" x14ac:dyDescent="0.35">
      <c r="A10" s="277"/>
      <c r="B10" s="277"/>
      <c r="C10" s="277"/>
      <c r="D10" s="277"/>
    </row>
    <row r="11" spans="1:4" ht="14.5" x14ac:dyDescent="0.35">
      <c r="A11" s="279" t="s">
        <v>818</v>
      </c>
      <c r="B11" s="277"/>
      <c r="C11" s="277"/>
      <c r="D11" s="277">
        <f>N(data!C380)</f>
        <v>1086651</v>
      </c>
    </row>
    <row r="12" spans="1:4" ht="14.5" x14ac:dyDescent="0.35">
      <c r="A12" s="279" t="s">
        <v>819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4.5" x14ac:dyDescent="0.35">
      <c r="A13" s="277"/>
      <c r="B13" s="277"/>
      <c r="C13" s="277"/>
      <c r="D13" s="277"/>
    </row>
    <row r="14" spans="1:4" ht="14.5" x14ac:dyDescent="0.35">
      <c r="A14" s="279" t="s">
        <v>820</v>
      </c>
      <c r="B14" s="277"/>
      <c r="C14" s="277"/>
      <c r="D14" s="279" t="s">
        <v>821</v>
      </c>
    </row>
    <row r="15" spans="1:4" ht="14.5" x14ac:dyDescent="0.35">
      <c r="A15" s="1" t="s">
        <v>1366</v>
      </c>
      <c r="B15" s="277"/>
      <c r="C15" s="277"/>
      <c r="D15" s="277">
        <f>data!C380</f>
        <v>1086651</v>
      </c>
    </row>
    <row r="16" spans="1:4" ht="14.5" x14ac:dyDescent="0.35">
      <c r="A16" s="277" t="s">
        <v>822</v>
      </c>
      <c r="B16" s="277"/>
      <c r="C16" s="277"/>
      <c r="D16" s="277"/>
    </row>
    <row r="17" spans="1:4" ht="14.5" x14ac:dyDescent="0.35">
      <c r="A17" s="277" t="s">
        <v>822</v>
      </c>
      <c r="B17" s="277"/>
      <c r="C17" s="277"/>
      <c r="D17" s="277"/>
    </row>
    <row r="18" spans="1:4" ht="14.5" x14ac:dyDescent="0.35">
      <c r="A18" s="277" t="s">
        <v>822</v>
      </c>
      <c r="B18" s="277"/>
      <c r="C18" s="277"/>
      <c r="D18" s="277"/>
    </row>
    <row r="19" spans="1:4" ht="14.5" x14ac:dyDescent="0.35">
      <c r="A19" s="277" t="s">
        <v>822</v>
      </c>
      <c r="B19" s="277"/>
      <c r="C19" s="277"/>
      <c r="D19" s="277"/>
    </row>
    <row r="20" spans="1:4" ht="14.5" x14ac:dyDescent="0.35">
      <c r="A20" s="277" t="s">
        <v>822</v>
      </c>
      <c r="B20" s="277"/>
      <c r="C20" s="277"/>
      <c r="D20" s="277"/>
    </row>
    <row r="21" spans="1:4" ht="14.5" x14ac:dyDescent="0.35">
      <c r="A21" s="277" t="s">
        <v>822</v>
      </c>
      <c r="B21" s="277"/>
      <c r="C21" s="277"/>
      <c r="D21" s="277"/>
    </row>
    <row r="22" spans="1:4" ht="14.5" x14ac:dyDescent="0.35">
      <c r="A22" s="277"/>
      <c r="B22" s="277"/>
      <c r="C22" s="277"/>
      <c r="D22" s="277"/>
    </row>
    <row r="23" spans="1:4" ht="14.5" x14ac:dyDescent="0.35">
      <c r="A23" s="277"/>
      <c r="B23" s="277"/>
      <c r="C23" s="277"/>
      <c r="D23" s="277"/>
    </row>
    <row r="24" spans="1:4" ht="14.5" x14ac:dyDescent="0.35">
      <c r="A24" s="277"/>
      <c r="B24" s="277"/>
      <c r="C24" s="277"/>
      <c r="D24" s="277"/>
    </row>
    <row r="25" spans="1:4" ht="14.5" x14ac:dyDescent="0.35">
      <c r="A25" s="279" t="s">
        <v>823</v>
      </c>
      <c r="B25" s="277"/>
      <c r="C25" s="277"/>
      <c r="D25" s="277">
        <f>N(data!C414)</f>
        <v>0</v>
      </c>
    </row>
    <row r="26" spans="1:4" ht="14.5" x14ac:dyDescent="0.35">
      <c r="A26" s="279" t="s">
        <v>819</v>
      </c>
      <c r="B26" s="277"/>
      <c r="C26" s="277"/>
      <c r="D26" s="277" t="str">
        <f>IF(OR(N(data!C414)&gt;1000000,N(data!C414)/(N(data!D416))&gt;0.01),"Yes","No")</f>
        <v>No</v>
      </c>
    </row>
    <row r="27" spans="1:4" ht="14.5" x14ac:dyDescent="0.35">
      <c r="A27" s="277"/>
      <c r="B27" s="277"/>
      <c r="C27" s="277"/>
      <c r="D27" s="277"/>
    </row>
    <row r="28" spans="1:4" ht="14.5" x14ac:dyDescent="0.35">
      <c r="A28" s="279" t="s">
        <v>820</v>
      </c>
      <c r="B28" s="277"/>
      <c r="C28" s="277"/>
      <c r="D28" s="279" t="s">
        <v>821</v>
      </c>
    </row>
    <row r="29" spans="1:4" ht="14.5" x14ac:dyDescent="0.35">
      <c r="A29" s="277" t="s">
        <v>824</v>
      </c>
      <c r="B29" s="277"/>
      <c r="C29" s="277"/>
      <c r="D29" s="277"/>
    </row>
    <row r="30" spans="1:4" ht="14.5" x14ac:dyDescent="0.35">
      <c r="A30" s="277" t="s">
        <v>824</v>
      </c>
      <c r="B30" s="277"/>
      <c r="C30" s="277"/>
      <c r="D30" s="277"/>
    </row>
    <row r="31" spans="1:4" ht="14.5" x14ac:dyDescent="0.35">
      <c r="A31" s="277" t="s">
        <v>824</v>
      </c>
      <c r="B31" s="277"/>
      <c r="C31" s="277"/>
      <c r="D31" s="277"/>
    </row>
    <row r="32" spans="1:4" ht="14.5" x14ac:dyDescent="0.35">
      <c r="A32" s="277" t="s">
        <v>824</v>
      </c>
      <c r="B32" s="277"/>
      <c r="C32" s="277"/>
      <c r="D32" s="277"/>
    </row>
    <row r="33" spans="1:4" ht="14.5" x14ac:dyDescent="0.35">
      <c r="A33" s="277" t="s">
        <v>824</v>
      </c>
      <c r="B33" s="277"/>
      <c r="C33" s="277"/>
      <c r="D33" s="277"/>
    </row>
    <row r="34" spans="1:4" ht="14.5" x14ac:dyDescent="0.35">
      <c r="A34" s="277" t="s">
        <v>824</v>
      </c>
      <c r="B34" s="277"/>
      <c r="C34" s="277"/>
      <c r="D34" s="277"/>
    </row>
    <row r="35" spans="1:4" ht="14.5" x14ac:dyDescent="0.35">
      <c r="A35" s="277" t="s">
        <v>824</v>
      </c>
      <c r="B35" s="277"/>
      <c r="C35" s="277"/>
      <c r="D35" s="277"/>
    </row>
    <row r="36" spans="1:4" ht="14.5" x14ac:dyDescent="0.35">
      <c r="A36" s="277"/>
      <c r="B36" s="277"/>
      <c r="C36" s="277"/>
      <c r="D36" s="2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K19" sqref="K19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1" t="s">
        <v>825</v>
      </c>
    </row>
    <row r="2" spans="1:7" ht="20.149999999999999" customHeight="1" x14ac:dyDescent="0.35">
      <c r="A2" s="62" t="s">
        <v>826</v>
      </c>
      <c r="B2" s="62"/>
      <c r="C2" s="62"/>
      <c r="D2" s="62"/>
      <c r="E2" s="62"/>
      <c r="F2" s="62"/>
    </row>
    <row r="3" spans="1:7" ht="20.149999999999999" customHeight="1" x14ac:dyDescent="0.35">
      <c r="B3" s="62"/>
      <c r="C3" s="62"/>
      <c r="D3" s="62"/>
      <c r="E3" s="62"/>
      <c r="F3" s="62"/>
      <c r="G3" s="62"/>
    </row>
    <row r="4" spans="1:7" ht="20.149999999999999" customHeight="1" x14ac:dyDescent="0.35">
      <c r="A4" s="63">
        <v>1</v>
      </c>
      <c r="B4" s="65" t="str">
        <f>"Fiscal Year Ended:  "&amp;data!C96</f>
        <v>Fiscal Year Ended:  12/31/2023</v>
      </c>
      <c r="C4" s="64"/>
      <c r="D4" s="65"/>
      <c r="E4" s="66"/>
      <c r="F4" s="64" t="str">
        <f>"License Number:  "&amp;"H-"&amp;FIXED(data!C97,0)</f>
        <v>License Number:  H-925</v>
      </c>
      <c r="G4" s="67"/>
    </row>
    <row r="5" spans="1:7" ht="20.149999999999999" customHeight="1" x14ac:dyDescent="0.35">
      <c r="A5" s="63">
        <v>2</v>
      </c>
      <c r="B5" s="64" t="s">
        <v>300</v>
      </c>
      <c r="C5" s="67"/>
      <c r="D5" s="64" t="str">
        <f>"  "&amp;data!C98</f>
        <v xml:space="preserve">  Rainier Springs</v>
      </c>
      <c r="E5" s="66"/>
      <c r="F5" s="66"/>
      <c r="G5" s="67"/>
    </row>
    <row r="6" spans="1:7" ht="20.149999999999999" customHeight="1" x14ac:dyDescent="0.35">
      <c r="A6" s="63">
        <v>3</v>
      </c>
      <c r="B6" s="64" t="s">
        <v>310</v>
      </c>
      <c r="C6" s="67"/>
      <c r="D6" s="64" t="str">
        <f>"  "&amp;data!C103</f>
        <v xml:space="preserve">  </v>
      </c>
      <c r="E6" s="66"/>
      <c r="F6" s="66"/>
      <c r="G6" s="67"/>
    </row>
    <row r="7" spans="1:7" ht="20.149999999999999" customHeight="1" x14ac:dyDescent="0.35">
      <c r="A7" s="63">
        <v>4</v>
      </c>
      <c r="B7" s="64" t="s">
        <v>827</v>
      </c>
      <c r="C7" s="67"/>
      <c r="D7" s="64" t="str">
        <f>"  "&amp;data!C104</f>
        <v xml:space="preserve">  Toni Long</v>
      </c>
      <c r="E7" s="66"/>
      <c r="F7" s="66"/>
      <c r="G7" s="67"/>
    </row>
    <row r="8" spans="1:7" ht="20.149999999999999" customHeight="1" x14ac:dyDescent="0.35">
      <c r="A8" s="63">
        <v>5</v>
      </c>
      <c r="B8" s="64" t="s">
        <v>828</v>
      </c>
      <c r="C8" s="67"/>
      <c r="D8" s="64" t="str">
        <f>"  "&amp;data!C105</f>
        <v xml:space="preserve">  Roger Wendel-Oney</v>
      </c>
      <c r="E8" s="66"/>
      <c r="F8" s="66"/>
      <c r="G8" s="67"/>
    </row>
    <row r="9" spans="1:7" ht="20.149999999999999" customHeight="1" x14ac:dyDescent="0.35">
      <c r="A9" s="63">
        <v>6</v>
      </c>
      <c r="B9" s="64" t="s">
        <v>829</v>
      </c>
      <c r="C9" s="67"/>
      <c r="D9" s="64" t="str">
        <f>"  "&amp;data!C106</f>
        <v xml:space="preserve">  </v>
      </c>
      <c r="E9" s="66"/>
      <c r="F9" s="66"/>
      <c r="G9" s="67"/>
    </row>
    <row r="10" spans="1:7" ht="20.149999999999999" customHeight="1" x14ac:dyDescent="0.35">
      <c r="A10" s="63">
        <v>7</v>
      </c>
      <c r="B10" s="64" t="s">
        <v>830</v>
      </c>
      <c r="C10" s="67"/>
      <c r="D10" s="64" t="str">
        <f>"  "&amp;data!C107</f>
        <v xml:space="preserve">  360-356-1901</v>
      </c>
      <c r="E10" s="66"/>
      <c r="F10" s="66"/>
      <c r="G10" s="67"/>
    </row>
    <row r="11" spans="1:7" ht="20.149999999999999" customHeight="1" x14ac:dyDescent="0.35">
      <c r="A11" s="63">
        <v>8</v>
      </c>
      <c r="B11" s="64" t="s">
        <v>831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71"/>
      <c r="G13" s="72"/>
    </row>
    <row r="14" spans="1:7" ht="20.149999999999999" customHeight="1" x14ac:dyDescent="0.3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49999999999999" customHeight="1" x14ac:dyDescent="0.35">
      <c r="A15" s="73" t="s">
        <v>324</v>
      </c>
      <c r="B15" s="74"/>
      <c r="C15" s="75" t="s">
        <v>326</v>
      </c>
      <c r="D15" s="74"/>
      <c r="E15" s="75" t="s">
        <v>328</v>
      </c>
      <c r="F15" s="76"/>
      <c r="G15" s="77"/>
    </row>
    <row r="16" spans="1:7" ht="20.149999999999999" customHeight="1" x14ac:dyDescent="0.3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329</v>
      </c>
      <c r="G16" s="67"/>
    </row>
    <row r="17" spans="1:7" ht="20.149999999999999" customHeight="1" x14ac:dyDescent="0.3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409</v>
      </c>
      <c r="E17" s="229" t="str">
        <f>IF(data!C121&gt;0," X","")</f>
        <v/>
      </c>
      <c r="F17" s="81" t="s">
        <v>330</v>
      </c>
      <c r="G17" s="67"/>
    </row>
    <row r="18" spans="1:7" ht="20.149999999999999" customHeight="1" x14ac:dyDescent="0.35">
      <c r="A18" s="63"/>
      <c r="B18" s="67" t="s">
        <v>834</v>
      </c>
      <c r="C18" s="67"/>
      <c r="D18" s="67"/>
      <c r="E18" s="229" t="str">
        <f>IF(data!C122&gt;0," X","")</f>
        <v xml:space="preserve"> X</v>
      </c>
      <c r="F18" s="81" t="s">
        <v>331</v>
      </c>
      <c r="G18" s="67"/>
    </row>
    <row r="19" spans="1:7" ht="20.149999999999999" customHeight="1" x14ac:dyDescent="0.35">
      <c r="A19" s="78" t="str">
        <f>IF(data!C115&gt;0," X","")</f>
        <v/>
      </c>
      <c r="B19" s="80" t="s">
        <v>835</v>
      </c>
      <c r="C19" s="67"/>
      <c r="D19" s="67"/>
      <c r="E19" s="67"/>
      <c r="F19" s="81"/>
      <c r="G19" s="67"/>
    </row>
    <row r="20" spans="1:7" ht="20.149999999999999" customHeight="1" x14ac:dyDescent="0.35">
      <c r="A20" s="68"/>
      <c r="B20" s="69"/>
      <c r="C20" s="69"/>
      <c r="D20" s="69"/>
      <c r="E20" s="69"/>
      <c r="F20" s="69"/>
      <c r="G20" s="70"/>
    </row>
    <row r="21" spans="1:7" ht="20.149999999999999" customHeight="1" x14ac:dyDescent="0.35">
      <c r="A21" s="71"/>
      <c r="G21" s="82"/>
    </row>
    <row r="22" spans="1:7" ht="20.149999999999999" customHeight="1" x14ac:dyDescent="0.35">
      <c r="A22" s="63">
        <v>10</v>
      </c>
      <c r="B22" s="64" t="s">
        <v>836</v>
      </c>
      <c r="C22" s="64"/>
      <c r="D22" s="64"/>
      <c r="E22" s="64"/>
      <c r="F22" s="78" t="s">
        <v>334</v>
      </c>
      <c r="G22" s="79" t="s">
        <v>242</v>
      </c>
    </row>
    <row r="23" spans="1:7" ht="20.149999999999999" customHeight="1" x14ac:dyDescent="0.35">
      <c r="A23" s="63"/>
      <c r="B23" s="64" t="s">
        <v>837</v>
      </c>
      <c r="C23" s="64"/>
      <c r="D23" s="64"/>
      <c r="E23" s="64"/>
      <c r="F23" s="63">
        <f>data!C127</f>
        <v>2309</v>
      </c>
      <c r="G23" s="67">
        <f>data!D127</f>
        <v>6</v>
      </c>
    </row>
    <row r="24" spans="1:7" ht="20.149999999999999" customHeight="1" x14ac:dyDescent="0.3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49999999999999" customHeight="1" x14ac:dyDescent="0.35">
      <c r="A25" s="63"/>
      <c r="B25" s="64" t="s">
        <v>839</v>
      </c>
      <c r="C25" s="64"/>
      <c r="D25" s="64"/>
      <c r="E25" s="64"/>
      <c r="F25" s="63">
        <f>data!C129</f>
        <v>1267</v>
      </c>
      <c r="G25" s="67">
        <f>data!D129</f>
        <v>3.5</v>
      </c>
    </row>
    <row r="26" spans="1:7" ht="20.149999999999999" customHeight="1" x14ac:dyDescent="0.35">
      <c r="A26" s="63">
        <v>11</v>
      </c>
      <c r="B26" s="64" t="s">
        <v>338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49999999999999" customHeight="1" x14ac:dyDescent="0.35">
      <c r="A27" s="68"/>
      <c r="B27" s="69"/>
      <c r="C27" s="69"/>
      <c r="D27" s="69"/>
      <c r="E27" s="69"/>
      <c r="F27" s="69"/>
      <c r="G27" s="70"/>
    </row>
    <row r="28" spans="1:7" ht="20.149999999999999" customHeight="1" x14ac:dyDescent="0.35">
      <c r="A28" s="71"/>
      <c r="G28" s="82"/>
    </row>
    <row r="29" spans="1:7" ht="20.149999999999999" customHeight="1" x14ac:dyDescent="0.35">
      <c r="A29" s="63">
        <v>12</v>
      </c>
      <c r="B29" s="83" t="s">
        <v>840</v>
      </c>
      <c r="C29" s="67"/>
      <c r="D29" s="79" t="s">
        <v>194</v>
      </c>
      <c r="E29" s="83" t="s">
        <v>840</v>
      </c>
      <c r="F29" s="67"/>
      <c r="G29" s="79" t="s">
        <v>194</v>
      </c>
    </row>
    <row r="30" spans="1:7" ht="20.149999999999999" customHeight="1" x14ac:dyDescent="0.35">
      <c r="A30" s="63"/>
      <c r="B30" s="64" t="s">
        <v>340</v>
      </c>
      <c r="C30" s="67"/>
      <c r="D30" s="67">
        <f>data!C132</f>
        <v>0</v>
      </c>
      <c r="E30" s="64" t="s">
        <v>346</v>
      </c>
      <c r="F30" s="67"/>
      <c r="G30" s="67">
        <f>data!C139</f>
        <v>0</v>
      </c>
    </row>
    <row r="31" spans="1:7" ht="20.149999999999999" customHeight="1" x14ac:dyDescent="0.35">
      <c r="A31" s="63"/>
      <c r="B31" s="83" t="s">
        <v>841</v>
      </c>
      <c r="C31" s="67"/>
      <c r="D31" s="67">
        <f>data!C133</f>
        <v>0</v>
      </c>
      <c r="E31" s="64" t="s">
        <v>347</v>
      </c>
      <c r="F31" s="67"/>
      <c r="G31" s="67">
        <f>data!C140</f>
        <v>0</v>
      </c>
    </row>
    <row r="32" spans="1:7" ht="20.149999999999999" customHeight="1" x14ac:dyDescent="0.35">
      <c r="A32" s="63"/>
      <c r="B32" s="83" t="s">
        <v>842</v>
      </c>
      <c r="C32" s="67"/>
      <c r="D32" s="67">
        <f>data!C134</f>
        <v>0</v>
      </c>
      <c r="E32" s="64" t="s">
        <v>843</v>
      </c>
      <c r="F32" s="67"/>
      <c r="G32" s="67">
        <f>data!C141</f>
        <v>23</v>
      </c>
    </row>
    <row r="33" spans="1:7" ht="20.149999999999999" customHeight="1" x14ac:dyDescent="0.35">
      <c r="A33" s="63"/>
      <c r="B33" s="83" t="s">
        <v>844</v>
      </c>
      <c r="C33" s="67"/>
      <c r="D33" s="67">
        <f>data!C135</f>
        <v>0</v>
      </c>
      <c r="E33" s="64" t="s">
        <v>845</v>
      </c>
      <c r="F33" s="67"/>
      <c r="G33" s="67">
        <f>data!C142</f>
        <v>0</v>
      </c>
    </row>
    <row r="34" spans="1:7" ht="20.149999999999999" customHeight="1" x14ac:dyDescent="0.35">
      <c r="A34" s="63"/>
      <c r="B34" s="83" t="s">
        <v>846</v>
      </c>
      <c r="C34" s="67"/>
      <c r="D34" s="67">
        <f>data!C136</f>
        <v>0</v>
      </c>
      <c r="E34" s="64" t="s">
        <v>349</v>
      </c>
      <c r="F34" s="67"/>
      <c r="G34" s="67">
        <f>data!E143</f>
        <v>72</v>
      </c>
    </row>
    <row r="35" spans="1:7" ht="20.149999999999999" customHeight="1" x14ac:dyDescent="0.3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49999999999999" customHeight="1" x14ac:dyDescent="0.35">
      <c r="A36" s="63"/>
      <c r="B36" s="64" t="s">
        <v>123</v>
      </c>
      <c r="C36" s="67"/>
      <c r="D36" s="67">
        <f>data!C138</f>
        <v>49</v>
      </c>
      <c r="E36" s="64" t="s">
        <v>350</v>
      </c>
      <c r="F36" s="67"/>
      <c r="G36" s="67">
        <f>data!C144</f>
        <v>72</v>
      </c>
    </row>
    <row r="37" spans="1:7" ht="20.149999999999999" customHeight="1" x14ac:dyDescent="0.35">
      <c r="A37" s="63"/>
      <c r="E37" s="64" t="s">
        <v>351</v>
      </c>
      <c r="F37" s="67"/>
      <c r="G37" s="67">
        <f>data!C145</f>
        <v>0</v>
      </c>
    </row>
    <row r="38" spans="1:7" ht="20.149999999999999" customHeight="1" x14ac:dyDescent="0.35">
      <c r="A38" s="63"/>
      <c r="B38" s="64"/>
      <c r="C38" s="64"/>
      <c r="D38" s="64"/>
      <c r="E38" s="64"/>
      <c r="F38" s="64"/>
      <c r="G38" s="67"/>
    </row>
    <row r="39" spans="1:7" ht="20.149999999999999" customHeight="1" x14ac:dyDescent="0.35">
      <c r="A39" s="85">
        <v>13</v>
      </c>
      <c r="B39" s="86" t="s">
        <v>346</v>
      </c>
      <c r="C39" s="82"/>
      <c r="D39" s="82"/>
      <c r="E39" s="87"/>
      <c r="F39" s="87"/>
      <c r="G39" s="88"/>
    </row>
    <row r="40" spans="1:7" ht="20.149999999999999" customHeight="1" x14ac:dyDescent="0.3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C32" sqref="C32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0" t="s">
        <v>850</v>
      </c>
      <c r="G1" s="61" t="s">
        <v>851</v>
      </c>
    </row>
    <row r="2" spans="1:7" ht="20.149999999999999" customHeight="1" x14ac:dyDescent="0.35">
      <c r="A2" s="1" t="str">
        <f>"Hospital: "&amp;data!C98</f>
        <v>Hospital: Rainier Springs</v>
      </c>
      <c r="G2" s="4" t="s">
        <v>852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1" t="s">
        <v>853</v>
      </c>
      <c r="B4" s="122"/>
      <c r="C4" s="122"/>
      <c r="D4" s="122"/>
      <c r="E4" s="122"/>
      <c r="F4" s="122"/>
      <c r="G4" s="123"/>
    </row>
    <row r="5" spans="1:7" ht="20.149999999999999" customHeight="1" x14ac:dyDescent="0.35">
      <c r="A5" s="124"/>
      <c r="B5" s="74" t="s">
        <v>854</v>
      </c>
      <c r="C5" s="74"/>
      <c r="D5" s="74"/>
      <c r="E5" s="125" t="s">
        <v>361</v>
      </c>
      <c r="F5" s="74"/>
      <c r="G5" s="74"/>
    </row>
    <row r="6" spans="1:7" ht="20.149999999999999" customHeight="1" x14ac:dyDescent="0.35">
      <c r="A6" s="126" t="s">
        <v>855</v>
      </c>
      <c r="B6" s="79" t="s">
        <v>334</v>
      </c>
      <c r="C6" s="79" t="s">
        <v>856</v>
      </c>
      <c r="D6" s="79" t="s">
        <v>357</v>
      </c>
      <c r="E6" s="79" t="s">
        <v>195</v>
      </c>
      <c r="F6" s="79" t="s">
        <v>158</v>
      </c>
      <c r="G6" s="79" t="s">
        <v>230</v>
      </c>
    </row>
    <row r="7" spans="1:7" ht="20.149999999999999" customHeight="1" x14ac:dyDescent="0.35">
      <c r="A7" s="63" t="s">
        <v>355</v>
      </c>
      <c r="B7" s="127">
        <f>data!B154</f>
        <v>526</v>
      </c>
      <c r="C7" s="127">
        <f>data!B155</f>
        <v>3964</v>
      </c>
      <c r="D7" s="127">
        <f>data!B156</f>
        <v>983</v>
      </c>
      <c r="E7" s="127">
        <f>data!B157</f>
        <v>4389413.6399999997</v>
      </c>
      <c r="F7" s="127">
        <f>data!B158</f>
        <v>295388.40999999997</v>
      </c>
      <c r="G7" s="127">
        <f>data!B157+data!B158</f>
        <v>4684802.05</v>
      </c>
    </row>
    <row r="8" spans="1:7" ht="20.149999999999999" customHeight="1" x14ac:dyDescent="0.35">
      <c r="A8" s="63" t="s">
        <v>356</v>
      </c>
      <c r="B8" s="127">
        <f>data!C154</f>
        <v>2343</v>
      </c>
      <c r="C8" s="127">
        <f>data!C155</f>
        <v>13630</v>
      </c>
      <c r="D8" s="127">
        <f>data!C156</f>
        <v>1753</v>
      </c>
      <c r="E8" s="127">
        <f>data!C157</f>
        <v>13160272.939999999</v>
      </c>
      <c r="F8" s="127">
        <f>data!C158</f>
        <v>409879.35</v>
      </c>
      <c r="G8" s="127">
        <f>data!C157+data!C158</f>
        <v>13570152.289999999</v>
      </c>
    </row>
    <row r="9" spans="1:7" ht="20.149999999999999" customHeight="1" x14ac:dyDescent="0.35">
      <c r="A9" s="63" t="s">
        <v>857</v>
      </c>
      <c r="B9" s="127">
        <f>data!D154</f>
        <v>707</v>
      </c>
      <c r="C9" s="127">
        <f>data!D155</f>
        <v>4000</v>
      </c>
      <c r="D9" s="127">
        <f>data!D156</f>
        <v>3001</v>
      </c>
      <c r="E9" s="127">
        <f>data!D157</f>
        <v>7502701</v>
      </c>
      <c r="F9" s="127">
        <f>data!D158</f>
        <v>1590275.25</v>
      </c>
      <c r="G9" s="127">
        <f>data!D157+data!D158</f>
        <v>9092976.25</v>
      </c>
    </row>
    <row r="10" spans="1:7" ht="20.149999999999999" customHeight="1" x14ac:dyDescent="0.35">
      <c r="A10" s="78" t="s">
        <v>230</v>
      </c>
      <c r="B10" s="127">
        <f>data!E154</f>
        <v>3576</v>
      </c>
      <c r="C10" s="127">
        <f>data!E155</f>
        <v>21594</v>
      </c>
      <c r="D10" s="127">
        <f>data!E156</f>
        <v>5737</v>
      </c>
      <c r="E10" s="127">
        <f>data!E157</f>
        <v>25052387.579999998</v>
      </c>
      <c r="F10" s="127">
        <f>data!E158</f>
        <v>2295543.0099999998</v>
      </c>
      <c r="G10" s="127">
        <f>E10+F10</f>
        <v>27347930.589999996</v>
      </c>
    </row>
    <row r="11" spans="1:7" ht="20.149999999999999" customHeight="1" x14ac:dyDescent="0.35">
      <c r="A11" s="128"/>
      <c r="B11" s="129"/>
      <c r="C11" s="129"/>
      <c r="D11" s="129"/>
      <c r="E11" s="129"/>
      <c r="F11" s="129"/>
      <c r="G11" s="130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131" t="s">
        <v>858</v>
      </c>
      <c r="B13" s="62"/>
      <c r="C13" s="62"/>
      <c r="D13" s="62"/>
      <c r="E13" s="62"/>
      <c r="F13" s="62"/>
      <c r="G13" s="132"/>
    </row>
    <row r="14" spans="1:7" ht="20.149999999999999" customHeight="1" x14ac:dyDescent="0.35">
      <c r="A14" s="124"/>
      <c r="B14" s="133" t="s">
        <v>854</v>
      </c>
      <c r="C14" s="133"/>
      <c r="D14" s="133"/>
      <c r="E14" s="133" t="s">
        <v>361</v>
      </c>
      <c r="F14" s="133"/>
      <c r="G14" s="133"/>
    </row>
    <row r="15" spans="1:7" ht="20.149999999999999" customHeight="1" x14ac:dyDescent="0.35">
      <c r="A15" s="126" t="s">
        <v>855</v>
      </c>
      <c r="B15" s="79" t="s">
        <v>334</v>
      </c>
      <c r="C15" s="79" t="s">
        <v>856</v>
      </c>
      <c r="D15" s="79" t="s">
        <v>357</v>
      </c>
      <c r="E15" s="79" t="s">
        <v>195</v>
      </c>
      <c r="F15" s="79" t="s">
        <v>158</v>
      </c>
      <c r="G15" s="79" t="s">
        <v>230</v>
      </c>
    </row>
    <row r="16" spans="1:7" ht="20.149999999999999" customHeight="1" x14ac:dyDescent="0.35">
      <c r="A16" s="63" t="s">
        <v>355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49999999999999" customHeight="1" x14ac:dyDescent="0.35">
      <c r="A17" s="63" t="s">
        <v>356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49999999999999" customHeight="1" x14ac:dyDescent="0.3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49999999999999" customHeight="1" x14ac:dyDescent="0.3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49999999999999" customHeight="1" x14ac:dyDescent="0.35">
      <c r="A20" s="128"/>
      <c r="B20" s="129"/>
      <c r="C20" s="129"/>
      <c r="D20" s="129"/>
      <c r="E20" s="129"/>
      <c r="F20" s="129"/>
      <c r="G20" s="130"/>
    </row>
    <row r="21" spans="1:7" ht="20.149999999999999" customHeight="1" x14ac:dyDescent="0.35">
      <c r="A21" s="68"/>
      <c r="B21" s="69"/>
      <c r="C21" s="69"/>
      <c r="D21" s="69"/>
      <c r="E21" s="69"/>
      <c r="F21" s="69"/>
      <c r="G21" s="70"/>
    </row>
    <row r="22" spans="1:7" ht="20.149999999999999" customHeight="1" x14ac:dyDescent="0.35">
      <c r="A22" s="131" t="s">
        <v>859</v>
      </c>
      <c r="B22" s="62"/>
      <c r="C22" s="62"/>
      <c r="D22" s="62"/>
      <c r="E22" s="62"/>
      <c r="F22" s="62"/>
      <c r="G22" s="132"/>
    </row>
    <row r="23" spans="1:7" ht="20.149999999999999" customHeight="1" x14ac:dyDescent="0.35">
      <c r="A23" s="124"/>
      <c r="B23" s="74" t="s">
        <v>854</v>
      </c>
      <c r="C23" s="74"/>
      <c r="D23" s="74"/>
      <c r="E23" s="74" t="s">
        <v>361</v>
      </c>
      <c r="F23" s="74"/>
      <c r="G23" s="74"/>
    </row>
    <row r="24" spans="1:7" ht="20.149999999999999" customHeight="1" x14ac:dyDescent="0.35">
      <c r="A24" s="126" t="s">
        <v>855</v>
      </c>
      <c r="B24" s="79" t="s">
        <v>334</v>
      </c>
      <c r="C24" s="79" t="s">
        <v>856</v>
      </c>
      <c r="D24" s="79" t="s">
        <v>357</v>
      </c>
      <c r="E24" s="79" t="s">
        <v>195</v>
      </c>
      <c r="F24" s="79" t="s">
        <v>158</v>
      </c>
      <c r="G24" s="79" t="s">
        <v>230</v>
      </c>
    </row>
    <row r="25" spans="1:7" ht="20.149999999999999" customHeight="1" x14ac:dyDescent="0.35">
      <c r="A25" s="63" t="s">
        <v>355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49999999999999" customHeight="1" x14ac:dyDescent="0.35">
      <c r="A26" s="63" t="s">
        <v>356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49999999999999" customHeight="1" x14ac:dyDescent="0.3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49999999999999" customHeight="1" x14ac:dyDescent="0.3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49999999999999" customHeight="1" x14ac:dyDescent="0.35">
      <c r="A29" s="128"/>
      <c r="B29" s="129"/>
      <c r="C29" s="129"/>
      <c r="D29" s="129"/>
      <c r="E29" s="129"/>
      <c r="F29" s="129"/>
      <c r="G29" s="130"/>
    </row>
    <row r="30" spans="1:7" ht="20.149999999999999" customHeight="1" x14ac:dyDescent="0.35">
      <c r="A30" s="68"/>
      <c r="B30" s="81"/>
      <c r="C30" s="69"/>
      <c r="D30" s="69"/>
      <c r="E30" s="69"/>
      <c r="F30" s="69"/>
      <c r="G30" s="70"/>
    </row>
    <row r="31" spans="1:7" ht="20.149999999999999" customHeight="1" x14ac:dyDescent="0.35">
      <c r="A31" s="134" t="s">
        <v>860</v>
      </c>
      <c r="B31" s="135"/>
      <c r="C31" s="66"/>
      <c r="D31" s="65"/>
      <c r="E31" s="65"/>
      <c r="F31" s="65"/>
      <c r="G31" s="136"/>
    </row>
    <row r="32" spans="1:7" ht="20.149999999999999" customHeight="1" x14ac:dyDescent="0.35">
      <c r="A32" s="137"/>
      <c r="B32" s="138" t="s">
        <v>861</v>
      </c>
      <c r="C32" s="139">
        <f>data!B173</f>
        <v>1086651.3</v>
      </c>
      <c r="D32" s="66"/>
      <c r="E32" s="66"/>
      <c r="F32" s="66"/>
      <c r="G32" s="84"/>
    </row>
    <row r="33" spans="1:7" ht="20.149999999999999" customHeight="1" x14ac:dyDescent="0.35">
      <c r="A33" s="137"/>
      <c r="B33" s="140" t="s">
        <v>862</v>
      </c>
      <c r="C33" s="135">
        <f>data!C173</f>
        <v>2650785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10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1" t="s">
        <v>364</v>
      </c>
      <c r="B1" s="62"/>
      <c r="C1" s="61" t="s">
        <v>863</v>
      </c>
    </row>
    <row r="2" spans="1:3" ht="20.149999999999999" customHeight="1" x14ac:dyDescent="0.35">
      <c r="A2" s="86"/>
    </row>
    <row r="3" spans="1:3" ht="20.149999999999999" customHeight="1" x14ac:dyDescent="0.35">
      <c r="A3" s="120" t="str">
        <f>"Hospital: "&amp;data!C98</f>
        <v>Hospital: Rainier Springs</v>
      </c>
      <c r="B3" s="69"/>
      <c r="C3" s="142" t="str">
        <f>"FYE: "&amp;data!C96</f>
        <v>FYE: 12/31/2023</v>
      </c>
    </row>
    <row r="4" spans="1:3" ht="20.149999999999999" customHeight="1" x14ac:dyDescent="0.35">
      <c r="A4" s="69"/>
    </row>
    <row r="5" spans="1:3" ht="20.149999999999999" customHeight="1" x14ac:dyDescent="0.35">
      <c r="A5" s="63">
        <v>1</v>
      </c>
      <c r="B5" s="75" t="s">
        <v>365</v>
      </c>
      <c r="C5" s="123"/>
    </row>
    <row r="6" spans="1:3" ht="20.149999999999999" customHeight="1" x14ac:dyDescent="0.35">
      <c r="A6" s="143">
        <v>2</v>
      </c>
      <c r="B6" s="64" t="s">
        <v>864</v>
      </c>
      <c r="C6" s="63">
        <f>data!C181</f>
        <v>917925.60000000009</v>
      </c>
    </row>
    <row r="7" spans="1:3" ht="20.149999999999999" customHeight="1" x14ac:dyDescent="0.35">
      <c r="A7" s="144">
        <v>3</v>
      </c>
      <c r="B7" s="83" t="s">
        <v>367</v>
      </c>
      <c r="C7" s="63">
        <f>data!C182</f>
        <v>104593.54999999999</v>
      </c>
    </row>
    <row r="8" spans="1:3" ht="20.149999999999999" customHeight="1" x14ac:dyDescent="0.35">
      <c r="A8" s="144">
        <v>4</v>
      </c>
      <c r="B8" s="64" t="s">
        <v>368</v>
      </c>
      <c r="C8" s="63">
        <f>data!C183</f>
        <v>386158.47</v>
      </c>
    </row>
    <row r="9" spans="1:3" ht="20.149999999999999" customHeight="1" x14ac:dyDescent="0.35">
      <c r="A9" s="144">
        <v>5</v>
      </c>
      <c r="B9" s="64" t="s">
        <v>369</v>
      </c>
      <c r="C9" s="63">
        <f>data!C184</f>
        <v>739643.17</v>
      </c>
    </row>
    <row r="10" spans="1:3" ht="20.149999999999999" customHeight="1" x14ac:dyDescent="0.35">
      <c r="A10" s="144">
        <v>6</v>
      </c>
      <c r="B10" s="64" t="s">
        <v>370</v>
      </c>
      <c r="C10" s="63">
        <f>data!C185</f>
        <v>0</v>
      </c>
    </row>
    <row r="11" spans="1:3" ht="20.149999999999999" customHeight="1" x14ac:dyDescent="0.35">
      <c r="A11" s="144">
        <v>7</v>
      </c>
      <c r="B11" s="64" t="s">
        <v>371</v>
      </c>
      <c r="C11" s="63">
        <f>data!C186</f>
        <v>55162.76</v>
      </c>
    </row>
    <row r="12" spans="1:3" ht="20.149999999999999" customHeight="1" x14ac:dyDescent="0.35">
      <c r="A12" s="144">
        <v>8</v>
      </c>
      <c r="B12" s="64" t="s">
        <v>372</v>
      </c>
      <c r="C12" s="63">
        <f>data!C187</f>
        <v>15237.29</v>
      </c>
    </row>
    <row r="13" spans="1:3" ht="20.149999999999999" customHeight="1" x14ac:dyDescent="0.35">
      <c r="A13" s="144">
        <v>9</v>
      </c>
      <c r="B13" s="64" t="s">
        <v>372</v>
      </c>
      <c r="C13" s="63">
        <f>data!C188</f>
        <v>0</v>
      </c>
    </row>
    <row r="14" spans="1:3" ht="20.149999999999999" customHeight="1" x14ac:dyDescent="0.35">
      <c r="A14" s="144">
        <v>10</v>
      </c>
      <c r="B14" s="64" t="s">
        <v>865</v>
      </c>
      <c r="C14" s="63">
        <f>data!D189</f>
        <v>2218720.84</v>
      </c>
    </row>
    <row r="15" spans="1:3" ht="20.149999999999999" customHeight="1" x14ac:dyDescent="0.35">
      <c r="A15" s="68"/>
      <c r="B15" s="69"/>
      <c r="C15" s="70"/>
    </row>
    <row r="16" spans="1:3" ht="20.149999999999999" customHeight="1" x14ac:dyDescent="0.35">
      <c r="A16" s="68"/>
      <c r="B16" s="69"/>
      <c r="C16" s="70"/>
    </row>
    <row r="17" spans="1:3" ht="20.149999999999999" customHeight="1" x14ac:dyDescent="0.35">
      <c r="A17" s="145">
        <v>11</v>
      </c>
      <c r="B17" s="76" t="s">
        <v>373</v>
      </c>
      <c r="C17" s="77"/>
    </row>
    <row r="18" spans="1:3" ht="20.149999999999999" customHeight="1" x14ac:dyDescent="0.35">
      <c r="A18" s="63">
        <v>12</v>
      </c>
      <c r="B18" s="64" t="s">
        <v>866</v>
      </c>
      <c r="C18" s="63">
        <f>data!C191</f>
        <v>0</v>
      </c>
    </row>
    <row r="19" spans="1:3" ht="20.149999999999999" customHeight="1" x14ac:dyDescent="0.35">
      <c r="A19" s="63">
        <v>13</v>
      </c>
      <c r="B19" s="64" t="s">
        <v>867</v>
      </c>
      <c r="C19" s="63">
        <f>data!C192</f>
        <v>0</v>
      </c>
    </row>
    <row r="20" spans="1:3" ht="20.149999999999999" customHeight="1" x14ac:dyDescent="0.35">
      <c r="A20" s="63">
        <v>14</v>
      </c>
      <c r="B20" s="64" t="s">
        <v>868</v>
      </c>
      <c r="C20" s="63">
        <f>data!D193</f>
        <v>0</v>
      </c>
    </row>
    <row r="21" spans="1:3" ht="20.149999999999999" customHeight="1" x14ac:dyDescent="0.35">
      <c r="A21" s="68"/>
      <c r="B21" s="69"/>
      <c r="C21" s="70"/>
    </row>
    <row r="22" spans="1:3" ht="20.149999999999999" customHeight="1" x14ac:dyDescent="0.35">
      <c r="A22" s="68"/>
      <c r="C22" s="146"/>
    </row>
    <row r="23" spans="1:3" ht="20.149999999999999" customHeight="1" x14ac:dyDescent="0.35">
      <c r="A23" s="124">
        <v>15</v>
      </c>
      <c r="B23" s="147" t="s">
        <v>376</v>
      </c>
      <c r="C23" s="123"/>
    </row>
    <row r="24" spans="1:3" ht="20.149999999999999" customHeight="1" x14ac:dyDescent="0.35">
      <c r="A24" s="63">
        <v>16</v>
      </c>
      <c r="B24" s="75" t="s">
        <v>869</v>
      </c>
      <c r="C24" s="148"/>
    </row>
    <row r="25" spans="1:3" ht="20.149999999999999" customHeight="1" x14ac:dyDescent="0.35">
      <c r="A25" s="63">
        <v>17</v>
      </c>
      <c r="B25" s="64" t="s">
        <v>870</v>
      </c>
      <c r="C25" s="63">
        <f>data!C195</f>
        <v>0</v>
      </c>
    </row>
    <row r="26" spans="1:3" ht="20.149999999999999" customHeight="1" x14ac:dyDescent="0.35">
      <c r="A26" s="63">
        <v>18</v>
      </c>
      <c r="B26" s="64" t="s">
        <v>378</v>
      </c>
      <c r="C26" s="63">
        <f>data!C196</f>
        <v>0</v>
      </c>
    </row>
    <row r="27" spans="1:3" ht="20.149999999999999" customHeight="1" x14ac:dyDescent="0.35">
      <c r="A27" s="63">
        <v>19</v>
      </c>
      <c r="B27" s="64" t="s">
        <v>871</v>
      </c>
      <c r="C27" s="63">
        <f>data!D197</f>
        <v>0</v>
      </c>
    </row>
    <row r="28" spans="1:3" ht="20.149999999999999" customHeight="1" x14ac:dyDescent="0.35">
      <c r="A28" s="68"/>
      <c r="B28" s="69"/>
      <c r="C28" s="70"/>
    </row>
    <row r="29" spans="1:3" ht="20.149999999999999" customHeight="1" x14ac:dyDescent="0.35">
      <c r="A29" s="68"/>
      <c r="B29" s="69"/>
      <c r="C29" s="70"/>
    </row>
    <row r="30" spans="1:3" ht="20.149999999999999" customHeight="1" x14ac:dyDescent="0.35">
      <c r="A30" s="124">
        <v>20</v>
      </c>
      <c r="B30" s="147" t="s">
        <v>872</v>
      </c>
      <c r="C30" s="133"/>
    </row>
    <row r="31" spans="1:3" ht="20.149999999999999" customHeight="1" x14ac:dyDescent="0.35">
      <c r="A31" s="63">
        <v>21</v>
      </c>
      <c r="B31" s="64" t="s">
        <v>380</v>
      </c>
      <c r="C31" s="63">
        <f>data!C199</f>
        <v>0</v>
      </c>
    </row>
    <row r="32" spans="1:3" ht="20.149999999999999" customHeight="1" x14ac:dyDescent="0.35">
      <c r="A32" s="63">
        <v>22</v>
      </c>
      <c r="B32" s="64" t="s">
        <v>873</v>
      </c>
      <c r="C32" s="63">
        <f>data!C200</f>
        <v>0</v>
      </c>
    </row>
    <row r="33" spans="1:3" ht="20.149999999999999" customHeight="1" x14ac:dyDescent="0.35">
      <c r="A33" s="63">
        <v>23</v>
      </c>
      <c r="B33" s="64" t="s">
        <v>159</v>
      </c>
      <c r="C33" s="63">
        <f>data!C201</f>
        <v>0</v>
      </c>
    </row>
    <row r="34" spans="1:3" ht="20.149999999999999" customHeight="1" x14ac:dyDescent="0.35">
      <c r="A34" s="63">
        <v>24</v>
      </c>
      <c r="B34" s="64" t="s">
        <v>874</v>
      </c>
      <c r="C34" s="63">
        <f>data!D202</f>
        <v>0</v>
      </c>
    </row>
    <row r="35" spans="1:3" ht="20.149999999999999" customHeight="1" x14ac:dyDescent="0.35">
      <c r="A35" s="68"/>
      <c r="B35" s="69"/>
      <c r="C35" s="70"/>
    </row>
    <row r="36" spans="1:3" ht="20.149999999999999" customHeight="1" x14ac:dyDescent="0.35">
      <c r="A36" s="68"/>
      <c r="B36" s="69"/>
      <c r="C36" s="70"/>
    </row>
    <row r="37" spans="1:3" ht="20.149999999999999" customHeight="1" x14ac:dyDescent="0.35">
      <c r="A37" s="124">
        <v>25</v>
      </c>
      <c r="B37" s="147" t="s">
        <v>382</v>
      </c>
      <c r="C37" s="123"/>
    </row>
    <row r="38" spans="1:3" ht="20.149999999999999" customHeight="1" x14ac:dyDescent="0.35">
      <c r="A38" s="63">
        <v>26</v>
      </c>
      <c r="B38" s="64" t="s">
        <v>875</v>
      </c>
      <c r="C38" s="63">
        <f>data!C204</f>
        <v>0</v>
      </c>
    </row>
    <row r="39" spans="1:3" ht="20.149999999999999" customHeight="1" x14ac:dyDescent="0.35">
      <c r="A39" s="63">
        <v>27</v>
      </c>
      <c r="B39" s="64" t="s">
        <v>384</v>
      </c>
      <c r="C39" s="63">
        <f>data!C205</f>
        <v>3039053</v>
      </c>
    </row>
    <row r="40" spans="1:3" ht="20.149999999999999" customHeight="1" x14ac:dyDescent="0.35">
      <c r="A40" s="63">
        <v>28</v>
      </c>
      <c r="B40" s="64" t="s">
        <v>876</v>
      </c>
      <c r="C40" s="63">
        <f>data!D206</f>
        <v>3039053</v>
      </c>
    </row>
    <row r="41" spans="1:3" x14ac:dyDescent="0.3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7" workbookViewId="0">
      <selection activeCell="C32" sqref="C32:D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1" t="s">
        <v>385</v>
      </c>
      <c r="B1" s="62"/>
      <c r="C1" s="62"/>
      <c r="D1" s="62"/>
      <c r="E1" s="62"/>
      <c r="F1" s="61" t="s">
        <v>877</v>
      </c>
    </row>
    <row r="3" spans="1:6" ht="20.149999999999999" customHeight="1" x14ac:dyDescent="0.35">
      <c r="A3" s="120" t="str">
        <f>"Hospital: "&amp;data!C98</f>
        <v>Hospital: Rainier Springs</v>
      </c>
      <c r="F3" s="142" t="str">
        <f>"FYE: "&amp;data!C96</f>
        <v>FYE: 12/31/2023</v>
      </c>
    </row>
    <row r="4" spans="1:6" ht="20.149999999999999" customHeight="1" x14ac:dyDescent="0.35">
      <c r="A4" s="148" t="s">
        <v>386</v>
      </c>
      <c r="B4" s="74"/>
      <c r="C4" s="74"/>
      <c r="D4" s="75"/>
      <c r="E4" s="75"/>
      <c r="F4" s="74"/>
    </row>
    <row r="5" spans="1:6" ht="20.149999999999999" customHeight="1" x14ac:dyDescent="0.35">
      <c r="A5" s="124"/>
      <c r="B5" s="150"/>
      <c r="C5" s="151" t="s">
        <v>878</v>
      </c>
      <c r="D5" s="151"/>
      <c r="E5" s="151"/>
      <c r="F5" s="151" t="s">
        <v>879</v>
      </c>
    </row>
    <row r="6" spans="1:6" ht="20.149999999999999" customHeight="1" x14ac:dyDescent="0.35">
      <c r="A6" s="152"/>
      <c r="B6" s="70"/>
      <c r="C6" s="153" t="s">
        <v>880</v>
      </c>
      <c r="D6" s="153" t="s">
        <v>388</v>
      </c>
      <c r="E6" s="153" t="s">
        <v>881</v>
      </c>
      <c r="F6" s="153" t="s">
        <v>880</v>
      </c>
    </row>
    <row r="7" spans="1:6" ht="20.149999999999999" customHeight="1" x14ac:dyDescent="0.35">
      <c r="A7" s="63">
        <v>1</v>
      </c>
      <c r="B7" s="67" t="s">
        <v>391</v>
      </c>
      <c r="C7" s="67">
        <f>data!B211</f>
        <v>3515260</v>
      </c>
      <c r="D7" s="67">
        <f>data!C211</f>
        <v>0</v>
      </c>
      <c r="E7" s="67">
        <f>data!D211</f>
        <v>0</v>
      </c>
      <c r="F7" s="67">
        <f>data!E211</f>
        <v>3515260</v>
      </c>
    </row>
    <row r="8" spans="1:6" ht="20.149999999999999" customHeight="1" x14ac:dyDescent="0.35">
      <c r="A8" s="63">
        <v>2</v>
      </c>
      <c r="B8" s="67" t="s">
        <v>392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49999999999999" customHeight="1" x14ac:dyDescent="0.35">
      <c r="A9" s="63">
        <v>3</v>
      </c>
      <c r="B9" s="67" t="s">
        <v>393</v>
      </c>
      <c r="C9" s="67">
        <f>data!B213</f>
        <v>19384740</v>
      </c>
      <c r="D9" s="67">
        <f>data!C213</f>
        <v>0</v>
      </c>
      <c r="E9" s="67">
        <f>data!D213</f>
        <v>0</v>
      </c>
      <c r="F9" s="67">
        <f>data!E213</f>
        <v>19384740</v>
      </c>
    </row>
    <row r="10" spans="1:6" ht="20.149999999999999" customHeight="1" x14ac:dyDescent="0.35">
      <c r="A10" s="63">
        <v>4</v>
      </c>
      <c r="B10" s="67" t="s">
        <v>882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49999999999999" customHeight="1" x14ac:dyDescent="0.35">
      <c r="A11" s="63">
        <v>5</v>
      </c>
      <c r="B11" s="67" t="s">
        <v>883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49999999999999" customHeight="1" x14ac:dyDescent="0.35">
      <c r="A12" s="63">
        <v>6</v>
      </c>
      <c r="B12" s="67" t="s">
        <v>884</v>
      </c>
      <c r="C12" s="67">
        <f>data!B216</f>
        <v>1107388</v>
      </c>
      <c r="D12" s="67">
        <f>data!C216</f>
        <v>0</v>
      </c>
      <c r="E12" s="67">
        <f>data!D216</f>
        <v>0</v>
      </c>
      <c r="F12" s="67">
        <f>data!E216</f>
        <v>1107388</v>
      </c>
    </row>
    <row r="13" spans="1:6" ht="20.149999999999999" customHeight="1" x14ac:dyDescent="0.35">
      <c r="A13" s="63">
        <v>7</v>
      </c>
      <c r="B13" s="67" t="s">
        <v>885</v>
      </c>
      <c r="C13" s="67">
        <f>data!B217</f>
        <v>157214</v>
      </c>
      <c r="D13" s="67">
        <f>data!C217</f>
        <v>0</v>
      </c>
      <c r="E13" s="67">
        <f>data!D217</f>
        <v>0</v>
      </c>
      <c r="F13" s="67">
        <f>data!E217</f>
        <v>157214</v>
      </c>
    </row>
    <row r="14" spans="1:6" ht="20.149999999999999" customHeight="1" x14ac:dyDescent="0.35">
      <c r="A14" s="63">
        <v>8</v>
      </c>
      <c r="B14" s="67" t="s">
        <v>398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49999999999999" customHeight="1" x14ac:dyDescent="0.35">
      <c r="A15" s="63">
        <v>9</v>
      </c>
      <c r="B15" s="67" t="s">
        <v>886</v>
      </c>
      <c r="C15" s="67">
        <f>data!B219</f>
        <v>0</v>
      </c>
      <c r="D15" s="67">
        <f>data!C219</f>
        <v>0</v>
      </c>
      <c r="E15" s="67">
        <f>data!D219</f>
        <v>0</v>
      </c>
      <c r="F15" s="67">
        <f>data!E219</f>
        <v>0</v>
      </c>
    </row>
    <row r="16" spans="1:6" ht="20.149999999999999" customHeight="1" x14ac:dyDescent="0.35">
      <c r="A16" s="63">
        <v>10</v>
      </c>
      <c r="B16" s="67" t="s">
        <v>612</v>
      </c>
      <c r="C16" s="67">
        <f>data!B220</f>
        <v>24164602</v>
      </c>
      <c r="D16" s="67">
        <f>data!C220</f>
        <v>0</v>
      </c>
      <c r="E16" s="67">
        <f>data!D220</f>
        <v>0</v>
      </c>
      <c r="F16" s="67">
        <f>data!E220</f>
        <v>24164602</v>
      </c>
    </row>
    <row r="17" spans="1:6" ht="20.149999999999999" customHeight="1" x14ac:dyDescent="0.35">
      <c r="A17" s="68"/>
      <c r="B17" s="69"/>
      <c r="C17" s="69"/>
      <c r="D17" s="69"/>
      <c r="E17" s="69"/>
      <c r="F17" s="70"/>
    </row>
    <row r="18" spans="1:6" ht="20.149999999999999" customHeight="1" x14ac:dyDescent="0.35">
      <c r="A18" s="71"/>
      <c r="F18" s="82"/>
    </row>
    <row r="19" spans="1:6" ht="20.149999999999999" customHeight="1" x14ac:dyDescent="0.35">
      <c r="A19" s="71"/>
      <c r="F19" s="82"/>
    </row>
    <row r="20" spans="1:6" ht="20.149999999999999" customHeight="1" x14ac:dyDescent="0.35">
      <c r="A20" s="148" t="s">
        <v>400</v>
      </c>
      <c r="B20" s="74"/>
      <c r="C20" s="74"/>
      <c r="D20" s="74"/>
      <c r="E20" s="74"/>
      <c r="F20" s="74"/>
    </row>
    <row r="21" spans="1:6" ht="20.149999999999999" customHeight="1" x14ac:dyDescent="0.35">
      <c r="A21" s="154"/>
      <c r="B21" s="146"/>
      <c r="C21" s="153" t="s">
        <v>878</v>
      </c>
      <c r="D21" s="4" t="s">
        <v>230</v>
      </c>
      <c r="E21" s="153"/>
      <c r="F21" s="153" t="s">
        <v>879</v>
      </c>
    </row>
    <row r="22" spans="1:6" ht="20.149999999999999" customHeight="1" x14ac:dyDescent="0.3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49999999999999" customHeight="1" x14ac:dyDescent="0.35">
      <c r="A23" s="63">
        <v>11</v>
      </c>
      <c r="B23" s="155" t="s">
        <v>391</v>
      </c>
      <c r="C23" s="155"/>
      <c r="D23" s="155"/>
      <c r="E23" s="155"/>
      <c r="F23" s="155"/>
    </row>
    <row r="24" spans="1:6" ht="20.149999999999999" customHeight="1" x14ac:dyDescent="0.35">
      <c r="A24" s="63">
        <v>12</v>
      </c>
      <c r="B24" s="67" t="s">
        <v>392</v>
      </c>
      <c r="C24" s="67">
        <f>data!B225</f>
        <v>0</v>
      </c>
      <c r="D24" s="67">
        <f>data!C225</f>
        <v>0</v>
      </c>
      <c r="E24" s="67">
        <f>data!D225</f>
        <v>0</v>
      </c>
      <c r="F24" s="67">
        <f>data!E225</f>
        <v>0</v>
      </c>
    </row>
    <row r="25" spans="1:6" ht="20.149999999999999" customHeight="1" x14ac:dyDescent="0.35">
      <c r="A25" s="63">
        <v>13</v>
      </c>
      <c r="B25" s="67" t="s">
        <v>393</v>
      </c>
      <c r="C25" s="67">
        <f>data!B226</f>
        <v>1457175</v>
      </c>
      <c r="D25" s="67">
        <f>data!C226</f>
        <v>0</v>
      </c>
      <c r="E25" s="67">
        <f>data!D226</f>
        <v>0</v>
      </c>
      <c r="F25" s="67">
        <f>data!E226</f>
        <v>1457175</v>
      </c>
    </row>
    <row r="26" spans="1:6" ht="20.149999999999999" customHeight="1" x14ac:dyDescent="0.35">
      <c r="A26" s="63">
        <v>14</v>
      </c>
      <c r="B26" s="67" t="s">
        <v>882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49999999999999" customHeight="1" x14ac:dyDescent="0.35">
      <c r="A27" s="63">
        <v>15</v>
      </c>
      <c r="B27" s="67" t="s">
        <v>883</v>
      </c>
      <c r="C27" s="67">
        <f>data!B228</f>
        <v>281624</v>
      </c>
      <c r="D27" s="67">
        <f>data!C228</f>
        <v>0</v>
      </c>
      <c r="E27" s="67">
        <f>data!D228</f>
        <v>0</v>
      </c>
      <c r="F27" s="67">
        <f>data!E228</f>
        <v>281624</v>
      </c>
    </row>
    <row r="28" spans="1:6" ht="20.149999999999999" customHeight="1" x14ac:dyDescent="0.35">
      <c r="A28" s="63">
        <v>16</v>
      </c>
      <c r="B28" s="67" t="s">
        <v>884</v>
      </c>
      <c r="C28" s="67">
        <f>data!B229</f>
        <v>0</v>
      </c>
      <c r="D28" s="67">
        <f>data!C229</f>
        <v>0</v>
      </c>
      <c r="E28" s="67">
        <f>data!D229</f>
        <v>0</v>
      </c>
      <c r="F28" s="67">
        <f>data!E229</f>
        <v>0</v>
      </c>
    </row>
    <row r="29" spans="1:6" ht="20.149999999999999" customHeight="1" x14ac:dyDescent="0.35">
      <c r="A29" s="63">
        <v>17</v>
      </c>
      <c r="B29" s="67" t="s">
        <v>885</v>
      </c>
      <c r="C29" s="67">
        <f>data!B230</f>
        <v>70413</v>
      </c>
      <c r="D29" s="67">
        <f>data!C230</f>
        <v>0</v>
      </c>
      <c r="E29" s="67">
        <f>data!D230</f>
        <v>0</v>
      </c>
      <c r="F29" s="67">
        <f>data!E230</f>
        <v>70413</v>
      </c>
    </row>
    <row r="30" spans="1:6" ht="20.149999999999999" customHeight="1" x14ac:dyDescent="0.35">
      <c r="A30" s="63">
        <v>18</v>
      </c>
      <c r="B30" s="67" t="s">
        <v>398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49999999999999" customHeight="1" x14ac:dyDescent="0.3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49999999999999" customHeight="1" x14ac:dyDescent="0.35">
      <c r="A32" s="63">
        <v>20</v>
      </c>
      <c r="B32" s="67" t="s">
        <v>612</v>
      </c>
      <c r="C32" s="67">
        <f>data!B233</f>
        <v>1809212</v>
      </c>
      <c r="D32" s="67">
        <f>data!C233</f>
        <v>0</v>
      </c>
      <c r="E32" s="67">
        <f>data!D233</f>
        <v>0</v>
      </c>
      <c r="F32" s="67">
        <f>data!E233</f>
        <v>1809212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2" t="s">
        <v>888</v>
      </c>
      <c r="B1" s="62"/>
      <c r="C1" s="62"/>
      <c r="D1" s="61" t="s">
        <v>889</v>
      </c>
    </row>
    <row r="2" spans="1:4" ht="20.149999999999999" customHeight="1" x14ac:dyDescent="0.35">
      <c r="A2" s="120" t="str">
        <f>"Hospital: "&amp;data!C98</f>
        <v>Hospital: Rainier Springs</v>
      </c>
      <c r="B2" s="69"/>
      <c r="C2" s="69"/>
      <c r="D2" s="142" t="str">
        <f>"FYE: "&amp;data!C96</f>
        <v>FYE: 12/31/2023</v>
      </c>
    </row>
    <row r="3" spans="1:4" ht="20.149999999999999" customHeight="1" x14ac:dyDescent="0.35">
      <c r="A3" s="124"/>
      <c r="B3" s="150"/>
      <c r="C3" s="150"/>
      <c r="D3" s="150"/>
    </row>
    <row r="4" spans="1:4" ht="20.149999999999999" customHeight="1" x14ac:dyDescent="0.35">
      <c r="A4" s="144"/>
      <c r="B4" s="156" t="s">
        <v>890</v>
      </c>
      <c r="C4" s="156" t="s">
        <v>891</v>
      </c>
      <c r="D4" s="157"/>
    </row>
    <row r="5" spans="1:4" ht="20.149999999999999" customHeight="1" x14ac:dyDescent="0.35">
      <c r="A5" s="124">
        <v>1</v>
      </c>
      <c r="B5" s="158"/>
      <c r="C5" s="80" t="s">
        <v>402</v>
      </c>
      <c r="D5" s="67">
        <f>data!D237</f>
        <v>394388</v>
      </c>
    </row>
    <row r="6" spans="1:4" ht="20.149999999999999" customHeight="1" x14ac:dyDescent="0.35">
      <c r="A6" s="63">
        <v>2</v>
      </c>
      <c r="B6" s="69"/>
      <c r="C6" s="142" t="s">
        <v>498</v>
      </c>
      <c r="D6" s="153"/>
    </row>
    <row r="7" spans="1:4" ht="20.149999999999999" customHeight="1" x14ac:dyDescent="0.35">
      <c r="A7" s="63">
        <v>3</v>
      </c>
      <c r="B7" s="158">
        <v>5810</v>
      </c>
      <c r="C7" s="67" t="s">
        <v>355</v>
      </c>
      <c r="D7" s="67">
        <f>data!C239</f>
        <v>6233879</v>
      </c>
    </row>
    <row r="8" spans="1:4" ht="20.149999999999999" customHeight="1" x14ac:dyDescent="0.35">
      <c r="A8" s="63">
        <v>4</v>
      </c>
      <c r="B8" s="158">
        <v>5820</v>
      </c>
      <c r="C8" s="67" t="s">
        <v>356</v>
      </c>
      <c r="D8" s="67">
        <f>data!C240</f>
        <v>606939</v>
      </c>
    </row>
    <row r="9" spans="1:4" ht="20.149999999999999" customHeight="1" x14ac:dyDescent="0.35">
      <c r="A9" s="63">
        <v>5</v>
      </c>
      <c r="B9" s="158">
        <v>5830</v>
      </c>
      <c r="C9" s="67" t="s">
        <v>368</v>
      </c>
      <c r="D9" s="67">
        <f>data!C241</f>
        <v>0</v>
      </c>
    </row>
    <row r="10" spans="1:4" ht="20.149999999999999" customHeight="1" x14ac:dyDescent="0.35">
      <c r="A10" s="63">
        <v>6</v>
      </c>
      <c r="B10" s="158">
        <v>5840</v>
      </c>
      <c r="C10" s="67" t="s">
        <v>407</v>
      </c>
      <c r="D10" s="67">
        <f>data!C242</f>
        <v>288978</v>
      </c>
    </row>
    <row r="11" spans="1:4" ht="20.149999999999999" customHeight="1" x14ac:dyDescent="0.35">
      <c r="A11" s="63">
        <v>7</v>
      </c>
      <c r="B11" s="158">
        <v>5850</v>
      </c>
      <c r="C11" s="67" t="s">
        <v>892</v>
      </c>
      <c r="D11" s="67">
        <f>data!C243</f>
        <v>4353749</v>
      </c>
    </row>
    <row r="12" spans="1:4" ht="20.149999999999999" customHeight="1" x14ac:dyDescent="0.35">
      <c r="A12" s="63">
        <v>8</v>
      </c>
      <c r="B12" s="158">
        <v>5860</v>
      </c>
      <c r="C12" s="67" t="s">
        <v>159</v>
      </c>
      <c r="D12" s="67">
        <f>data!C244</f>
        <v>39221</v>
      </c>
    </row>
    <row r="13" spans="1:4" ht="20.149999999999999" customHeight="1" x14ac:dyDescent="0.35">
      <c r="A13" s="63">
        <v>9</v>
      </c>
      <c r="B13" s="67"/>
      <c r="C13" s="67" t="s">
        <v>893</v>
      </c>
      <c r="D13" s="67">
        <f>data!D245</f>
        <v>11522766</v>
      </c>
    </row>
    <row r="14" spans="1:4" ht="20.149999999999999" customHeight="1" x14ac:dyDescent="0.35">
      <c r="A14" s="152">
        <v>10</v>
      </c>
      <c r="B14" s="79"/>
      <c r="C14" s="79"/>
      <c r="D14" s="79"/>
    </row>
    <row r="15" spans="1:4" ht="20.149999999999999" customHeight="1" x14ac:dyDescent="0.35">
      <c r="A15" s="63">
        <v>11</v>
      </c>
      <c r="B15" s="159"/>
      <c r="C15" s="159" t="s">
        <v>411</v>
      </c>
      <c r="D15" s="153"/>
    </row>
    <row r="16" spans="1:4" ht="20.149999999999999" customHeight="1" x14ac:dyDescent="0.35">
      <c r="A16" s="152">
        <v>12</v>
      </c>
      <c r="B16" s="79"/>
      <c r="C16" s="64" t="s">
        <v>894</v>
      </c>
      <c r="D16" s="63">
        <f>data!C247</f>
        <v>140</v>
      </c>
    </row>
    <row r="17" spans="1:4" ht="20.149999999999999" customHeight="1" x14ac:dyDescent="0.35">
      <c r="A17" s="63">
        <v>13</v>
      </c>
      <c r="B17" s="159"/>
      <c r="C17" s="69"/>
      <c r="D17" s="70"/>
    </row>
    <row r="18" spans="1:4" ht="20.149999999999999" customHeight="1" x14ac:dyDescent="0.35">
      <c r="A18" s="63">
        <v>14</v>
      </c>
      <c r="B18" s="160">
        <v>5900</v>
      </c>
      <c r="C18" s="67" t="s">
        <v>413</v>
      </c>
      <c r="D18" s="67">
        <f>data!C249</f>
        <v>23084824</v>
      </c>
    </row>
    <row r="19" spans="1:4" ht="20.149999999999999" customHeight="1" x14ac:dyDescent="0.35">
      <c r="A19" s="161">
        <v>15</v>
      </c>
      <c r="B19" s="158">
        <v>5910</v>
      </c>
      <c r="C19" s="80" t="s">
        <v>895</v>
      </c>
      <c r="D19" s="67">
        <f>data!C250</f>
        <v>916016.65999999992</v>
      </c>
    </row>
    <row r="20" spans="1:4" ht="20.149999999999999" customHeight="1" x14ac:dyDescent="0.35">
      <c r="A20" s="63">
        <v>16</v>
      </c>
      <c r="B20" s="67"/>
      <c r="C20" s="67"/>
      <c r="D20" s="79"/>
    </row>
    <row r="21" spans="1:4" ht="20.149999999999999" customHeight="1" x14ac:dyDescent="0.35">
      <c r="A21" s="63">
        <v>17</v>
      </c>
      <c r="B21" s="79"/>
      <c r="C21" s="79"/>
      <c r="D21" s="79"/>
    </row>
    <row r="22" spans="1:4" ht="20.149999999999999" customHeight="1" x14ac:dyDescent="0.35">
      <c r="A22" s="152">
        <v>18</v>
      </c>
      <c r="B22" s="79"/>
      <c r="C22" s="79" t="s">
        <v>896</v>
      </c>
      <c r="D22" s="67">
        <f>data!D252</f>
        <v>24000840.66</v>
      </c>
    </row>
    <row r="23" spans="1:4" ht="20.149999999999999" customHeight="1" x14ac:dyDescent="0.35">
      <c r="A23" s="161">
        <v>19</v>
      </c>
      <c r="B23" s="159"/>
      <c r="C23" s="159"/>
      <c r="D23" s="153"/>
    </row>
    <row r="24" spans="1:4" ht="20.149999999999999" customHeight="1" x14ac:dyDescent="0.35">
      <c r="A24" s="162">
        <v>20</v>
      </c>
      <c r="B24" s="158">
        <v>5970</v>
      </c>
      <c r="C24" s="67" t="s">
        <v>417</v>
      </c>
      <c r="D24" s="67">
        <f>data!C254</f>
        <v>0</v>
      </c>
    </row>
    <row r="25" spans="1:4" ht="20.149999999999999" customHeight="1" x14ac:dyDescent="0.35">
      <c r="A25" s="161">
        <v>21</v>
      </c>
      <c r="B25" s="69"/>
      <c r="C25" s="69"/>
      <c r="D25" s="153"/>
    </row>
    <row r="26" spans="1:4" ht="20.149999999999999" customHeight="1" x14ac:dyDescent="0.35">
      <c r="A26" s="63">
        <v>22</v>
      </c>
      <c r="B26" s="158">
        <v>5980</v>
      </c>
      <c r="C26" s="67" t="s">
        <v>897</v>
      </c>
      <c r="D26" s="67">
        <f>data!C255</f>
        <v>44600</v>
      </c>
    </row>
    <row r="27" spans="1:4" ht="20.149999999999999" customHeight="1" x14ac:dyDescent="0.35">
      <c r="A27" s="144">
        <v>23</v>
      </c>
      <c r="B27" s="163" t="s">
        <v>898</v>
      </c>
      <c r="C27" s="79"/>
      <c r="D27" s="67">
        <f>data!D256</f>
        <v>44600</v>
      </c>
    </row>
    <row r="28" spans="1:4" ht="20.149999999999999" customHeight="1" x14ac:dyDescent="0.35">
      <c r="A28" s="72">
        <v>24</v>
      </c>
      <c r="B28" s="138" t="s">
        <v>899</v>
      </c>
      <c r="C28" s="81"/>
      <c r="D28" s="157"/>
    </row>
    <row r="29" spans="1:4" ht="20.149999999999999" customHeight="1" x14ac:dyDescent="0.35">
      <c r="A29" s="164"/>
      <c r="B29" s="165"/>
      <c r="C29" s="165"/>
      <c r="D29" s="79"/>
    </row>
    <row r="30" spans="1:4" ht="20.149999999999999" customHeight="1" x14ac:dyDescent="0.35">
      <c r="A30" s="166"/>
      <c r="B30" s="64"/>
      <c r="C30" s="64"/>
      <c r="D30" s="79"/>
    </row>
    <row r="31" spans="1:4" ht="20.149999999999999" customHeight="1" x14ac:dyDescent="0.35">
      <c r="A31" s="166"/>
      <c r="B31" s="64"/>
      <c r="C31" s="64"/>
      <c r="D31" s="79"/>
    </row>
    <row r="32" spans="1:4" ht="20.149999999999999" customHeight="1" x14ac:dyDescent="0.35">
      <c r="A32" s="166"/>
      <c r="B32" s="64"/>
      <c r="C32" s="64"/>
      <c r="D32" s="79"/>
    </row>
    <row r="33" spans="1:4" ht="20.149999999999999" customHeight="1" x14ac:dyDescent="0.35">
      <c r="A33" s="166"/>
      <c r="B33" s="64"/>
      <c r="C33" s="64"/>
      <c r="D33" s="67"/>
    </row>
    <row r="34" spans="1:4" ht="20.149999999999999" customHeight="1" x14ac:dyDescent="0.3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57" zoomScaleNormal="100" workbookViewId="0">
      <selection activeCell="E121" sqref="E12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68" t="s">
        <v>900</v>
      </c>
      <c r="B1" s="169"/>
      <c r="C1" s="169"/>
    </row>
    <row r="2" spans="1:3" ht="20.149999999999999" customHeight="1" x14ac:dyDescent="0.35">
      <c r="A2" s="168"/>
      <c r="B2" s="169"/>
      <c r="C2" s="94" t="s">
        <v>901</v>
      </c>
    </row>
    <row r="3" spans="1:3" ht="20.149999999999999" customHeight="1" x14ac:dyDescent="0.35">
      <c r="A3" s="120" t="str">
        <f>"Hospital: "&amp;data!C98</f>
        <v>Hospital: Rainier Springs</v>
      </c>
      <c r="B3" s="170"/>
      <c r="C3" s="142" t="str">
        <f>"FYE: "&amp;data!C96</f>
        <v>FYE: 12/31/2023</v>
      </c>
    </row>
    <row r="4" spans="1:3" ht="20.149999999999999" customHeight="1" x14ac:dyDescent="0.35">
      <c r="A4" s="171"/>
      <c r="B4" s="172" t="s">
        <v>902</v>
      </c>
      <c r="C4" s="173"/>
    </row>
    <row r="5" spans="1:3" ht="20.149999999999999" customHeight="1" x14ac:dyDescent="0.35">
      <c r="A5" s="174">
        <v>1</v>
      </c>
      <c r="B5" s="175" t="s">
        <v>421</v>
      </c>
      <c r="C5" s="175"/>
    </row>
    <row r="6" spans="1:3" ht="20.149999999999999" customHeight="1" x14ac:dyDescent="0.35">
      <c r="A6" s="174">
        <v>2</v>
      </c>
      <c r="B6" s="176" t="s">
        <v>422</v>
      </c>
      <c r="C6" s="176">
        <f>data!C266</f>
        <v>0</v>
      </c>
    </row>
    <row r="7" spans="1:3" ht="20.149999999999999" customHeight="1" x14ac:dyDescent="0.35">
      <c r="A7" s="174">
        <v>3</v>
      </c>
      <c r="B7" s="176" t="s">
        <v>423</v>
      </c>
      <c r="C7" s="176">
        <f>data!C267</f>
        <v>0</v>
      </c>
    </row>
    <row r="8" spans="1:3" ht="20.149999999999999" customHeight="1" x14ac:dyDescent="0.35">
      <c r="A8" s="174">
        <v>4</v>
      </c>
      <c r="B8" s="176" t="s">
        <v>424</v>
      </c>
      <c r="C8" s="176">
        <f>data!C268</f>
        <v>8104747.1100000003</v>
      </c>
    </row>
    <row r="9" spans="1:3" ht="20.149999999999999" customHeight="1" x14ac:dyDescent="0.35">
      <c r="A9" s="174">
        <v>5</v>
      </c>
      <c r="B9" s="176" t="s">
        <v>903</v>
      </c>
      <c r="C9" s="176">
        <f>data!C269</f>
        <v>3636953.27</v>
      </c>
    </row>
    <row r="10" spans="1:3" ht="20.149999999999999" customHeight="1" x14ac:dyDescent="0.35">
      <c r="A10" s="174">
        <v>6</v>
      </c>
      <c r="B10" s="176" t="s">
        <v>904</v>
      </c>
      <c r="C10" s="176">
        <f>data!C270</f>
        <v>0</v>
      </c>
    </row>
    <row r="11" spans="1:3" ht="20.149999999999999" customHeight="1" x14ac:dyDescent="0.35">
      <c r="A11" s="174">
        <v>7</v>
      </c>
      <c r="B11" s="176" t="s">
        <v>905</v>
      </c>
      <c r="C11" s="176">
        <f>data!C271</f>
        <v>0</v>
      </c>
    </row>
    <row r="12" spans="1:3" ht="20.149999999999999" customHeight="1" x14ac:dyDescent="0.35">
      <c r="A12" s="174">
        <v>8</v>
      </c>
      <c r="B12" s="176" t="s">
        <v>428</v>
      </c>
      <c r="C12" s="176">
        <f>data!C272</f>
        <v>0</v>
      </c>
    </row>
    <row r="13" spans="1:3" ht="20.149999999999999" customHeight="1" x14ac:dyDescent="0.35">
      <c r="A13" s="174">
        <v>9</v>
      </c>
      <c r="B13" s="176" t="s">
        <v>429</v>
      </c>
      <c r="C13" s="176">
        <f>data!C273</f>
        <v>0</v>
      </c>
    </row>
    <row r="14" spans="1:3" ht="20.149999999999999" customHeight="1" x14ac:dyDescent="0.35">
      <c r="A14" s="174">
        <v>10</v>
      </c>
      <c r="B14" s="176" t="s">
        <v>430</v>
      </c>
      <c r="C14" s="176">
        <f>data!C274</f>
        <v>70574.62</v>
      </c>
    </row>
    <row r="15" spans="1:3" ht="20.149999999999999" customHeight="1" x14ac:dyDescent="0.35">
      <c r="A15" s="174">
        <v>11</v>
      </c>
      <c r="B15" s="176" t="s">
        <v>906</v>
      </c>
      <c r="C15" s="176">
        <f>data!C275</f>
        <v>0</v>
      </c>
    </row>
    <row r="16" spans="1:3" ht="20.149999999999999" customHeight="1" x14ac:dyDescent="0.35">
      <c r="A16" s="174">
        <v>12</v>
      </c>
      <c r="B16" s="176" t="s">
        <v>907</v>
      </c>
      <c r="C16" s="176">
        <f>data!D276</f>
        <v>4538368.46</v>
      </c>
    </row>
    <row r="17" spans="1:3" ht="20.149999999999999" customHeight="1" x14ac:dyDescent="0.35">
      <c r="A17" s="174">
        <v>13</v>
      </c>
      <c r="B17" s="176"/>
      <c r="C17" s="176"/>
    </row>
    <row r="18" spans="1:3" ht="20.149999999999999" customHeight="1" x14ac:dyDescent="0.35">
      <c r="A18" s="174">
        <v>14</v>
      </c>
      <c r="B18" s="177" t="s">
        <v>908</v>
      </c>
      <c r="C18" s="175"/>
    </row>
    <row r="19" spans="1:3" ht="20.149999999999999" customHeight="1" x14ac:dyDescent="0.35">
      <c r="A19" s="174">
        <v>15</v>
      </c>
      <c r="B19" s="176" t="s">
        <v>422</v>
      </c>
      <c r="C19" s="176">
        <f>data!C278</f>
        <v>0</v>
      </c>
    </row>
    <row r="20" spans="1:3" ht="20.149999999999999" customHeight="1" x14ac:dyDescent="0.35">
      <c r="A20" s="174">
        <v>16</v>
      </c>
      <c r="B20" s="176" t="s">
        <v>423</v>
      </c>
      <c r="C20" s="176">
        <f>data!C279</f>
        <v>0</v>
      </c>
    </row>
    <row r="21" spans="1:3" ht="20.149999999999999" customHeight="1" x14ac:dyDescent="0.35">
      <c r="A21" s="174">
        <v>17</v>
      </c>
      <c r="B21" s="176" t="s">
        <v>434</v>
      </c>
      <c r="C21" s="176">
        <f>data!C280</f>
        <v>0</v>
      </c>
    </row>
    <row r="22" spans="1:3" ht="20.149999999999999" customHeight="1" x14ac:dyDescent="0.35">
      <c r="A22" s="174">
        <v>18</v>
      </c>
      <c r="B22" s="176" t="s">
        <v>909</v>
      </c>
      <c r="C22" s="176">
        <f>data!D281</f>
        <v>0</v>
      </c>
    </row>
    <row r="23" spans="1:3" ht="20.149999999999999" customHeight="1" x14ac:dyDescent="0.35">
      <c r="A23" s="174">
        <v>19</v>
      </c>
      <c r="B23" s="178"/>
      <c r="C23" s="176"/>
    </row>
    <row r="24" spans="1:3" ht="20.149999999999999" customHeight="1" x14ac:dyDescent="0.35">
      <c r="A24" s="174">
        <v>20</v>
      </c>
      <c r="B24" s="177" t="s">
        <v>910</v>
      </c>
      <c r="C24" s="175"/>
    </row>
    <row r="25" spans="1:3" ht="20.149999999999999" customHeight="1" x14ac:dyDescent="0.35">
      <c r="A25" s="174">
        <v>21</v>
      </c>
      <c r="B25" s="176" t="s">
        <v>391</v>
      </c>
      <c r="C25" s="176">
        <f>data!C283</f>
        <v>3750000</v>
      </c>
    </row>
    <row r="26" spans="1:3" ht="20.149999999999999" customHeight="1" x14ac:dyDescent="0.35">
      <c r="A26" s="174">
        <v>22</v>
      </c>
      <c r="B26" s="176" t="s">
        <v>392</v>
      </c>
      <c r="C26" s="176">
        <f>data!C284</f>
        <v>0</v>
      </c>
    </row>
    <row r="27" spans="1:3" ht="20.149999999999999" customHeight="1" x14ac:dyDescent="0.35">
      <c r="A27" s="174">
        <v>23</v>
      </c>
      <c r="B27" s="176" t="s">
        <v>393</v>
      </c>
      <c r="C27" s="176">
        <f>data!C285</f>
        <v>32110000</v>
      </c>
    </row>
    <row r="28" spans="1:3" ht="20.149999999999999" customHeight="1" x14ac:dyDescent="0.35">
      <c r="A28" s="174">
        <v>24</v>
      </c>
      <c r="B28" s="176" t="s">
        <v>911</v>
      </c>
      <c r="C28" s="176">
        <f>data!C286</f>
        <v>0</v>
      </c>
    </row>
    <row r="29" spans="1:3" ht="20.149999999999999" customHeight="1" x14ac:dyDescent="0.35">
      <c r="A29" s="174">
        <v>25</v>
      </c>
      <c r="B29" s="176" t="s">
        <v>395</v>
      </c>
      <c r="C29" s="176">
        <f>data!C287</f>
        <v>1057054.1000000001</v>
      </c>
    </row>
    <row r="30" spans="1:3" ht="20.149999999999999" customHeight="1" x14ac:dyDescent="0.35">
      <c r="A30" s="174">
        <v>26</v>
      </c>
      <c r="B30" s="176" t="s">
        <v>439</v>
      </c>
      <c r="C30" s="176">
        <f>data!C288</f>
        <v>212321.72</v>
      </c>
    </row>
    <row r="31" spans="1:3" ht="20.149999999999999" customHeight="1" x14ac:dyDescent="0.35">
      <c r="A31" s="174">
        <v>27</v>
      </c>
      <c r="B31" s="176" t="s">
        <v>398</v>
      </c>
      <c r="C31" s="176">
        <f>data!C289</f>
        <v>37064.31</v>
      </c>
    </row>
    <row r="32" spans="1:3" ht="20.149999999999999" customHeight="1" x14ac:dyDescent="0.35">
      <c r="A32" s="174">
        <v>28</v>
      </c>
      <c r="B32" s="176" t="s">
        <v>399</v>
      </c>
      <c r="C32" s="176">
        <f>data!C290</f>
        <v>19900.179999999997</v>
      </c>
    </row>
    <row r="33" spans="1:3" ht="20.149999999999999" customHeight="1" x14ac:dyDescent="0.35">
      <c r="A33" s="174">
        <v>29</v>
      </c>
      <c r="B33" s="176" t="s">
        <v>612</v>
      </c>
      <c r="C33" s="176">
        <f>data!C291</f>
        <v>0</v>
      </c>
    </row>
    <row r="34" spans="1:3" ht="20.149999999999999" customHeight="1" x14ac:dyDescent="0.35">
      <c r="A34" s="174">
        <v>30</v>
      </c>
      <c r="B34" s="176" t="s">
        <v>912</v>
      </c>
      <c r="C34" s="176">
        <f>data!C292</f>
        <v>943890.26</v>
      </c>
    </row>
    <row r="35" spans="1:3" ht="20.149999999999999" customHeight="1" x14ac:dyDescent="0.35">
      <c r="A35" s="174">
        <v>31</v>
      </c>
      <c r="B35" s="176" t="s">
        <v>913</v>
      </c>
      <c r="C35" s="176">
        <f>data!D293</f>
        <v>36242450.050000004</v>
      </c>
    </row>
    <row r="36" spans="1:3" ht="20.149999999999999" customHeight="1" x14ac:dyDescent="0.35">
      <c r="A36" s="174">
        <v>32</v>
      </c>
      <c r="B36" s="178"/>
      <c r="C36" s="176"/>
    </row>
    <row r="37" spans="1:3" ht="20.149999999999999" customHeight="1" x14ac:dyDescent="0.35">
      <c r="A37" s="174">
        <v>33</v>
      </c>
      <c r="B37" s="177" t="s">
        <v>914</v>
      </c>
      <c r="C37" s="175"/>
    </row>
    <row r="38" spans="1:3" ht="20.149999999999999" customHeight="1" x14ac:dyDescent="0.35">
      <c r="A38" s="174">
        <v>34</v>
      </c>
      <c r="B38" s="176" t="s">
        <v>915</v>
      </c>
      <c r="C38" s="176">
        <f>data!C295</f>
        <v>0</v>
      </c>
    </row>
    <row r="39" spans="1:3" ht="20.149999999999999" customHeight="1" x14ac:dyDescent="0.35">
      <c r="A39" s="174">
        <v>35</v>
      </c>
      <c r="B39" s="176" t="s">
        <v>916</v>
      </c>
      <c r="C39" s="176">
        <f>data!C296</f>
        <v>0</v>
      </c>
    </row>
    <row r="40" spans="1:3" ht="20.149999999999999" customHeight="1" x14ac:dyDescent="0.35">
      <c r="A40" s="174">
        <v>36</v>
      </c>
      <c r="B40" s="176" t="s">
        <v>446</v>
      </c>
      <c r="C40" s="176">
        <f>data!C297</f>
        <v>0</v>
      </c>
    </row>
    <row r="41" spans="1:3" ht="20.149999999999999" customHeight="1" x14ac:dyDescent="0.35">
      <c r="A41" s="174">
        <v>37</v>
      </c>
      <c r="B41" s="176" t="s">
        <v>434</v>
      </c>
      <c r="C41" s="176">
        <f>data!C298</f>
        <v>0</v>
      </c>
    </row>
    <row r="42" spans="1:3" ht="20.149999999999999" customHeight="1" x14ac:dyDescent="0.35">
      <c r="A42" s="174">
        <v>38</v>
      </c>
      <c r="B42" s="176" t="s">
        <v>917</v>
      </c>
      <c r="C42" s="176">
        <f>data!D299</f>
        <v>0</v>
      </c>
    </row>
    <row r="43" spans="1:3" ht="20.149999999999999" customHeight="1" x14ac:dyDescent="0.35">
      <c r="A43" s="174">
        <v>39</v>
      </c>
      <c r="B43" s="178"/>
      <c r="C43" s="176"/>
    </row>
    <row r="44" spans="1:3" ht="20.149999999999999" customHeight="1" x14ac:dyDescent="0.35">
      <c r="A44" s="174">
        <v>40</v>
      </c>
      <c r="B44" s="177" t="s">
        <v>918</v>
      </c>
      <c r="C44" s="175"/>
    </row>
    <row r="45" spans="1:3" ht="20.149999999999999" customHeight="1" x14ac:dyDescent="0.35">
      <c r="A45" s="174">
        <v>41</v>
      </c>
      <c r="B45" s="176" t="s">
        <v>449</v>
      </c>
      <c r="C45" s="176">
        <f>data!C302</f>
        <v>10489479.880000001</v>
      </c>
    </row>
    <row r="46" spans="1:3" ht="20.149999999999999" customHeight="1" x14ac:dyDescent="0.35">
      <c r="A46" s="174">
        <v>42</v>
      </c>
      <c r="B46" s="176" t="s">
        <v>450</v>
      </c>
      <c r="C46" s="176">
        <f>data!C303</f>
        <v>0</v>
      </c>
    </row>
    <row r="47" spans="1:3" ht="20.149999999999999" customHeight="1" x14ac:dyDescent="0.35">
      <c r="A47" s="174">
        <v>43</v>
      </c>
      <c r="B47" s="176" t="s">
        <v>919</v>
      </c>
      <c r="C47" s="176">
        <f>data!C304</f>
        <v>228073</v>
      </c>
    </row>
    <row r="48" spans="1:3" ht="20.149999999999999" customHeight="1" x14ac:dyDescent="0.35">
      <c r="A48" s="174">
        <v>44</v>
      </c>
      <c r="B48" s="176" t="s">
        <v>452</v>
      </c>
      <c r="C48" s="176">
        <f>data!C305</f>
        <v>0</v>
      </c>
    </row>
    <row r="49" spans="1:3" ht="20.149999999999999" customHeight="1" x14ac:dyDescent="0.35">
      <c r="A49" s="174">
        <v>45</v>
      </c>
      <c r="B49" s="176" t="s">
        <v>920</v>
      </c>
      <c r="C49" s="176">
        <f>data!D306</f>
        <v>10717552.880000001</v>
      </c>
    </row>
    <row r="50" spans="1:3" ht="20.149999999999999" customHeight="1" x14ac:dyDescent="0.35">
      <c r="A50" s="179">
        <v>46</v>
      </c>
      <c r="B50" s="180" t="s">
        <v>921</v>
      </c>
      <c r="C50" s="176">
        <f>data!D308</f>
        <v>51498371.390000008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68" t="s">
        <v>922</v>
      </c>
      <c r="B53" s="169"/>
      <c r="C53" s="169"/>
    </row>
    <row r="54" spans="1:3" ht="20.149999999999999" customHeight="1" x14ac:dyDescent="0.35">
      <c r="A54" s="168"/>
      <c r="B54" s="169"/>
      <c r="C54" s="94" t="s">
        <v>923</v>
      </c>
    </row>
    <row r="55" spans="1:3" ht="20.149999999999999" customHeight="1" x14ac:dyDescent="0.35">
      <c r="A55" s="120" t="str">
        <f>"Hospital: "&amp;data!C98</f>
        <v>Hospital: Rainier Springs</v>
      </c>
      <c r="B55" s="170"/>
      <c r="C55" s="142" t="str">
        <f>"FYE: "&amp;data!C96</f>
        <v>FYE: 12/31/2023</v>
      </c>
    </row>
    <row r="56" spans="1:3" ht="20.149999999999999" customHeight="1" x14ac:dyDescent="0.35">
      <c r="A56" s="181"/>
      <c r="B56" s="182" t="s">
        <v>924</v>
      </c>
      <c r="C56" s="173"/>
    </row>
    <row r="57" spans="1:3" ht="20.149999999999999" customHeight="1" x14ac:dyDescent="0.35">
      <c r="A57" s="183">
        <v>1</v>
      </c>
      <c r="B57" s="168" t="s">
        <v>456</v>
      </c>
      <c r="C57" s="184"/>
    </row>
    <row r="58" spans="1:3" ht="20.149999999999999" customHeight="1" x14ac:dyDescent="0.35">
      <c r="A58" s="174">
        <v>2</v>
      </c>
      <c r="B58" s="176" t="s">
        <v>457</v>
      </c>
      <c r="C58" s="176">
        <f>data!C314</f>
        <v>311436.19999999995</v>
      </c>
    </row>
    <row r="59" spans="1:3" ht="20.149999999999999" customHeight="1" x14ac:dyDescent="0.35">
      <c r="A59" s="174">
        <v>3</v>
      </c>
      <c r="B59" s="176" t="s">
        <v>925</v>
      </c>
      <c r="C59" s="176">
        <f>data!C315</f>
        <v>1831522.3</v>
      </c>
    </row>
    <row r="60" spans="1:3" ht="20.149999999999999" customHeight="1" x14ac:dyDescent="0.35">
      <c r="A60" s="174">
        <v>4</v>
      </c>
      <c r="B60" s="176" t="s">
        <v>926</v>
      </c>
      <c r="C60" s="176">
        <f>data!C316</f>
        <v>798683.61</v>
      </c>
    </row>
    <row r="61" spans="1:3" ht="20.149999999999999" customHeight="1" x14ac:dyDescent="0.35">
      <c r="A61" s="174">
        <v>5</v>
      </c>
      <c r="B61" s="176" t="s">
        <v>460</v>
      </c>
      <c r="C61" s="176">
        <f>data!C317</f>
        <v>0</v>
      </c>
    </row>
    <row r="62" spans="1:3" ht="20.149999999999999" customHeight="1" x14ac:dyDescent="0.35">
      <c r="A62" s="174">
        <v>6</v>
      </c>
      <c r="B62" s="176" t="s">
        <v>927</v>
      </c>
      <c r="C62" s="176">
        <f>data!C318</f>
        <v>0</v>
      </c>
    </row>
    <row r="63" spans="1:3" ht="20.149999999999999" customHeight="1" x14ac:dyDescent="0.35">
      <c r="A63" s="174">
        <v>7</v>
      </c>
      <c r="B63" s="176" t="s">
        <v>928</v>
      </c>
      <c r="C63" s="176">
        <f>data!C319</f>
        <v>0</v>
      </c>
    </row>
    <row r="64" spans="1:3" ht="20.149999999999999" customHeight="1" x14ac:dyDescent="0.35">
      <c r="A64" s="174">
        <v>8</v>
      </c>
      <c r="B64" s="176" t="s">
        <v>463</v>
      </c>
      <c r="C64" s="176">
        <f>data!C320</f>
        <v>0</v>
      </c>
    </row>
    <row r="65" spans="1:3" ht="20.149999999999999" customHeight="1" x14ac:dyDescent="0.35">
      <c r="A65" s="174">
        <v>9</v>
      </c>
      <c r="B65" s="176" t="s">
        <v>464</v>
      </c>
      <c r="C65" s="176">
        <f>data!C321</f>
        <v>0</v>
      </c>
    </row>
    <row r="66" spans="1:3" ht="20.149999999999999" customHeight="1" x14ac:dyDescent="0.35">
      <c r="A66" s="174">
        <v>10</v>
      </c>
      <c r="B66" s="176" t="s">
        <v>465</v>
      </c>
      <c r="C66" s="176">
        <f>data!C322</f>
        <v>288704</v>
      </c>
    </row>
    <row r="67" spans="1:3" ht="20.149999999999999" customHeight="1" x14ac:dyDescent="0.35">
      <c r="A67" s="174">
        <v>11</v>
      </c>
      <c r="B67" s="176" t="s">
        <v>929</v>
      </c>
      <c r="C67" s="176">
        <f>data!C323</f>
        <v>0</v>
      </c>
    </row>
    <row r="68" spans="1:3" ht="20.149999999999999" customHeight="1" x14ac:dyDescent="0.35">
      <c r="A68" s="174">
        <v>12</v>
      </c>
      <c r="B68" s="176" t="s">
        <v>930</v>
      </c>
      <c r="C68" s="176">
        <f>data!D324</f>
        <v>3230346.11</v>
      </c>
    </row>
    <row r="69" spans="1:3" ht="20.149999999999999" customHeight="1" x14ac:dyDescent="0.35">
      <c r="A69" s="174">
        <v>13</v>
      </c>
      <c r="B69" s="178"/>
      <c r="C69" s="176"/>
    </row>
    <row r="70" spans="1:3" ht="20.149999999999999" customHeight="1" x14ac:dyDescent="0.35">
      <c r="A70" s="174">
        <v>14</v>
      </c>
      <c r="B70" s="177" t="s">
        <v>931</v>
      </c>
      <c r="C70" s="175"/>
    </row>
    <row r="71" spans="1:3" ht="20.149999999999999" customHeight="1" x14ac:dyDescent="0.35">
      <c r="A71" s="174">
        <v>15</v>
      </c>
      <c r="B71" s="176" t="s">
        <v>469</v>
      </c>
      <c r="C71" s="176">
        <f>data!C326</f>
        <v>0</v>
      </c>
    </row>
    <row r="72" spans="1:3" ht="20.149999999999999" customHeight="1" x14ac:dyDescent="0.35">
      <c r="A72" s="174">
        <v>16</v>
      </c>
      <c r="B72" s="176" t="s">
        <v>932</v>
      </c>
      <c r="C72" s="176">
        <f>data!C327</f>
        <v>0</v>
      </c>
    </row>
    <row r="73" spans="1:3" ht="20.149999999999999" customHeight="1" x14ac:dyDescent="0.35">
      <c r="A73" s="174">
        <v>17</v>
      </c>
      <c r="B73" s="176" t="s">
        <v>471</v>
      </c>
      <c r="C73" s="176">
        <f>data!C328</f>
        <v>0</v>
      </c>
    </row>
    <row r="74" spans="1:3" ht="20.149999999999999" customHeight="1" x14ac:dyDescent="0.35">
      <c r="A74" s="174">
        <v>18</v>
      </c>
      <c r="B74" s="176" t="s">
        <v>933</v>
      </c>
      <c r="C74" s="176">
        <f>data!D329</f>
        <v>0</v>
      </c>
    </row>
    <row r="75" spans="1:3" ht="20.149999999999999" customHeight="1" x14ac:dyDescent="0.35">
      <c r="A75" s="174">
        <v>19</v>
      </c>
      <c r="B75" s="178"/>
      <c r="C75" s="176"/>
    </row>
    <row r="76" spans="1:3" ht="20.149999999999999" customHeight="1" x14ac:dyDescent="0.35">
      <c r="A76" s="174">
        <v>20</v>
      </c>
      <c r="B76" s="177" t="s">
        <v>473</v>
      </c>
      <c r="C76" s="175"/>
    </row>
    <row r="77" spans="1:3" ht="20.149999999999999" customHeight="1" x14ac:dyDescent="0.35">
      <c r="A77" s="174">
        <v>21</v>
      </c>
      <c r="B77" s="176" t="s">
        <v>474</v>
      </c>
      <c r="C77" s="176">
        <f>data!C331</f>
        <v>0</v>
      </c>
    </row>
    <row r="78" spans="1:3" ht="20.149999999999999" customHeight="1" x14ac:dyDescent="0.35">
      <c r="A78" s="174">
        <v>22</v>
      </c>
      <c r="B78" s="176" t="s">
        <v>934</v>
      </c>
      <c r="C78" s="176">
        <f>data!C332</f>
        <v>0</v>
      </c>
    </row>
    <row r="79" spans="1:3" ht="20.149999999999999" customHeight="1" x14ac:dyDescent="0.35">
      <c r="A79" s="174">
        <v>23</v>
      </c>
      <c r="B79" s="176" t="s">
        <v>476</v>
      </c>
      <c r="C79" s="176">
        <f>data!C333</f>
        <v>0</v>
      </c>
    </row>
    <row r="80" spans="1:3" ht="20.149999999999999" customHeight="1" x14ac:dyDescent="0.35">
      <c r="A80" s="174">
        <v>24</v>
      </c>
      <c r="B80" s="176" t="s">
        <v>935</v>
      </c>
      <c r="C80" s="176">
        <f>data!C334</f>
        <v>44665394.399999999</v>
      </c>
    </row>
    <row r="81" spans="1:3" ht="20.149999999999999" customHeight="1" x14ac:dyDescent="0.35">
      <c r="A81" s="174">
        <v>25</v>
      </c>
      <c r="B81" s="176" t="s">
        <v>478</v>
      </c>
      <c r="C81" s="176">
        <f>data!C335</f>
        <v>0</v>
      </c>
    </row>
    <row r="82" spans="1:3" ht="20.149999999999999" customHeight="1" x14ac:dyDescent="0.35">
      <c r="A82" s="174">
        <v>26</v>
      </c>
      <c r="B82" s="176" t="s">
        <v>936</v>
      </c>
      <c r="C82" s="176">
        <f>data!C336</f>
        <v>4976324.47</v>
      </c>
    </row>
    <row r="83" spans="1:3" ht="20.149999999999999" customHeight="1" x14ac:dyDescent="0.35">
      <c r="A83" s="174">
        <v>27</v>
      </c>
      <c r="B83" s="176" t="s">
        <v>480</v>
      </c>
      <c r="C83" s="176">
        <f>data!C337</f>
        <v>0</v>
      </c>
    </row>
    <row r="84" spans="1:3" ht="20.149999999999999" customHeight="1" x14ac:dyDescent="0.35">
      <c r="A84" s="174">
        <v>28</v>
      </c>
      <c r="B84" s="176" t="s">
        <v>481</v>
      </c>
      <c r="C84" s="176">
        <f>data!C338</f>
        <v>120551.31</v>
      </c>
    </row>
    <row r="85" spans="1:3" ht="20.149999999999999" customHeight="1" x14ac:dyDescent="0.35">
      <c r="A85" s="174">
        <v>29</v>
      </c>
      <c r="B85" s="176" t="s">
        <v>612</v>
      </c>
      <c r="C85" s="176">
        <f>data!D339</f>
        <v>49762270.18</v>
      </c>
    </row>
    <row r="86" spans="1:3" ht="20.149999999999999" customHeight="1" x14ac:dyDescent="0.35">
      <c r="A86" s="174">
        <v>30</v>
      </c>
      <c r="B86" s="176" t="s">
        <v>937</v>
      </c>
      <c r="C86" s="176">
        <f>data!D340</f>
        <v>0</v>
      </c>
    </row>
    <row r="87" spans="1:3" ht="20.149999999999999" customHeight="1" x14ac:dyDescent="0.35">
      <c r="A87" s="174">
        <v>31</v>
      </c>
      <c r="B87" s="176" t="s">
        <v>938</v>
      </c>
      <c r="C87" s="176">
        <f>data!D341</f>
        <v>49762270.18</v>
      </c>
    </row>
    <row r="88" spans="1:3" ht="20.149999999999999" customHeight="1" x14ac:dyDescent="0.35">
      <c r="A88" s="174">
        <v>32</v>
      </c>
      <c r="B88" s="178"/>
      <c r="C88" s="176"/>
    </row>
    <row r="89" spans="1:3" ht="20.149999999999999" customHeight="1" x14ac:dyDescent="0.35">
      <c r="A89" s="174">
        <v>33</v>
      </c>
      <c r="B89" s="185" t="s">
        <v>939</v>
      </c>
      <c r="C89" s="176">
        <f>data!C343</f>
        <v>0</v>
      </c>
    </row>
    <row r="90" spans="1:3" ht="20.149999999999999" customHeight="1" x14ac:dyDescent="0.35">
      <c r="A90" s="174">
        <v>34</v>
      </c>
      <c r="B90" s="176"/>
      <c r="C90" s="176"/>
    </row>
    <row r="91" spans="1:3" ht="20.149999999999999" customHeight="1" x14ac:dyDescent="0.35">
      <c r="A91" s="174">
        <v>35</v>
      </c>
      <c r="B91" s="177" t="s">
        <v>940</v>
      </c>
      <c r="C91" s="175"/>
    </row>
    <row r="92" spans="1:3" ht="20.149999999999999" customHeight="1" x14ac:dyDescent="0.35">
      <c r="A92" s="174">
        <v>36</v>
      </c>
      <c r="B92" s="176" t="s">
        <v>485</v>
      </c>
      <c r="C92" s="176">
        <f>data!C345</f>
        <v>0</v>
      </c>
    </row>
    <row r="93" spans="1:3" ht="20.149999999999999" customHeight="1" x14ac:dyDescent="0.35">
      <c r="A93" s="174">
        <v>37</v>
      </c>
      <c r="B93" s="178"/>
      <c r="C93" s="176"/>
    </row>
    <row r="94" spans="1:3" ht="20.149999999999999" customHeight="1" x14ac:dyDescent="0.35">
      <c r="A94" s="174">
        <v>38</v>
      </c>
      <c r="B94" s="176" t="s">
        <v>486</v>
      </c>
      <c r="C94" s="176">
        <f>data!C346</f>
        <v>0</v>
      </c>
    </row>
    <row r="95" spans="1:3" ht="20.149999999999999" customHeight="1" x14ac:dyDescent="0.35">
      <c r="A95" s="174">
        <v>39</v>
      </c>
      <c r="B95" s="178"/>
      <c r="C95" s="176"/>
    </row>
    <row r="96" spans="1:3" ht="20.149999999999999" customHeight="1" x14ac:dyDescent="0.35">
      <c r="A96" s="174">
        <v>40</v>
      </c>
      <c r="B96" s="176" t="s">
        <v>941</v>
      </c>
      <c r="C96" s="176">
        <f>data!C347</f>
        <v>0</v>
      </c>
    </row>
    <row r="97" spans="1:3" ht="20.149999999999999" customHeight="1" x14ac:dyDescent="0.35">
      <c r="A97" s="174">
        <v>41</v>
      </c>
      <c r="B97" s="178"/>
      <c r="C97" s="176"/>
    </row>
    <row r="98" spans="1:3" ht="20.149999999999999" customHeight="1" x14ac:dyDescent="0.35">
      <c r="A98" s="174">
        <v>42</v>
      </c>
      <c r="B98" s="176" t="s">
        <v>942</v>
      </c>
      <c r="C98" s="176">
        <f>data!C348</f>
        <v>-1494245.11</v>
      </c>
    </row>
    <row r="99" spans="1:3" ht="20.149999999999999" customHeight="1" x14ac:dyDescent="0.35">
      <c r="A99" s="174">
        <v>43</v>
      </c>
      <c r="B99" s="176" t="s">
        <v>943</v>
      </c>
      <c r="C99" s="176"/>
    </row>
    <row r="100" spans="1:3" ht="20.149999999999999" customHeight="1" x14ac:dyDescent="0.35">
      <c r="A100" s="174">
        <v>44</v>
      </c>
      <c r="B100" s="178"/>
      <c r="C100" s="176"/>
    </row>
    <row r="101" spans="1:3" ht="20.149999999999999" customHeight="1" x14ac:dyDescent="0.35">
      <c r="A101" s="174">
        <v>45</v>
      </c>
      <c r="B101" s="176" t="s">
        <v>944</v>
      </c>
      <c r="C101" s="176">
        <f>data!C349</f>
        <v>0</v>
      </c>
    </row>
    <row r="102" spans="1:3" ht="20.149999999999999" customHeight="1" x14ac:dyDescent="0.35">
      <c r="A102" s="174">
        <v>46</v>
      </c>
      <c r="B102" s="176" t="s">
        <v>945</v>
      </c>
      <c r="C102" s="176">
        <f>data!C343+data!C345+data!C346+data!C347+data!C348-data!C349</f>
        <v>-1494245.11</v>
      </c>
    </row>
    <row r="103" spans="1:3" ht="20.149999999999999" customHeight="1" x14ac:dyDescent="0.35">
      <c r="A103" s="174">
        <v>47</v>
      </c>
      <c r="B103" s="176" t="s">
        <v>946</v>
      </c>
      <c r="C103" s="176">
        <f>data!D352</f>
        <v>51498371.390000008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68" t="s">
        <v>947</v>
      </c>
      <c r="B106" s="169"/>
      <c r="C106" s="169"/>
    </row>
    <row r="107" spans="1:3" ht="20.149999999999999" customHeight="1" x14ac:dyDescent="0.35">
      <c r="A107" s="170"/>
      <c r="C107" s="94" t="s">
        <v>948</v>
      </c>
    </row>
    <row r="108" spans="1:3" ht="20.149999999999999" customHeight="1" x14ac:dyDescent="0.35">
      <c r="A108" s="120" t="str">
        <f>"Hospital: "&amp;data!C98</f>
        <v>Hospital: Rainier Springs</v>
      </c>
      <c r="B108" s="170"/>
      <c r="C108" s="142" t="str">
        <f>"FYE: "&amp;data!C96</f>
        <v>FYE: 12/31/2023</v>
      </c>
    </row>
    <row r="109" spans="1:3" ht="20.149999999999999" customHeight="1" x14ac:dyDescent="0.35">
      <c r="A109" s="171"/>
      <c r="B109" s="186"/>
      <c r="C109" s="187"/>
    </row>
    <row r="110" spans="1:3" ht="20.149999999999999" customHeight="1" x14ac:dyDescent="0.35">
      <c r="A110" s="174">
        <v>1</v>
      </c>
      <c r="B110" s="177" t="s">
        <v>949</v>
      </c>
      <c r="C110" s="175"/>
    </row>
    <row r="111" spans="1:3" ht="20.149999999999999" customHeight="1" x14ac:dyDescent="0.35">
      <c r="A111" s="174">
        <v>2</v>
      </c>
      <c r="B111" s="176" t="s">
        <v>494</v>
      </c>
      <c r="C111" s="176">
        <f>data!C358</f>
        <v>57520439</v>
      </c>
    </row>
    <row r="112" spans="1:3" ht="20.149999999999999" customHeight="1" x14ac:dyDescent="0.35">
      <c r="A112" s="174">
        <v>3</v>
      </c>
      <c r="B112" s="176" t="s">
        <v>495</v>
      </c>
      <c r="C112" s="176">
        <f>data!C359</f>
        <v>5790088</v>
      </c>
    </row>
    <row r="113" spans="1:3" ht="20.149999999999999" customHeight="1" x14ac:dyDescent="0.35">
      <c r="A113" s="174">
        <v>4</v>
      </c>
      <c r="B113" s="176" t="s">
        <v>950</v>
      </c>
      <c r="C113" s="176">
        <f>data!D360</f>
        <v>63310527</v>
      </c>
    </row>
    <row r="114" spans="1:3" ht="20.149999999999999" customHeight="1" x14ac:dyDescent="0.35">
      <c r="A114" s="174">
        <v>5</v>
      </c>
      <c r="B114" s="178"/>
      <c r="C114" s="176"/>
    </row>
    <row r="115" spans="1:3" ht="20.149999999999999" customHeight="1" x14ac:dyDescent="0.35">
      <c r="A115" s="174">
        <v>6</v>
      </c>
      <c r="B115" s="177" t="s">
        <v>951</v>
      </c>
      <c r="C115" s="175"/>
    </row>
    <row r="116" spans="1:3" ht="20.149999999999999" customHeight="1" x14ac:dyDescent="0.35">
      <c r="A116" s="174">
        <v>7</v>
      </c>
      <c r="B116" s="188" t="s">
        <v>952</v>
      </c>
      <c r="C116" s="189">
        <f>data!C362</f>
        <v>227105.81</v>
      </c>
    </row>
    <row r="117" spans="1:3" ht="20.149999999999999" customHeight="1" x14ac:dyDescent="0.35">
      <c r="A117" s="174">
        <v>8</v>
      </c>
      <c r="B117" s="176" t="s">
        <v>498</v>
      </c>
      <c r="C117" s="189">
        <f>data!C363</f>
        <v>12472678</v>
      </c>
    </row>
    <row r="118" spans="1:3" ht="20.149999999999999" customHeight="1" x14ac:dyDescent="0.35">
      <c r="A118" s="174">
        <v>9</v>
      </c>
      <c r="B118" s="176" t="s">
        <v>953</v>
      </c>
      <c r="C118" s="189">
        <f>data!C364</f>
        <v>23130913.18</v>
      </c>
    </row>
    <row r="119" spans="1:3" ht="20.149999999999999" customHeight="1" x14ac:dyDescent="0.35">
      <c r="A119" s="174">
        <v>10</v>
      </c>
      <c r="B119" s="176" t="s">
        <v>954</v>
      </c>
      <c r="C119" s="189">
        <f>data!C365</f>
        <v>131899.22999999998</v>
      </c>
    </row>
    <row r="120" spans="1:3" ht="20.149999999999999" customHeight="1" x14ac:dyDescent="0.35">
      <c r="A120" s="174">
        <v>11</v>
      </c>
      <c r="B120" s="176" t="s">
        <v>898</v>
      </c>
      <c r="C120" s="189">
        <f>data!D366</f>
        <v>35962596.219999999</v>
      </c>
    </row>
    <row r="121" spans="1:3" ht="20.149999999999999" customHeight="1" x14ac:dyDescent="0.35">
      <c r="A121" s="174">
        <v>12</v>
      </c>
      <c r="B121" s="176" t="s">
        <v>955</v>
      </c>
      <c r="C121" s="189">
        <f>data!D367</f>
        <v>27347930.780000001</v>
      </c>
    </row>
    <row r="122" spans="1:3" ht="20.149999999999999" customHeight="1" x14ac:dyDescent="0.35">
      <c r="A122" s="174">
        <v>13</v>
      </c>
      <c r="B122" s="178"/>
      <c r="C122" s="176"/>
    </row>
    <row r="123" spans="1:3" ht="20.149999999999999" customHeight="1" x14ac:dyDescent="0.35">
      <c r="A123" s="174">
        <v>14</v>
      </c>
      <c r="B123" s="177" t="s">
        <v>502</v>
      </c>
      <c r="C123" s="175"/>
    </row>
    <row r="124" spans="1:3" ht="20.149999999999999" customHeight="1" x14ac:dyDescent="0.35">
      <c r="A124" s="174">
        <v>15</v>
      </c>
      <c r="B124" s="190" t="s">
        <v>503</v>
      </c>
      <c r="C124" s="191"/>
    </row>
    <row r="125" spans="1:3" ht="20.149999999999999" customHeight="1" x14ac:dyDescent="0.35">
      <c r="A125" s="195" t="s">
        <v>956</v>
      </c>
      <c r="B125" s="192" t="s">
        <v>504</v>
      </c>
      <c r="C125" s="191">
        <f>data!C370</f>
        <v>0</v>
      </c>
    </row>
    <row r="126" spans="1:3" ht="20.149999999999999" customHeight="1" x14ac:dyDescent="0.35">
      <c r="A126" s="195" t="s">
        <v>957</v>
      </c>
      <c r="B126" s="192" t="s">
        <v>505</v>
      </c>
      <c r="C126" s="191">
        <f>data!C371</f>
        <v>0</v>
      </c>
    </row>
    <row r="127" spans="1:3" ht="20.149999999999999" customHeight="1" x14ac:dyDescent="0.35">
      <c r="A127" s="195" t="s">
        <v>958</v>
      </c>
      <c r="B127" s="192" t="s">
        <v>506</v>
      </c>
      <c r="C127" s="191">
        <f>data!C372</f>
        <v>0</v>
      </c>
    </row>
    <row r="128" spans="1:3" ht="20.149999999999999" customHeight="1" x14ac:dyDescent="0.35">
      <c r="A128" s="195" t="s">
        <v>959</v>
      </c>
      <c r="B128" s="192" t="s">
        <v>507</v>
      </c>
      <c r="C128" s="191">
        <f>data!C373</f>
        <v>0</v>
      </c>
    </row>
    <row r="129" spans="1:3" ht="20.149999999999999" customHeight="1" x14ac:dyDescent="0.35">
      <c r="A129" s="195" t="s">
        <v>960</v>
      </c>
      <c r="B129" s="192" t="s">
        <v>508</v>
      </c>
      <c r="C129" s="191">
        <f>data!C374</f>
        <v>0</v>
      </c>
    </row>
    <row r="130" spans="1:3" ht="20.149999999999999" customHeight="1" x14ac:dyDescent="0.35">
      <c r="A130" s="195" t="s">
        <v>961</v>
      </c>
      <c r="B130" s="192" t="s">
        <v>509</v>
      </c>
      <c r="C130" s="191">
        <f>data!C375</f>
        <v>0</v>
      </c>
    </row>
    <row r="131" spans="1:3" ht="20.149999999999999" customHeight="1" x14ac:dyDescent="0.35">
      <c r="A131" s="195" t="s">
        <v>962</v>
      </c>
      <c r="B131" s="192" t="s">
        <v>510</v>
      </c>
      <c r="C131" s="191">
        <f>data!C376</f>
        <v>0</v>
      </c>
    </row>
    <row r="132" spans="1:3" ht="20.149999999999999" customHeight="1" x14ac:dyDescent="0.35">
      <c r="A132" s="195" t="s">
        <v>963</v>
      </c>
      <c r="B132" s="192" t="s">
        <v>511</v>
      </c>
      <c r="C132" s="191">
        <f>data!C377</f>
        <v>0</v>
      </c>
    </row>
    <row r="133" spans="1:3" ht="20.149999999999999" customHeight="1" x14ac:dyDescent="0.35">
      <c r="A133" s="195" t="s">
        <v>964</v>
      </c>
      <c r="B133" s="192" t="s">
        <v>512</v>
      </c>
      <c r="C133" s="191">
        <f>data!C378</f>
        <v>0</v>
      </c>
    </row>
    <row r="134" spans="1:3" ht="20.149999999999999" customHeight="1" x14ac:dyDescent="0.35">
      <c r="A134" s="195" t="s">
        <v>965</v>
      </c>
      <c r="B134" s="192" t="s">
        <v>513</v>
      </c>
      <c r="C134" s="191">
        <f>data!C379</f>
        <v>0</v>
      </c>
    </row>
    <row r="135" spans="1:3" ht="20.149999999999999" customHeight="1" x14ac:dyDescent="0.35">
      <c r="A135" s="195" t="s">
        <v>966</v>
      </c>
      <c r="B135" s="192" t="s">
        <v>514</v>
      </c>
      <c r="C135" s="191">
        <f>data!C380</f>
        <v>1086651</v>
      </c>
    </row>
    <row r="136" spans="1:3" ht="20.149999999999999" customHeight="1" x14ac:dyDescent="0.35">
      <c r="A136" s="174">
        <v>16</v>
      </c>
      <c r="B136" s="176" t="s">
        <v>516</v>
      </c>
      <c r="C136" s="191">
        <f>data!C381</f>
        <v>0</v>
      </c>
    </row>
    <row r="137" spans="1:3" ht="20.149999999999999" customHeight="1" x14ac:dyDescent="0.35">
      <c r="A137" s="174">
        <v>17</v>
      </c>
      <c r="B137" s="176" t="s">
        <v>967</v>
      </c>
      <c r="C137" s="189">
        <f>data!D383</f>
        <v>1086651</v>
      </c>
    </row>
    <row r="138" spans="1:3" ht="20.149999999999999" customHeight="1" x14ac:dyDescent="0.35">
      <c r="A138" s="174">
        <v>18</v>
      </c>
      <c r="B138" s="176" t="s">
        <v>968</v>
      </c>
      <c r="C138" s="189">
        <f>data!D384</f>
        <v>28434581.780000001</v>
      </c>
    </row>
    <row r="139" spans="1:3" ht="20.149999999999999" customHeight="1" x14ac:dyDescent="0.35">
      <c r="A139" s="174">
        <v>19</v>
      </c>
      <c r="B139" s="178"/>
      <c r="C139" s="176"/>
    </row>
    <row r="140" spans="1:3" ht="20.149999999999999" customHeight="1" x14ac:dyDescent="0.35">
      <c r="A140" s="174">
        <v>20</v>
      </c>
      <c r="B140" s="177" t="s">
        <v>969</v>
      </c>
      <c r="C140" s="175"/>
    </row>
    <row r="141" spans="1:3" ht="20.149999999999999" customHeight="1" x14ac:dyDescent="0.35">
      <c r="A141" s="174">
        <v>21</v>
      </c>
      <c r="B141" s="176" t="s">
        <v>520</v>
      </c>
      <c r="C141" s="189">
        <f>data!C389</f>
        <v>12488885</v>
      </c>
    </row>
    <row r="142" spans="1:3" ht="20.149999999999999" customHeight="1" x14ac:dyDescent="0.35">
      <c r="A142" s="174">
        <v>22</v>
      </c>
      <c r="B142" s="176" t="s">
        <v>11</v>
      </c>
      <c r="C142" s="189">
        <f>data!C390</f>
        <v>1971000.49</v>
      </c>
    </row>
    <row r="143" spans="1:3" ht="20.149999999999999" customHeight="1" x14ac:dyDescent="0.35">
      <c r="A143" s="174">
        <v>23</v>
      </c>
      <c r="B143" s="176" t="s">
        <v>264</v>
      </c>
      <c r="C143" s="189">
        <f>data!C391</f>
        <v>571346.19999999995</v>
      </c>
    </row>
    <row r="144" spans="1:3" ht="20.149999999999999" customHeight="1" x14ac:dyDescent="0.35">
      <c r="A144" s="174">
        <v>24</v>
      </c>
      <c r="B144" s="176" t="s">
        <v>265</v>
      </c>
      <c r="C144" s="189">
        <f>data!C392</f>
        <v>391326.65</v>
      </c>
    </row>
    <row r="145" spans="1:3" ht="20.149999999999999" customHeight="1" x14ac:dyDescent="0.35">
      <c r="A145" s="174">
        <v>25</v>
      </c>
      <c r="B145" s="176" t="s">
        <v>970</v>
      </c>
      <c r="C145" s="189">
        <f>data!C393</f>
        <v>0</v>
      </c>
    </row>
    <row r="146" spans="1:3" ht="20.149999999999999" customHeight="1" x14ac:dyDescent="0.35">
      <c r="A146" s="174">
        <v>26</v>
      </c>
      <c r="B146" s="176" t="s">
        <v>971</v>
      </c>
      <c r="C146" s="189">
        <f>data!C394</f>
        <v>421363.8</v>
      </c>
    </row>
    <row r="147" spans="1:3" ht="20.149999999999999" customHeight="1" x14ac:dyDescent="0.35">
      <c r="A147" s="174">
        <v>27</v>
      </c>
      <c r="B147" s="176" t="s">
        <v>16</v>
      </c>
      <c r="C147" s="189">
        <f>data!C395</f>
        <v>1095982</v>
      </c>
    </row>
    <row r="148" spans="1:3" ht="20.149999999999999" customHeight="1" x14ac:dyDescent="0.35">
      <c r="A148" s="174">
        <v>28</v>
      </c>
      <c r="B148" s="176" t="s">
        <v>972</v>
      </c>
      <c r="C148" s="189">
        <f>data!C396</f>
        <v>57885</v>
      </c>
    </row>
    <row r="149" spans="1:3" ht="20.149999999999999" customHeight="1" x14ac:dyDescent="0.35">
      <c r="A149" s="174">
        <v>29</v>
      </c>
      <c r="B149" s="176" t="s">
        <v>525</v>
      </c>
      <c r="C149" s="189">
        <f>data!C397</f>
        <v>0</v>
      </c>
    </row>
    <row r="150" spans="1:3" ht="20.149999999999999" customHeight="1" x14ac:dyDescent="0.35">
      <c r="A150" s="174">
        <v>30</v>
      </c>
      <c r="B150" s="176" t="s">
        <v>973</v>
      </c>
      <c r="C150" s="189">
        <f>data!C398</f>
        <v>0</v>
      </c>
    </row>
    <row r="151" spans="1:3" ht="20.149999999999999" customHeight="1" x14ac:dyDescent="0.35">
      <c r="A151" s="174">
        <v>31</v>
      </c>
      <c r="B151" s="176" t="s">
        <v>527</v>
      </c>
      <c r="C151" s="189">
        <f>data!C399</f>
        <v>3039053</v>
      </c>
    </row>
    <row r="152" spans="1:3" ht="20.149999999999999" customHeight="1" x14ac:dyDescent="0.35">
      <c r="A152" s="174">
        <v>32</v>
      </c>
      <c r="B152" s="176" t="s">
        <v>269</v>
      </c>
      <c r="C152" s="189"/>
    </row>
    <row r="153" spans="1:3" ht="20.149999999999999" customHeight="1" x14ac:dyDescent="0.35">
      <c r="A153" s="195" t="s">
        <v>974</v>
      </c>
      <c r="B153" s="193" t="s">
        <v>270</v>
      </c>
      <c r="C153" s="189">
        <f>data!C401</f>
        <v>0</v>
      </c>
    </row>
    <row r="154" spans="1:3" ht="20.149999999999999" customHeight="1" x14ac:dyDescent="0.35">
      <c r="A154" s="195" t="s">
        <v>975</v>
      </c>
      <c r="B154" s="193" t="s">
        <v>271</v>
      </c>
      <c r="C154" s="189">
        <f>data!C402</f>
        <v>3451939.88</v>
      </c>
    </row>
    <row r="155" spans="1:3" ht="20.149999999999999" customHeight="1" x14ac:dyDescent="0.35">
      <c r="A155" s="195" t="s">
        <v>976</v>
      </c>
      <c r="B155" s="193" t="s">
        <v>977</v>
      </c>
      <c r="C155" s="189">
        <f>data!C403</f>
        <v>151675.13</v>
      </c>
    </row>
    <row r="156" spans="1:3" ht="20.149999999999999" customHeight="1" x14ac:dyDescent="0.35">
      <c r="A156" s="195" t="s">
        <v>978</v>
      </c>
      <c r="B156" s="193" t="s">
        <v>273</v>
      </c>
      <c r="C156" s="189">
        <f>data!C404</f>
        <v>197560.75</v>
      </c>
    </row>
    <row r="157" spans="1:3" ht="20.149999999999999" customHeight="1" x14ac:dyDescent="0.35">
      <c r="A157" s="195" t="s">
        <v>979</v>
      </c>
      <c r="B157" s="193" t="s">
        <v>274</v>
      </c>
      <c r="C157" s="189">
        <f>data!C405</f>
        <v>87442.33</v>
      </c>
    </row>
    <row r="158" spans="1:3" ht="20.149999999999999" customHeight="1" x14ac:dyDescent="0.35">
      <c r="A158" s="195" t="s">
        <v>980</v>
      </c>
      <c r="B158" s="193" t="s">
        <v>275</v>
      </c>
      <c r="C158" s="189">
        <f>data!C406</f>
        <v>145791.20000000001</v>
      </c>
    </row>
    <row r="159" spans="1:3" ht="20.149999999999999" customHeight="1" x14ac:dyDescent="0.35">
      <c r="A159" s="195" t="s">
        <v>981</v>
      </c>
      <c r="B159" s="193" t="s">
        <v>276</v>
      </c>
      <c r="C159" s="189">
        <f>data!C407</f>
        <v>477880.37</v>
      </c>
    </row>
    <row r="160" spans="1:3" ht="20.149999999999999" customHeight="1" x14ac:dyDescent="0.35">
      <c r="A160" s="195" t="s">
        <v>982</v>
      </c>
      <c r="B160" s="193" t="s">
        <v>277</v>
      </c>
      <c r="C160" s="189">
        <f>data!C408</f>
        <v>194877.8</v>
      </c>
    </row>
    <row r="161" spans="1:3" ht="20.149999999999999" customHeight="1" x14ac:dyDescent="0.35">
      <c r="A161" s="195" t="s">
        <v>983</v>
      </c>
      <c r="B161" s="193" t="s">
        <v>278</v>
      </c>
      <c r="C161" s="189">
        <f>data!C409</f>
        <v>680284.52</v>
      </c>
    </row>
    <row r="162" spans="1:3" ht="20.149999999999999" customHeight="1" x14ac:dyDescent="0.35">
      <c r="A162" s="195" t="s">
        <v>984</v>
      </c>
      <c r="B162" s="193" t="s">
        <v>279</v>
      </c>
      <c r="C162" s="189">
        <f>data!C410</f>
        <v>47750.239999999998</v>
      </c>
    </row>
    <row r="163" spans="1:3" ht="20.149999999999999" customHeight="1" x14ac:dyDescent="0.35">
      <c r="A163" s="195" t="s">
        <v>985</v>
      </c>
      <c r="B163" s="193" t="s">
        <v>280</v>
      </c>
      <c r="C163" s="189">
        <f>data!C411</f>
        <v>51870.68</v>
      </c>
    </row>
    <row r="164" spans="1:3" ht="20.149999999999999" customHeight="1" x14ac:dyDescent="0.35">
      <c r="A164" s="195" t="s">
        <v>986</v>
      </c>
      <c r="B164" s="193" t="s">
        <v>281</v>
      </c>
      <c r="C164" s="189">
        <f>data!C412</f>
        <v>2311011.09</v>
      </c>
    </row>
    <row r="165" spans="1:3" ht="20.149999999999999" customHeight="1" x14ac:dyDescent="0.35">
      <c r="A165" s="195" t="s">
        <v>987</v>
      </c>
      <c r="B165" s="193" t="s">
        <v>282</v>
      </c>
      <c r="C165" s="189">
        <f>data!C413</f>
        <v>314874.68</v>
      </c>
    </row>
    <row r="166" spans="1:3" ht="20.149999999999999" customHeight="1" x14ac:dyDescent="0.35">
      <c r="A166" s="195" t="s">
        <v>988</v>
      </c>
      <c r="B166" s="193" t="s">
        <v>989</v>
      </c>
      <c r="C166" s="189">
        <f>data!C414</f>
        <v>0</v>
      </c>
    </row>
    <row r="167" spans="1:3" ht="20.149999999999999" customHeight="1" x14ac:dyDescent="0.35">
      <c r="A167" s="174">
        <v>34</v>
      </c>
      <c r="B167" s="176" t="s">
        <v>990</v>
      </c>
      <c r="C167" s="189">
        <f>data!D416</f>
        <v>28149800.810000002</v>
      </c>
    </row>
    <row r="168" spans="1:3" ht="20.149999999999999" customHeight="1" x14ac:dyDescent="0.35">
      <c r="A168" s="174">
        <v>35</v>
      </c>
      <c r="B168" s="176" t="s">
        <v>991</v>
      </c>
      <c r="C168" s="189">
        <f>data!D417</f>
        <v>284780.96999999881</v>
      </c>
    </row>
    <row r="169" spans="1:3" ht="20.149999999999999" customHeight="1" x14ac:dyDescent="0.35">
      <c r="A169" s="174">
        <v>36</v>
      </c>
      <c r="B169" s="178"/>
      <c r="C169" s="176"/>
    </row>
    <row r="170" spans="1:3" ht="20.149999999999999" customHeight="1" x14ac:dyDescent="0.35">
      <c r="A170" s="174">
        <v>37</v>
      </c>
      <c r="B170" s="176" t="s">
        <v>992</v>
      </c>
      <c r="C170" s="189">
        <f>data!D420</f>
        <v>0</v>
      </c>
    </row>
    <row r="171" spans="1:3" ht="20.149999999999999" customHeight="1" x14ac:dyDescent="0.35">
      <c r="A171" s="174">
        <v>38</v>
      </c>
      <c r="B171" s="178"/>
      <c r="C171" s="176"/>
    </row>
    <row r="172" spans="1:3" ht="20.149999999999999" customHeight="1" x14ac:dyDescent="0.35">
      <c r="A172" s="174">
        <v>39</v>
      </c>
      <c r="B172" s="176" t="s">
        <v>993</v>
      </c>
      <c r="C172" s="176">
        <f>data!D421</f>
        <v>284780.96999999881</v>
      </c>
    </row>
    <row r="173" spans="1:3" ht="20.149999999999999" customHeight="1" x14ac:dyDescent="0.35">
      <c r="A173" s="174">
        <v>40</v>
      </c>
      <c r="B173" s="178"/>
      <c r="C173" s="176"/>
    </row>
    <row r="174" spans="1:3" ht="20.149999999999999" customHeight="1" x14ac:dyDescent="0.35">
      <c r="A174" s="174">
        <v>41</v>
      </c>
      <c r="B174" s="176" t="s">
        <v>994</v>
      </c>
      <c r="C174" s="189">
        <f>data!C422</f>
        <v>0</v>
      </c>
    </row>
    <row r="175" spans="1:3" ht="20.149999999999999" customHeight="1" x14ac:dyDescent="0.35">
      <c r="A175" s="174">
        <v>42</v>
      </c>
      <c r="B175" s="176" t="s">
        <v>995</v>
      </c>
      <c r="C175" s="189">
        <f>data!C423</f>
        <v>0</v>
      </c>
    </row>
    <row r="176" spans="1:3" ht="20.149999999999999" customHeight="1" x14ac:dyDescent="0.35">
      <c r="A176" s="174">
        <v>43</v>
      </c>
      <c r="B176" s="178"/>
      <c r="C176" s="176"/>
    </row>
    <row r="177" spans="1:3" ht="20.149999999999999" customHeight="1" x14ac:dyDescent="0.35">
      <c r="A177" s="174">
        <v>44</v>
      </c>
      <c r="B177" s="176" t="s">
        <v>996</v>
      </c>
      <c r="C177" s="189">
        <f>data!D424</f>
        <v>284780.96999999881</v>
      </c>
    </row>
    <row r="178" spans="1:3" ht="20.149999999999999" customHeight="1" x14ac:dyDescent="0.35">
      <c r="A178" s="179">
        <v>45</v>
      </c>
      <c r="B178" s="178" t="s">
        <v>997</v>
      </c>
      <c r="C178" s="176"/>
    </row>
    <row r="179" spans="1:3" ht="20.149999999999999" customHeight="1" x14ac:dyDescent="0.3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Formulas="1" showGridLines="0" topLeftCell="B148" zoomScale="65" workbookViewId="0">
      <selection activeCell="H109" sqref="H109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2" width="8.9140625" style="281" customWidth="1"/>
    <col min="13" max="16384" width="8.9140625" style="281"/>
  </cols>
  <sheetData>
    <row r="1" spans="1:9" customFormat="1" ht="20.149999999999999" customHeight="1" x14ac:dyDescent="0.35">
      <c r="A1" s="282" t="s">
        <v>998</v>
      </c>
      <c r="B1" s="283"/>
      <c r="C1" s="283"/>
      <c r="D1" s="283"/>
      <c r="E1" s="283"/>
      <c r="F1" s="283"/>
      <c r="G1" s="283"/>
      <c r="H1" s="283"/>
    </row>
    <row r="2" spans="1:9" customFormat="1" ht="20.149999999999999" customHeight="1" x14ac:dyDescent="0.35">
      <c r="A2" s="284"/>
      <c r="I2" s="285" t="s">
        <v>999</v>
      </c>
    </row>
    <row r="3" spans="1:9" customFormat="1" ht="20.149999999999999" customHeight="1" x14ac:dyDescent="0.35">
      <c r="A3" s="284"/>
      <c r="I3" s="284"/>
    </row>
    <row r="4" spans="1:9" customFormat="1" ht="20.149999999999999" customHeight="1" x14ac:dyDescent="0.35">
      <c r="A4" s="286" t="str">
        <f>"Hospital: "&amp;data!C98</f>
        <v>Hospital: Rainier Springs</v>
      </c>
      <c r="G4" s="287"/>
      <c r="H4" s="286" t="str">
        <f>"FYE: "&amp;data!C96</f>
        <v>FYE: 12/31/2023</v>
      </c>
    </row>
    <row r="5" spans="1:9" customFormat="1" ht="20.149999999999999" customHeight="1" x14ac:dyDescent="0.35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49999999999999" customHeight="1" x14ac:dyDescent="0.35">
      <c r="A6" s="292">
        <v>2</v>
      </c>
      <c r="B6" s="293" t="s">
        <v>1000</v>
      </c>
      <c r="C6" s="294" t="s">
        <v>118</v>
      </c>
      <c r="D6" s="295" t="s">
        <v>1001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49999999999999" customHeight="1" x14ac:dyDescent="0.35">
      <c r="A7" s="292"/>
      <c r="B7" s="293"/>
      <c r="C7" s="295" t="s">
        <v>190</v>
      </c>
      <c r="D7" s="295" t="s">
        <v>1002</v>
      </c>
      <c r="E7" s="295" t="s">
        <v>190</v>
      </c>
      <c r="F7" s="295" t="s">
        <v>1003</v>
      </c>
      <c r="G7" s="295" t="s">
        <v>192</v>
      </c>
      <c r="H7" s="295" t="s">
        <v>190</v>
      </c>
      <c r="I7" s="295" t="s">
        <v>193</v>
      </c>
    </row>
    <row r="8" spans="1:9" customFormat="1" ht="20.149999999999999" customHeight="1" x14ac:dyDescent="0.35">
      <c r="A8" s="288">
        <v>3</v>
      </c>
      <c r="B8" s="289" t="s">
        <v>1004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49999999999999" customHeight="1" x14ac:dyDescent="0.35">
      <c r="A9" s="288">
        <v>4</v>
      </c>
      <c r="B9" s="289" t="s">
        <v>261</v>
      </c>
      <c r="C9" s="289">
        <f>data!C59</f>
        <v>0</v>
      </c>
      <c r="D9" s="289">
        <f>data!D59</f>
        <v>0</v>
      </c>
      <c r="E9" s="289">
        <f>data!E59</f>
        <v>0</v>
      </c>
      <c r="F9" s="289">
        <f>data!F59</f>
        <v>0</v>
      </c>
      <c r="G9" s="289">
        <f>data!G59</f>
        <v>0</v>
      </c>
      <c r="H9" s="289">
        <f>data!H59</f>
        <v>21594</v>
      </c>
      <c r="I9" s="289">
        <f>data!I59</f>
        <v>0</v>
      </c>
    </row>
    <row r="10" spans="1:9" customFormat="1" ht="20.149999999999999" customHeight="1" x14ac:dyDescent="0.35">
      <c r="A10" s="288">
        <v>5</v>
      </c>
      <c r="B10" s="289" t="s">
        <v>262</v>
      </c>
      <c r="C10" s="296">
        <f>data!C60</f>
        <v>0</v>
      </c>
      <c r="D10" s="296">
        <f>data!D60</f>
        <v>0</v>
      </c>
      <c r="E10" s="296">
        <f>data!E60</f>
        <v>0</v>
      </c>
      <c r="F10" s="296">
        <f>data!F60</f>
        <v>0</v>
      </c>
      <c r="G10" s="296">
        <f>data!G60</f>
        <v>0</v>
      </c>
      <c r="H10" s="296">
        <f>data!H60</f>
        <v>79.613845999999995</v>
      </c>
      <c r="I10" s="296">
        <f>data!I60</f>
        <v>0</v>
      </c>
    </row>
    <row r="11" spans="1:9" customFormat="1" ht="20.149999999999999" customHeight="1" x14ac:dyDescent="0.35">
      <c r="A11" s="288">
        <v>6</v>
      </c>
      <c r="B11" s="289" t="s">
        <v>263</v>
      </c>
      <c r="C11" s="289">
        <f>data!C61</f>
        <v>0</v>
      </c>
      <c r="D11" s="289">
        <f>data!D61</f>
        <v>0</v>
      </c>
      <c r="E11" s="289">
        <f>data!E61</f>
        <v>0</v>
      </c>
      <c r="F11" s="289">
        <f>data!F61</f>
        <v>0</v>
      </c>
      <c r="G11" s="289">
        <f>data!G61</f>
        <v>0</v>
      </c>
      <c r="H11" s="289">
        <f>data!H61</f>
        <v>7067511.1499999994</v>
      </c>
      <c r="I11" s="289">
        <f>data!I61</f>
        <v>0</v>
      </c>
    </row>
    <row r="12" spans="1:9" customFormat="1" ht="20.149999999999999" customHeight="1" x14ac:dyDescent="0.35">
      <c r="A12" s="288">
        <v>7</v>
      </c>
      <c r="B12" s="289" t="s">
        <v>11</v>
      </c>
      <c r="C12" s="289">
        <f>data!C62</f>
        <v>0</v>
      </c>
      <c r="D12" s="289">
        <f>data!D62</f>
        <v>0</v>
      </c>
      <c r="E12" s="289">
        <f>data!E62</f>
        <v>0</v>
      </c>
      <c r="F12" s="289">
        <f>data!F62</f>
        <v>0</v>
      </c>
      <c r="G12" s="289">
        <f>data!G62</f>
        <v>0</v>
      </c>
      <c r="H12" s="289">
        <f>data!H62</f>
        <v>1115397</v>
      </c>
      <c r="I12" s="289">
        <f>data!I62</f>
        <v>0</v>
      </c>
    </row>
    <row r="13" spans="1:9" customFormat="1" ht="20.149999999999999" customHeight="1" x14ac:dyDescent="0.35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0</v>
      </c>
      <c r="F13" s="289">
        <f>data!F63</f>
        <v>0</v>
      </c>
      <c r="G13" s="289">
        <f>data!G63</f>
        <v>0</v>
      </c>
      <c r="H13" s="289">
        <f>data!H63</f>
        <v>521787.7</v>
      </c>
      <c r="I13" s="289">
        <f>data!I63</f>
        <v>0</v>
      </c>
    </row>
    <row r="14" spans="1:9" customFormat="1" ht="20.149999999999999" customHeight="1" x14ac:dyDescent="0.35">
      <c r="A14" s="288">
        <v>9</v>
      </c>
      <c r="B14" s="289" t="s">
        <v>265</v>
      </c>
      <c r="C14" s="289">
        <f>data!C64</f>
        <v>0</v>
      </c>
      <c r="D14" s="289">
        <f>data!D64</f>
        <v>0</v>
      </c>
      <c r="E14" s="289">
        <f>data!E64</f>
        <v>0</v>
      </c>
      <c r="F14" s="289">
        <f>data!F64</f>
        <v>0</v>
      </c>
      <c r="G14" s="289">
        <f>data!G64</f>
        <v>0</v>
      </c>
      <c r="H14" s="289">
        <f>data!H64</f>
        <v>196054.89</v>
      </c>
      <c r="I14" s="289">
        <f>data!I64</f>
        <v>0</v>
      </c>
    </row>
    <row r="15" spans="1:9" customFormat="1" ht="20.149999999999999" customHeight="1" x14ac:dyDescent="0.35">
      <c r="A15" s="288">
        <v>10</v>
      </c>
      <c r="B15" s="289" t="s">
        <v>522</v>
      </c>
      <c r="C15" s="289">
        <f>data!C65</f>
        <v>0</v>
      </c>
      <c r="D15" s="289">
        <f>data!D65</f>
        <v>0</v>
      </c>
      <c r="E15" s="289">
        <f>data!E65</f>
        <v>0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49999999999999" customHeight="1" x14ac:dyDescent="0.35">
      <c r="A16" s="288">
        <v>11</v>
      </c>
      <c r="B16" s="289" t="s">
        <v>523</v>
      </c>
      <c r="C16" s="289">
        <f>data!C66</f>
        <v>0</v>
      </c>
      <c r="D16" s="289">
        <f>data!D66</f>
        <v>0</v>
      </c>
      <c r="E16" s="289">
        <f>data!E66</f>
        <v>0</v>
      </c>
      <c r="F16" s="289">
        <f>data!F66</f>
        <v>0</v>
      </c>
      <c r="G16" s="289">
        <f>data!G66</f>
        <v>0</v>
      </c>
      <c r="H16" s="289">
        <f>data!H66</f>
        <v>275609.43</v>
      </c>
      <c r="I16" s="289">
        <f>data!I66</f>
        <v>0</v>
      </c>
    </row>
    <row r="17" spans="1:9" customFormat="1" ht="20.149999999999999" customHeight="1" x14ac:dyDescent="0.35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0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49999999999999" customHeight="1" x14ac:dyDescent="0.35">
      <c r="A18" s="288">
        <v>13</v>
      </c>
      <c r="B18" s="289" t="s">
        <v>1005</v>
      </c>
      <c r="C18" s="289">
        <f>data!C68</f>
        <v>0</v>
      </c>
      <c r="D18" s="289">
        <f>data!D68</f>
        <v>0</v>
      </c>
      <c r="E18" s="289">
        <f>data!E68</f>
        <v>0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49999999999999" customHeight="1" x14ac:dyDescent="0.35">
      <c r="A19" s="288">
        <v>14</v>
      </c>
      <c r="B19" s="289" t="s">
        <v>1006</v>
      </c>
      <c r="C19" s="289">
        <f>data!C69</f>
        <v>0</v>
      </c>
      <c r="D19" s="289">
        <f>data!D69</f>
        <v>0</v>
      </c>
      <c r="E19" s="289">
        <f>data!E69</f>
        <v>0</v>
      </c>
      <c r="F19" s="289">
        <f>data!F69</f>
        <v>0</v>
      </c>
      <c r="G19" s="289">
        <f>data!G69</f>
        <v>0</v>
      </c>
      <c r="H19" s="289">
        <f>data!H69</f>
        <v>851302.67</v>
      </c>
      <c r="I19" s="289">
        <f>data!I69</f>
        <v>0</v>
      </c>
    </row>
    <row r="20" spans="1:9" customFormat="1" ht="20.149999999999999" customHeight="1" x14ac:dyDescent="0.35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49999999999999" customHeight="1" x14ac:dyDescent="0.35">
      <c r="A21" s="288">
        <v>16</v>
      </c>
      <c r="B21" s="297" t="s">
        <v>1007</v>
      </c>
      <c r="C21" s="289">
        <f>data!C85</f>
        <v>0</v>
      </c>
      <c r="D21" s="289">
        <f>data!D85</f>
        <v>0</v>
      </c>
      <c r="E21" s="289">
        <f>data!E85</f>
        <v>0</v>
      </c>
      <c r="F21" s="289">
        <f>data!F85</f>
        <v>0</v>
      </c>
      <c r="G21" s="289">
        <f>data!G85</f>
        <v>0</v>
      </c>
      <c r="H21" s="289">
        <f>data!H85</f>
        <v>10027662.84</v>
      </c>
      <c r="I21" s="289">
        <f>data!I85</f>
        <v>0</v>
      </c>
    </row>
    <row r="22" spans="1:9" customFormat="1" ht="20.149999999999999" customHeight="1" x14ac:dyDescent="0.35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49999999999999" customHeight="1" x14ac:dyDescent="0.35">
      <c r="A23" s="288">
        <v>18</v>
      </c>
      <c r="B23" s="289" t="s">
        <v>1008</v>
      </c>
      <c r="C23" s="297" t="e">
        <f>+data!M668</f>
        <v>#DIV/0!</v>
      </c>
      <c r="D23" s="297" t="e">
        <f>+data!M669</f>
        <v>#DIV/0!</v>
      </c>
      <c r="E23" s="297" t="e">
        <f>+data!M670</f>
        <v>#DIV/0!</v>
      </c>
      <c r="F23" s="297" t="e">
        <f>+data!M671</f>
        <v>#DIV/0!</v>
      </c>
      <c r="G23" s="297" t="e">
        <f>+data!M672</f>
        <v>#DIV/0!</v>
      </c>
      <c r="H23" s="297" t="e">
        <f>+data!M673</f>
        <v>#DIV/0!</v>
      </c>
      <c r="I23" s="297" t="e">
        <f>+data!M674</f>
        <v>#DIV/0!</v>
      </c>
    </row>
    <row r="24" spans="1:9" customFormat="1" ht="20.149999999999999" customHeight="1" x14ac:dyDescent="0.35">
      <c r="A24" s="288">
        <v>19</v>
      </c>
      <c r="B24" s="297" t="s">
        <v>1009</v>
      </c>
      <c r="C24" s="289">
        <f>data!C87</f>
        <v>0</v>
      </c>
      <c r="D24" s="289">
        <f>data!D87</f>
        <v>0</v>
      </c>
      <c r="E24" s="289">
        <f>data!E87</f>
        <v>0</v>
      </c>
      <c r="F24" s="289">
        <f>data!F87</f>
        <v>0</v>
      </c>
      <c r="G24" s="289">
        <f>data!G87</f>
        <v>0</v>
      </c>
      <c r="H24" s="289">
        <f>data!H87</f>
        <v>61919119</v>
      </c>
      <c r="I24" s="289">
        <f>data!I87</f>
        <v>0</v>
      </c>
    </row>
    <row r="25" spans="1:9" customFormat="1" ht="20.149999999999999" customHeight="1" x14ac:dyDescent="0.35">
      <c r="A25" s="288">
        <v>20</v>
      </c>
      <c r="B25" s="297" t="s">
        <v>1010</v>
      </c>
      <c r="C25" s="289">
        <f>data!C88</f>
        <v>0</v>
      </c>
      <c r="D25" s="289">
        <f>data!D88</f>
        <v>0</v>
      </c>
      <c r="E25" s="289">
        <f>data!E88</f>
        <v>0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35">
      <c r="A26" s="288">
        <v>21</v>
      </c>
      <c r="B26" s="297" t="s">
        <v>1011</v>
      </c>
      <c r="C26" s="289">
        <f>data!C89</f>
        <v>0</v>
      </c>
      <c r="D26" s="289">
        <f>data!D89</f>
        <v>0</v>
      </c>
      <c r="E26" s="289">
        <f>data!E89</f>
        <v>0</v>
      </c>
      <c r="F26" s="289">
        <f>data!F89</f>
        <v>0</v>
      </c>
      <c r="G26" s="289">
        <f>data!G89</f>
        <v>0</v>
      </c>
      <c r="H26" s="289">
        <f>data!H89</f>
        <v>61919119</v>
      </c>
      <c r="I26" s="289">
        <f>data!I89</f>
        <v>0</v>
      </c>
    </row>
    <row r="27" spans="1:9" customFormat="1" ht="20.149999999999999" customHeight="1" x14ac:dyDescent="0.35">
      <c r="A27" s="288" t="s">
        <v>1012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49999999999999" customHeight="1" x14ac:dyDescent="0.35">
      <c r="A28" s="288">
        <v>22</v>
      </c>
      <c r="B28" s="289" t="s">
        <v>1013</v>
      </c>
      <c r="C28" s="289">
        <f>data!C90</f>
        <v>0</v>
      </c>
      <c r="D28" s="289">
        <f>data!D90</f>
        <v>0</v>
      </c>
      <c r="E28" s="289">
        <f>data!E90</f>
        <v>0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49999999999999" customHeight="1" x14ac:dyDescent="0.35">
      <c r="A29" s="288">
        <v>23</v>
      </c>
      <c r="B29" s="289" t="s">
        <v>1014</v>
      </c>
      <c r="C29" s="289">
        <f>data!C91</f>
        <v>0</v>
      </c>
      <c r="D29" s="289">
        <f>data!D91</f>
        <v>0</v>
      </c>
      <c r="E29" s="289">
        <f>data!E91</f>
        <v>0</v>
      </c>
      <c r="F29" s="289">
        <f>data!F91</f>
        <v>0</v>
      </c>
      <c r="G29" s="289">
        <f>data!G91</f>
        <v>0</v>
      </c>
      <c r="H29" s="289">
        <f>data!H91</f>
        <v>64779</v>
      </c>
      <c r="I29" s="289">
        <f>data!I91</f>
        <v>0</v>
      </c>
    </row>
    <row r="30" spans="1:9" customFormat="1" ht="20.149999999999999" customHeight="1" x14ac:dyDescent="0.35">
      <c r="A30" s="288">
        <v>24</v>
      </c>
      <c r="B30" s="289" t="s">
        <v>1015</v>
      </c>
      <c r="C30" s="289">
        <f>data!C92</f>
        <v>0</v>
      </c>
      <c r="D30" s="289">
        <f>data!D92</f>
        <v>0</v>
      </c>
      <c r="E30" s="289">
        <f>data!E92</f>
        <v>0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49999999999999" customHeight="1" x14ac:dyDescent="0.35">
      <c r="A31" s="288">
        <v>25</v>
      </c>
      <c r="B31" s="289" t="s">
        <v>1016</v>
      </c>
      <c r="C31" s="289">
        <f>data!C93</f>
        <v>0</v>
      </c>
      <c r="D31" s="289">
        <f>data!D93</f>
        <v>0</v>
      </c>
      <c r="E31" s="289">
        <f>data!E93</f>
        <v>0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49999999999999" customHeight="1" x14ac:dyDescent="0.35">
      <c r="A32" s="288">
        <v>26</v>
      </c>
      <c r="B32" s="289" t="s">
        <v>294</v>
      </c>
      <c r="C32" s="296">
        <f>data!C94</f>
        <v>0</v>
      </c>
      <c r="D32" s="296">
        <f>data!D94</f>
        <v>0</v>
      </c>
      <c r="E32" s="296">
        <f>data!E94</f>
        <v>0</v>
      </c>
      <c r="F32" s="296">
        <f>data!F94</f>
        <v>0</v>
      </c>
      <c r="G32" s="296">
        <f>data!G94</f>
        <v>0</v>
      </c>
      <c r="H32" s="296">
        <f>data!H94</f>
        <v>69379.25</v>
      </c>
      <c r="I32" s="296">
        <f>data!I94</f>
        <v>0</v>
      </c>
    </row>
    <row r="33" spans="1:9" customFormat="1" ht="20.149999999999999" customHeight="1" x14ac:dyDescent="0.35">
      <c r="A33" s="282" t="s">
        <v>998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49999999999999" customHeight="1" x14ac:dyDescent="0.35">
      <c r="A34" s="284"/>
      <c r="I34" s="285" t="s">
        <v>1017</v>
      </c>
    </row>
    <row r="35" spans="1:9" customFormat="1" ht="20.149999999999999" customHeight="1" x14ac:dyDescent="0.35">
      <c r="A35" s="284"/>
      <c r="I35" s="284"/>
    </row>
    <row r="36" spans="1:9" customFormat="1" ht="20.149999999999999" customHeight="1" x14ac:dyDescent="0.35">
      <c r="A36" s="286" t="str">
        <f>"Hospital: "&amp;data!C98</f>
        <v>Hospital: Rainier Springs</v>
      </c>
      <c r="G36" s="287"/>
      <c r="H36" s="286" t="str">
        <f>"FYE: "&amp;data!C96</f>
        <v>FYE: 12/31/2023</v>
      </c>
    </row>
    <row r="37" spans="1:9" customFormat="1" ht="20.149999999999999" customHeight="1" x14ac:dyDescent="0.35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49999999999999" customHeight="1" x14ac:dyDescent="0.35">
      <c r="A38" s="292">
        <v>2</v>
      </c>
      <c r="B38" s="293" t="s">
        <v>1000</v>
      </c>
      <c r="C38" s="295"/>
      <c r="D38" s="295" t="s">
        <v>126</v>
      </c>
      <c r="E38" s="295" t="s">
        <v>127</v>
      </c>
      <c r="F38" s="295" t="s">
        <v>1018</v>
      </c>
      <c r="G38" s="295" t="s">
        <v>129</v>
      </c>
      <c r="H38" s="295" t="s">
        <v>1019</v>
      </c>
      <c r="I38" s="295" t="s">
        <v>131</v>
      </c>
    </row>
    <row r="39" spans="1:9" customFormat="1" ht="20.149999999999999" customHeight="1" x14ac:dyDescent="0.35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49999999999999" customHeight="1" x14ac:dyDescent="0.35">
      <c r="A40" s="288">
        <v>3</v>
      </c>
      <c r="B40" s="289" t="s">
        <v>1004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49999999999999" customHeight="1" x14ac:dyDescent="0.35">
      <c r="A41" s="288">
        <v>4</v>
      </c>
      <c r="B41" s="289" t="s">
        <v>261</v>
      </c>
      <c r="C41" s="289">
        <f>data!J59</f>
        <v>0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0</v>
      </c>
    </row>
    <row r="42" spans="1:9" customFormat="1" ht="20.149999999999999" customHeight="1" x14ac:dyDescent="0.35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0</v>
      </c>
      <c r="I42" s="296">
        <f>data!P60</f>
        <v>0</v>
      </c>
    </row>
    <row r="43" spans="1:9" customFormat="1" ht="20.149999999999999" customHeight="1" x14ac:dyDescent="0.35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0</v>
      </c>
      <c r="I43" s="289">
        <f>data!P61</f>
        <v>0</v>
      </c>
    </row>
    <row r="44" spans="1:9" customFormat="1" ht="20.149999999999999" customHeight="1" x14ac:dyDescent="0.35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0</v>
      </c>
      <c r="I44" s="289">
        <f>data!P62</f>
        <v>0</v>
      </c>
    </row>
    <row r="45" spans="1:9" customFormat="1" ht="20.149999999999999" customHeight="1" x14ac:dyDescent="0.35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0</v>
      </c>
    </row>
    <row r="46" spans="1:9" customFormat="1" ht="20.149999999999999" customHeight="1" x14ac:dyDescent="0.35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0</v>
      </c>
      <c r="I46" s="289">
        <f>data!P64</f>
        <v>0</v>
      </c>
    </row>
    <row r="47" spans="1:9" customFormat="1" ht="20.149999999999999" customHeight="1" x14ac:dyDescent="0.35">
      <c r="A47" s="288">
        <v>10</v>
      </c>
      <c r="B47" s="289" t="s">
        <v>522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0</v>
      </c>
    </row>
    <row r="48" spans="1:9" customFormat="1" ht="20.149999999999999" customHeight="1" x14ac:dyDescent="0.35">
      <c r="A48" s="288">
        <v>11</v>
      </c>
      <c r="B48" s="289" t="s">
        <v>523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0</v>
      </c>
      <c r="I48" s="289">
        <f>data!P66</f>
        <v>0</v>
      </c>
    </row>
    <row r="49" spans="1:11" customFormat="1" ht="20.149999999999999" customHeight="1" x14ac:dyDescent="0.35">
      <c r="A49" s="288">
        <v>12</v>
      </c>
      <c r="B49" s="289" t="s">
        <v>16</v>
      </c>
      <c r="C49" s="289">
        <f>data!J67</f>
        <v>0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0</v>
      </c>
    </row>
    <row r="50" spans="1:11" customFormat="1" ht="20.149999999999999" customHeight="1" x14ac:dyDescent="0.35">
      <c r="A50" s="288">
        <v>13</v>
      </c>
      <c r="B50" s="289" t="s">
        <v>1005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0</v>
      </c>
    </row>
    <row r="51" spans="1:11" customFormat="1" ht="20.149999999999999" customHeight="1" x14ac:dyDescent="0.35">
      <c r="A51" s="288">
        <v>14</v>
      </c>
      <c r="B51" s="289" t="s">
        <v>1006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0</v>
      </c>
      <c r="I51" s="289">
        <f>data!P69</f>
        <v>0</v>
      </c>
    </row>
    <row r="52" spans="1:11" customFormat="1" ht="20.149999999999999" customHeight="1" x14ac:dyDescent="0.35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49999999999999" customHeight="1" x14ac:dyDescent="0.35">
      <c r="A53" s="288">
        <v>16</v>
      </c>
      <c r="B53" s="297" t="s">
        <v>1007</v>
      </c>
      <c r="C53" s="289">
        <f>data!J85</f>
        <v>0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0</v>
      </c>
      <c r="H53" s="289">
        <f>data!O85</f>
        <v>0</v>
      </c>
      <c r="I53" s="289">
        <f>data!P85</f>
        <v>0</v>
      </c>
    </row>
    <row r="54" spans="1:11" customFormat="1" ht="20.149999999999999" customHeight="1" x14ac:dyDescent="0.35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49999999999999" customHeight="1" x14ac:dyDescent="0.35">
      <c r="A55" s="288">
        <v>18</v>
      </c>
      <c r="B55" s="289" t="s">
        <v>1008</v>
      </c>
      <c r="C55" s="297" t="e">
        <f>+data!M675</f>
        <v>#DIV/0!</v>
      </c>
      <c r="D55" s="297" t="e">
        <f>+data!M676</f>
        <v>#DIV/0!</v>
      </c>
      <c r="E55" s="297" t="e">
        <f>+data!M691</f>
        <v>#DIV/0!</v>
      </c>
      <c r="F55" s="297" t="e">
        <f>+data!M692</f>
        <v>#DIV/0!</v>
      </c>
      <c r="G55" s="297" t="e">
        <f>+data!M693</f>
        <v>#DIV/0!</v>
      </c>
      <c r="H55" s="297" t="e">
        <f>+data!M680</f>
        <v>#DIV/0!</v>
      </c>
      <c r="I55" s="297" t="e">
        <f>+data!M681</f>
        <v>#DIV/0!</v>
      </c>
    </row>
    <row r="56" spans="1:11" customFormat="1" ht="20.149999999999999" customHeight="1" x14ac:dyDescent="0.35">
      <c r="A56" s="288">
        <v>19</v>
      </c>
      <c r="B56" s="297" t="s">
        <v>1009</v>
      </c>
      <c r="C56" s="289">
        <f>data!J87</f>
        <v>0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0</v>
      </c>
      <c r="I56" s="289">
        <f>data!P87</f>
        <v>0</v>
      </c>
    </row>
    <row r="57" spans="1:11" customFormat="1" ht="20.149999999999999" customHeight="1" x14ac:dyDescent="0.35">
      <c r="A57" s="288">
        <v>20</v>
      </c>
      <c r="B57" s="297" t="s">
        <v>1010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0</v>
      </c>
      <c r="I57" s="289">
        <f>data!P88</f>
        <v>0</v>
      </c>
    </row>
    <row r="58" spans="1:11" customFormat="1" ht="20.149999999999999" customHeight="1" x14ac:dyDescent="0.35">
      <c r="A58" s="288">
        <v>21</v>
      </c>
      <c r="B58" s="297" t="s">
        <v>1011</v>
      </c>
      <c r="C58" s="289">
        <f>data!J89</f>
        <v>0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0</v>
      </c>
      <c r="I58" s="289">
        <f>data!P89</f>
        <v>0</v>
      </c>
    </row>
    <row r="59" spans="1:11" customFormat="1" ht="20.149999999999999" customHeight="1" x14ac:dyDescent="0.35">
      <c r="A59" s="288" t="s">
        <v>1012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49999999999999" customHeight="1" x14ac:dyDescent="0.35">
      <c r="A60" s="288">
        <v>22</v>
      </c>
      <c r="B60" s="289" t="s">
        <v>1013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0</v>
      </c>
      <c r="K60" s="300"/>
    </row>
    <row r="61" spans="1:11" customFormat="1" ht="20.149999999999999" customHeight="1" x14ac:dyDescent="0.35">
      <c r="A61" s="288">
        <v>23</v>
      </c>
      <c r="B61" s="289" t="s">
        <v>1014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49999999999999" customHeight="1" x14ac:dyDescent="0.35">
      <c r="A62" s="288">
        <v>24</v>
      </c>
      <c r="B62" s="289" t="s">
        <v>1015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0</v>
      </c>
    </row>
    <row r="63" spans="1:11" customFormat="1" ht="20.149999999999999" customHeight="1" x14ac:dyDescent="0.35">
      <c r="A63" s="288">
        <v>25</v>
      </c>
      <c r="B63" s="289" t="s">
        <v>1016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0</v>
      </c>
      <c r="I63" s="289">
        <f>data!P93</f>
        <v>0</v>
      </c>
    </row>
    <row r="64" spans="1:11" customFormat="1" ht="20.149999999999999" customHeight="1" x14ac:dyDescent="0.35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0</v>
      </c>
    </row>
    <row r="65" spans="1:9" customFormat="1" ht="20.149999999999999" customHeight="1" x14ac:dyDescent="0.35">
      <c r="A65" s="282" t="s">
        <v>998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49999999999999" customHeight="1" x14ac:dyDescent="0.35">
      <c r="D66" s="284"/>
      <c r="I66" s="285" t="s">
        <v>1020</v>
      </c>
    </row>
    <row r="67" spans="1:9" customFormat="1" ht="20.149999999999999" customHeight="1" x14ac:dyDescent="0.35">
      <c r="A67" s="284"/>
    </row>
    <row r="68" spans="1:9" customFormat="1" ht="20.149999999999999" customHeight="1" x14ac:dyDescent="0.35">
      <c r="A68" s="286" t="str">
        <f>"Hospital: "&amp;data!C98</f>
        <v>Hospital: Rainier Springs</v>
      </c>
      <c r="G68" s="287"/>
      <c r="H68" s="286" t="str">
        <f>"FYE: "&amp;data!C96</f>
        <v>FYE: 12/31/2023</v>
      </c>
    </row>
    <row r="69" spans="1:9" customFormat="1" ht="20.149999999999999" customHeight="1" x14ac:dyDescent="0.35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49999999999999" customHeight="1" x14ac:dyDescent="0.35">
      <c r="A70" s="292">
        <v>2</v>
      </c>
      <c r="B70" s="293" t="s">
        <v>1000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49999999999999" customHeight="1" x14ac:dyDescent="0.35">
      <c r="A71" s="292"/>
      <c r="B71" s="293"/>
      <c r="C71" s="295" t="s">
        <v>198</v>
      </c>
      <c r="D71" s="295" t="s">
        <v>1021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49999999999999" customHeight="1" x14ac:dyDescent="0.35">
      <c r="A72" s="288">
        <v>3</v>
      </c>
      <c r="B72" s="289" t="s">
        <v>1004</v>
      </c>
      <c r="C72" s="291" t="s">
        <v>1022</v>
      </c>
      <c r="D72" s="290" t="s">
        <v>1023</v>
      </c>
      <c r="E72" s="301"/>
      <c r="F72" s="301"/>
      <c r="G72" s="290" t="s">
        <v>1024</v>
      </c>
      <c r="H72" s="290" t="s">
        <v>1024</v>
      </c>
      <c r="I72" s="291" t="s">
        <v>250</v>
      </c>
    </row>
    <row r="73" spans="1:9" customFormat="1" ht="20.149999999999999" customHeight="1" x14ac:dyDescent="0.35">
      <c r="A73" s="288">
        <v>4</v>
      </c>
      <c r="B73" s="289" t="s">
        <v>261</v>
      </c>
      <c r="C73" s="289">
        <f>data!Q59</f>
        <v>0</v>
      </c>
      <c r="D73" s="297">
        <f>data!R59</f>
        <v>0</v>
      </c>
      <c r="E73" s="301"/>
      <c r="F73" s="301"/>
      <c r="G73" s="289">
        <f>data!U59</f>
        <v>0</v>
      </c>
      <c r="H73" s="289">
        <f>data!V59</f>
        <v>0</v>
      </c>
      <c r="I73" s="289">
        <f>data!W59</f>
        <v>0</v>
      </c>
    </row>
    <row r="74" spans="1:9" customFormat="1" ht="20.149999999999999" customHeight="1" x14ac:dyDescent="0.35">
      <c r="A74" s="288">
        <v>5</v>
      </c>
      <c r="B74" s="289" t="s">
        <v>262</v>
      </c>
      <c r="C74" s="296">
        <f>data!Q60</f>
        <v>0</v>
      </c>
      <c r="D74" s="296">
        <f>data!R60</f>
        <v>0</v>
      </c>
      <c r="E74" s="296">
        <f>data!S60</f>
        <v>0</v>
      </c>
      <c r="F74" s="296">
        <f>data!T60</f>
        <v>0</v>
      </c>
      <c r="G74" s="296">
        <f>data!U60</f>
        <v>0</v>
      </c>
      <c r="H74" s="296">
        <f>data!V60</f>
        <v>0</v>
      </c>
      <c r="I74" s="296">
        <f>data!W60</f>
        <v>0</v>
      </c>
    </row>
    <row r="75" spans="1:9" customFormat="1" ht="20.149999999999999" customHeight="1" x14ac:dyDescent="0.35">
      <c r="A75" s="288">
        <v>6</v>
      </c>
      <c r="B75" s="289" t="s">
        <v>263</v>
      </c>
      <c r="C75" s="289">
        <f>data!Q61</f>
        <v>0</v>
      </c>
      <c r="D75" s="289">
        <f>data!R61</f>
        <v>0</v>
      </c>
      <c r="E75" s="289">
        <f>data!S61</f>
        <v>0</v>
      </c>
      <c r="F75" s="289">
        <f>data!T61</f>
        <v>0</v>
      </c>
      <c r="G75" s="289">
        <f>data!U61</f>
        <v>0</v>
      </c>
      <c r="H75" s="289">
        <f>data!V61</f>
        <v>0</v>
      </c>
      <c r="I75" s="289">
        <f>data!W61</f>
        <v>0</v>
      </c>
    </row>
    <row r="76" spans="1:9" customFormat="1" ht="20.149999999999999" customHeight="1" x14ac:dyDescent="0.35">
      <c r="A76" s="288">
        <v>7</v>
      </c>
      <c r="B76" s="289" t="s">
        <v>11</v>
      </c>
      <c r="C76" s="289">
        <f>data!Q62</f>
        <v>0</v>
      </c>
      <c r="D76" s="289">
        <f>data!R62</f>
        <v>0</v>
      </c>
      <c r="E76" s="289">
        <f>data!S62</f>
        <v>0</v>
      </c>
      <c r="F76" s="289">
        <f>data!T62</f>
        <v>0</v>
      </c>
      <c r="G76" s="289">
        <f>data!U62</f>
        <v>0</v>
      </c>
      <c r="H76" s="289">
        <f>data!V62</f>
        <v>0</v>
      </c>
      <c r="I76" s="289">
        <f>data!W62</f>
        <v>0</v>
      </c>
    </row>
    <row r="77" spans="1:9" customFormat="1" ht="20.149999999999999" customHeight="1" x14ac:dyDescent="0.35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0</v>
      </c>
      <c r="H77" s="289">
        <f>data!V63</f>
        <v>0</v>
      </c>
      <c r="I77" s="289">
        <f>data!W63</f>
        <v>0</v>
      </c>
    </row>
    <row r="78" spans="1:9" customFormat="1" ht="20.149999999999999" customHeight="1" x14ac:dyDescent="0.35">
      <c r="A78" s="288">
        <v>9</v>
      </c>
      <c r="B78" s="289" t="s">
        <v>265</v>
      </c>
      <c r="C78" s="289">
        <f>data!Q64</f>
        <v>0</v>
      </c>
      <c r="D78" s="289">
        <f>data!R64</f>
        <v>0</v>
      </c>
      <c r="E78" s="289">
        <f>data!S64</f>
        <v>0</v>
      </c>
      <c r="F78" s="289">
        <f>data!T64</f>
        <v>0</v>
      </c>
      <c r="G78" s="289">
        <f>data!U64</f>
        <v>0</v>
      </c>
      <c r="H78" s="289">
        <f>data!V64</f>
        <v>0</v>
      </c>
      <c r="I78" s="289">
        <f>data!W64</f>
        <v>0</v>
      </c>
    </row>
    <row r="79" spans="1:9" customFormat="1" ht="20.149999999999999" customHeight="1" x14ac:dyDescent="0.35">
      <c r="A79" s="288">
        <v>10</v>
      </c>
      <c r="B79" s="289" t="s">
        <v>522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49999999999999" customHeight="1" x14ac:dyDescent="0.35">
      <c r="A80" s="288">
        <v>11</v>
      </c>
      <c r="B80" s="289" t="s">
        <v>523</v>
      </c>
      <c r="C80" s="289">
        <f>data!Q66</f>
        <v>0</v>
      </c>
      <c r="D80" s="289">
        <f>data!R66</f>
        <v>0</v>
      </c>
      <c r="E80" s="289">
        <f>data!S66</f>
        <v>0</v>
      </c>
      <c r="F80" s="289">
        <f>data!T66</f>
        <v>0</v>
      </c>
      <c r="G80" s="289">
        <f>data!U66</f>
        <v>0</v>
      </c>
      <c r="H80" s="289">
        <f>data!V66</f>
        <v>0</v>
      </c>
      <c r="I80" s="289">
        <f>data!W66</f>
        <v>0</v>
      </c>
    </row>
    <row r="81" spans="1:9" customFormat="1" ht="20.149999999999999" customHeight="1" x14ac:dyDescent="0.35">
      <c r="A81" s="288">
        <v>12</v>
      </c>
      <c r="B81" s="289" t="s">
        <v>16</v>
      </c>
      <c r="C81" s="289">
        <f>data!Q67</f>
        <v>0</v>
      </c>
      <c r="D81" s="289">
        <f>data!R67</f>
        <v>0</v>
      </c>
      <c r="E81" s="289">
        <f>data!S67</f>
        <v>0</v>
      </c>
      <c r="F81" s="289">
        <f>data!T67</f>
        <v>0</v>
      </c>
      <c r="G81" s="289">
        <f>data!U67</f>
        <v>0</v>
      </c>
      <c r="H81" s="289">
        <f>data!V67</f>
        <v>0</v>
      </c>
      <c r="I81" s="289">
        <f>data!W67</f>
        <v>0</v>
      </c>
    </row>
    <row r="82" spans="1:9" customFormat="1" ht="20.149999999999999" customHeight="1" x14ac:dyDescent="0.35">
      <c r="A82" s="288">
        <v>13</v>
      </c>
      <c r="B82" s="289" t="s">
        <v>1005</v>
      </c>
      <c r="C82" s="289">
        <f>data!Q68</f>
        <v>0</v>
      </c>
      <c r="D82" s="289">
        <f>data!R68</f>
        <v>0</v>
      </c>
      <c r="E82" s="289">
        <f>data!S68</f>
        <v>0</v>
      </c>
      <c r="F82" s="289">
        <f>data!T68</f>
        <v>0</v>
      </c>
      <c r="G82" s="289">
        <f>data!U68</f>
        <v>0</v>
      </c>
      <c r="H82" s="289">
        <f>data!V68</f>
        <v>0</v>
      </c>
      <c r="I82" s="289">
        <f>data!W68</f>
        <v>0</v>
      </c>
    </row>
    <row r="83" spans="1:9" customFormat="1" ht="20.149999999999999" customHeight="1" x14ac:dyDescent="0.35">
      <c r="A83" s="288">
        <v>14</v>
      </c>
      <c r="B83" s="289" t="s">
        <v>1006</v>
      </c>
      <c r="C83" s="289">
        <f>data!Q69</f>
        <v>0</v>
      </c>
      <c r="D83" s="289">
        <f>data!R69</f>
        <v>0</v>
      </c>
      <c r="E83" s="289">
        <f>data!S69</f>
        <v>0</v>
      </c>
      <c r="F83" s="289">
        <f>data!T69</f>
        <v>0</v>
      </c>
      <c r="G83" s="289">
        <f>data!U69</f>
        <v>0</v>
      </c>
      <c r="H83" s="289">
        <f>data!V69</f>
        <v>0</v>
      </c>
      <c r="I83" s="289">
        <f>data!W69</f>
        <v>0</v>
      </c>
    </row>
    <row r="84" spans="1:9" customFormat="1" ht="20.149999999999999" customHeight="1" x14ac:dyDescent="0.35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49999999999999" customHeight="1" x14ac:dyDescent="0.35">
      <c r="A85" s="288">
        <v>16</v>
      </c>
      <c r="B85" s="297" t="s">
        <v>1007</v>
      </c>
      <c r="C85" s="289">
        <f>data!Q85</f>
        <v>0</v>
      </c>
      <c r="D85" s="289">
        <f>data!R85</f>
        <v>0</v>
      </c>
      <c r="E85" s="289">
        <f>data!S85</f>
        <v>0</v>
      </c>
      <c r="F85" s="289">
        <f>data!T85</f>
        <v>0</v>
      </c>
      <c r="G85" s="289">
        <f>data!U85</f>
        <v>0</v>
      </c>
      <c r="H85" s="289">
        <f>data!V85</f>
        <v>0</v>
      </c>
      <c r="I85" s="289">
        <f>data!W85</f>
        <v>0</v>
      </c>
    </row>
    <row r="86" spans="1:9" customFormat="1" ht="20.149999999999999" customHeight="1" x14ac:dyDescent="0.35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49999999999999" customHeight="1" x14ac:dyDescent="0.35">
      <c r="A87" s="288">
        <v>18</v>
      </c>
      <c r="B87" s="289" t="s">
        <v>1008</v>
      </c>
      <c r="C87" s="297" t="e">
        <f>+data!M682</f>
        <v>#DIV/0!</v>
      </c>
      <c r="D87" s="297" t="e">
        <f>+data!M683</f>
        <v>#DIV/0!</v>
      </c>
      <c r="E87" s="297" t="e">
        <f>+data!M684</f>
        <v>#DIV/0!</v>
      </c>
      <c r="F87" s="297" t="e">
        <f>+data!M685</f>
        <v>#DIV/0!</v>
      </c>
      <c r="G87" s="297" t="e">
        <f>+data!M686</f>
        <v>#DIV/0!</v>
      </c>
      <c r="H87" s="297" t="e">
        <f>+data!M687</f>
        <v>#DIV/0!</v>
      </c>
      <c r="I87" s="297" t="e">
        <f>+data!M688</f>
        <v>#DIV/0!</v>
      </c>
    </row>
    <row r="88" spans="1:9" customFormat="1" ht="20.149999999999999" customHeight="1" x14ac:dyDescent="0.35">
      <c r="A88" s="288">
        <v>19</v>
      </c>
      <c r="B88" s="297" t="s">
        <v>1009</v>
      </c>
      <c r="C88" s="289">
        <f>data!Q87</f>
        <v>0</v>
      </c>
      <c r="D88" s="289">
        <f>data!R87</f>
        <v>0</v>
      </c>
      <c r="E88" s="289">
        <f>data!S87</f>
        <v>0</v>
      </c>
      <c r="F88" s="289">
        <f>data!T87</f>
        <v>0</v>
      </c>
      <c r="G88" s="289">
        <f>data!U87</f>
        <v>0</v>
      </c>
      <c r="H88" s="289">
        <f>data!V87</f>
        <v>0</v>
      </c>
      <c r="I88" s="289">
        <f>data!W87</f>
        <v>0</v>
      </c>
    </row>
    <row r="89" spans="1:9" customFormat="1" ht="20.149999999999999" customHeight="1" x14ac:dyDescent="0.35">
      <c r="A89" s="288">
        <v>20</v>
      </c>
      <c r="B89" s="297" t="s">
        <v>1010</v>
      </c>
      <c r="C89" s="289">
        <f>data!Q88</f>
        <v>0</v>
      </c>
      <c r="D89" s="289">
        <f>data!R88</f>
        <v>0</v>
      </c>
      <c r="E89" s="289">
        <f>data!S88</f>
        <v>0</v>
      </c>
      <c r="F89" s="289">
        <f>data!T88</f>
        <v>0</v>
      </c>
      <c r="G89" s="289">
        <f>data!U88</f>
        <v>0</v>
      </c>
      <c r="H89" s="289">
        <f>data!V88</f>
        <v>0</v>
      </c>
      <c r="I89" s="289">
        <f>data!W88</f>
        <v>0</v>
      </c>
    </row>
    <row r="90" spans="1:9" customFormat="1" ht="20.149999999999999" customHeight="1" x14ac:dyDescent="0.35">
      <c r="A90" s="288">
        <v>21</v>
      </c>
      <c r="B90" s="297" t="s">
        <v>1011</v>
      </c>
      <c r="C90" s="289">
        <f>data!Q89</f>
        <v>0</v>
      </c>
      <c r="D90" s="289">
        <f>data!R89</f>
        <v>0</v>
      </c>
      <c r="E90" s="289">
        <f>data!S89</f>
        <v>0</v>
      </c>
      <c r="F90" s="289">
        <f>data!T89</f>
        <v>0</v>
      </c>
      <c r="G90" s="289">
        <f>data!U89</f>
        <v>0</v>
      </c>
      <c r="H90" s="289">
        <f>data!V89</f>
        <v>0</v>
      </c>
      <c r="I90" s="289">
        <f>data!W89</f>
        <v>0</v>
      </c>
    </row>
    <row r="91" spans="1:9" customFormat="1" ht="20.149999999999999" customHeight="1" x14ac:dyDescent="0.35">
      <c r="A91" s="288" t="s">
        <v>1012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49999999999999" customHeight="1" x14ac:dyDescent="0.35">
      <c r="A92" s="288">
        <v>22</v>
      </c>
      <c r="B92" s="289" t="s">
        <v>1013</v>
      </c>
      <c r="C92" s="289">
        <f>data!Q90</f>
        <v>0</v>
      </c>
      <c r="D92" s="289">
        <f>data!R90</f>
        <v>0</v>
      </c>
      <c r="E92" s="289">
        <f>data!S90</f>
        <v>0</v>
      </c>
      <c r="F92" s="289">
        <f>data!T90</f>
        <v>0</v>
      </c>
      <c r="G92" s="289">
        <f>data!U90</f>
        <v>0</v>
      </c>
      <c r="H92" s="289">
        <f>data!V90</f>
        <v>0</v>
      </c>
      <c r="I92" s="289">
        <f>data!W90</f>
        <v>0</v>
      </c>
    </row>
    <row r="93" spans="1:9" customFormat="1" ht="20.149999999999999" customHeight="1" x14ac:dyDescent="0.35">
      <c r="A93" s="288">
        <v>23</v>
      </c>
      <c r="B93" s="289" t="s">
        <v>1014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49999999999999" customHeight="1" x14ac:dyDescent="0.35">
      <c r="A94" s="288">
        <v>24</v>
      </c>
      <c r="B94" s="289" t="s">
        <v>1015</v>
      </c>
      <c r="C94" s="289">
        <f>data!Q92</f>
        <v>0</v>
      </c>
      <c r="D94" s="289">
        <f>data!R92</f>
        <v>0</v>
      </c>
      <c r="E94" s="289">
        <f>data!S92</f>
        <v>0</v>
      </c>
      <c r="F94" s="289">
        <f>data!T92</f>
        <v>0</v>
      </c>
      <c r="G94" s="289">
        <f>data!U92</f>
        <v>0</v>
      </c>
      <c r="H94" s="289">
        <f>data!V92</f>
        <v>0</v>
      </c>
      <c r="I94" s="289">
        <f>data!W92</f>
        <v>0</v>
      </c>
    </row>
    <row r="95" spans="1:9" customFormat="1" ht="20.149999999999999" customHeight="1" x14ac:dyDescent="0.35">
      <c r="A95" s="288">
        <v>25</v>
      </c>
      <c r="B95" s="289" t="s">
        <v>1016</v>
      </c>
      <c r="C95" s="289">
        <f>data!Q93</f>
        <v>0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0</v>
      </c>
      <c r="H95" s="289">
        <f>data!V93</f>
        <v>0</v>
      </c>
      <c r="I95" s="289">
        <f>data!W93</f>
        <v>0</v>
      </c>
    </row>
    <row r="96" spans="1:9" customFormat="1" ht="20.149999999999999" customHeight="1" x14ac:dyDescent="0.35">
      <c r="A96" s="288">
        <v>26</v>
      </c>
      <c r="B96" s="289" t="s">
        <v>294</v>
      </c>
      <c r="C96" s="296">
        <f>data!Q94</f>
        <v>0</v>
      </c>
      <c r="D96" s="296">
        <f>data!R94</f>
        <v>0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49999999999999" customHeight="1" x14ac:dyDescent="0.35">
      <c r="A97" s="282" t="s">
        <v>998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49999999999999" customHeight="1" x14ac:dyDescent="0.35">
      <c r="D98" s="284"/>
      <c r="I98" s="285" t="s">
        <v>1025</v>
      </c>
    </row>
    <row r="99" spans="1:9" customFormat="1" ht="20.149999999999999" customHeight="1" x14ac:dyDescent="0.35">
      <c r="A99" s="284"/>
    </row>
    <row r="100" spans="1:9" customFormat="1" ht="20.149999999999999" customHeight="1" x14ac:dyDescent="0.35">
      <c r="A100" s="286" t="str">
        <f>"Hospital: "&amp;data!C98</f>
        <v>Hospital: Rainier Springs</v>
      </c>
      <c r="G100" s="287"/>
      <c r="H100" s="286" t="str">
        <f>"FYE: "&amp;data!C96</f>
        <v>FYE: 12/31/2023</v>
      </c>
    </row>
    <row r="101" spans="1:9" customFormat="1" ht="20.149999999999999" customHeight="1" x14ac:dyDescent="0.35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49999999999999" customHeight="1" x14ac:dyDescent="0.35">
      <c r="A102" s="292">
        <v>2</v>
      </c>
      <c r="B102" s="293" t="s">
        <v>1000</v>
      </c>
      <c r="C102" s="295" t="s">
        <v>1026</v>
      </c>
      <c r="D102" s="295" t="s">
        <v>1027</v>
      </c>
      <c r="E102" s="295" t="s">
        <v>1027</v>
      </c>
      <c r="F102" s="295" t="s">
        <v>141</v>
      </c>
      <c r="G102" s="295"/>
      <c r="H102" s="295" t="s">
        <v>143</v>
      </c>
      <c r="I102" s="295"/>
    </row>
    <row r="103" spans="1:9" customFormat="1" ht="20.149999999999999" customHeight="1" x14ac:dyDescent="0.35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49999999999999" customHeight="1" x14ac:dyDescent="0.35">
      <c r="A104" s="288">
        <v>3</v>
      </c>
      <c r="B104" s="289" t="s">
        <v>1004</v>
      </c>
      <c r="C104" s="290" t="s">
        <v>251</v>
      </c>
      <c r="D104" s="291" t="s">
        <v>1028</v>
      </c>
      <c r="E104" s="291" t="s">
        <v>1028</v>
      </c>
      <c r="F104" s="291" t="s">
        <v>1028</v>
      </c>
      <c r="G104" s="301"/>
      <c r="H104" s="291" t="s">
        <v>253</v>
      </c>
      <c r="I104" s="291" t="s">
        <v>254</v>
      </c>
    </row>
    <row r="105" spans="1:9" customFormat="1" ht="20.149999999999999" customHeight="1" x14ac:dyDescent="0.35">
      <c r="A105" s="288">
        <v>4</v>
      </c>
      <c r="B105" s="289" t="s">
        <v>261</v>
      </c>
      <c r="C105" s="289">
        <f>data!X59</f>
        <v>0</v>
      </c>
      <c r="D105" s="289">
        <f>data!Y59</f>
        <v>0</v>
      </c>
      <c r="E105" s="289">
        <f>data!Z59</f>
        <v>0</v>
      </c>
      <c r="F105" s="289">
        <f>data!AA59</f>
        <v>0</v>
      </c>
      <c r="G105" s="301"/>
      <c r="H105" s="289">
        <f>data!AC59</f>
        <v>0</v>
      </c>
      <c r="I105" s="289">
        <f>data!AD59</f>
        <v>0</v>
      </c>
    </row>
    <row r="106" spans="1:9" customFormat="1" ht="20.149999999999999" customHeight="1" x14ac:dyDescent="0.35">
      <c r="A106" s="288">
        <v>5</v>
      </c>
      <c r="B106" s="289" t="s">
        <v>262</v>
      </c>
      <c r="C106" s="296">
        <f>data!X60</f>
        <v>0</v>
      </c>
      <c r="D106" s="296">
        <f>data!Y60</f>
        <v>0</v>
      </c>
      <c r="E106" s="296">
        <f>data!Z60</f>
        <v>0</v>
      </c>
      <c r="F106" s="296">
        <f>data!AA60</f>
        <v>0</v>
      </c>
      <c r="G106" s="296">
        <f>data!AB60</f>
        <v>0</v>
      </c>
      <c r="H106" s="296">
        <f>data!AC60</f>
        <v>0</v>
      </c>
      <c r="I106" s="296">
        <f>data!AD60</f>
        <v>0</v>
      </c>
    </row>
    <row r="107" spans="1:9" customFormat="1" ht="20.149999999999999" customHeight="1" x14ac:dyDescent="0.35">
      <c r="A107" s="288">
        <v>6</v>
      </c>
      <c r="B107" s="289" t="s">
        <v>263</v>
      </c>
      <c r="C107" s="289">
        <f>data!X61</f>
        <v>0</v>
      </c>
      <c r="D107" s="289">
        <f>data!Y61</f>
        <v>0</v>
      </c>
      <c r="E107" s="289">
        <f>data!Z61</f>
        <v>0</v>
      </c>
      <c r="F107" s="289">
        <f>data!AA61</f>
        <v>0</v>
      </c>
      <c r="G107" s="289">
        <f>data!AB61</f>
        <v>0</v>
      </c>
      <c r="H107" s="289">
        <f>data!AC61</f>
        <v>0</v>
      </c>
      <c r="I107" s="289">
        <f>data!AD61</f>
        <v>0</v>
      </c>
    </row>
    <row r="108" spans="1:9" customFormat="1" ht="20.149999999999999" customHeight="1" x14ac:dyDescent="0.35">
      <c r="A108" s="288">
        <v>7</v>
      </c>
      <c r="B108" s="289" t="s">
        <v>11</v>
      </c>
      <c r="C108" s="289">
        <f>data!X62</f>
        <v>0</v>
      </c>
      <c r="D108" s="289">
        <f>data!Y62</f>
        <v>0</v>
      </c>
      <c r="E108" s="289">
        <f>data!Z62</f>
        <v>0</v>
      </c>
      <c r="F108" s="289">
        <f>data!AA62</f>
        <v>0</v>
      </c>
      <c r="G108" s="289">
        <f>data!AB62</f>
        <v>0</v>
      </c>
      <c r="H108" s="289">
        <f>data!AC62</f>
        <v>0</v>
      </c>
      <c r="I108" s="289">
        <f>data!AD62</f>
        <v>0</v>
      </c>
    </row>
    <row r="109" spans="1:9" customFormat="1" ht="20.149999999999999" customHeight="1" x14ac:dyDescent="0.35">
      <c r="A109" s="288">
        <v>8</v>
      </c>
      <c r="B109" s="289" t="s">
        <v>264</v>
      </c>
      <c r="C109" s="289">
        <f>data!X63</f>
        <v>0</v>
      </c>
      <c r="D109" s="289">
        <f>data!Y63</f>
        <v>0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49999999999999" customHeight="1" x14ac:dyDescent="0.35">
      <c r="A110" s="288">
        <v>9</v>
      </c>
      <c r="B110" s="289" t="s">
        <v>265</v>
      </c>
      <c r="C110" s="289">
        <f>data!X64</f>
        <v>0</v>
      </c>
      <c r="D110" s="289">
        <f>data!Y64</f>
        <v>0</v>
      </c>
      <c r="E110" s="289">
        <f>data!Z64</f>
        <v>0</v>
      </c>
      <c r="F110" s="289">
        <f>data!AA64</f>
        <v>0</v>
      </c>
      <c r="G110" s="289">
        <f>data!AB64</f>
        <v>0</v>
      </c>
      <c r="H110" s="289">
        <f>data!AC64</f>
        <v>0</v>
      </c>
      <c r="I110" s="289">
        <f>data!AD64</f>
        <v>0</v>
      </c>
    </row>
    <row r="111" spans="1:9" customFormat="1" ht="20.149999999999999" customHeight="1" x14ac:dyDescent="0.35">
      <c r="A111" s="288">
        <v>10</v>
      </c>
      <c r="B111" s="289" t="s">
        <v>522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0</v>
      </c>
      <c r="H111" s="289">
        <f>data!AC65</f>
        <v>0</v>
      </c>
      <c r="I111" s="289">
        <f>data!AD65</f>
        <v>0</v>
      </c>
    </row>
    <row r="112" spans="1:9" customFormat="1" ht="20.149999999999999" customHeight="1" x14ac:dyDescent="0.35">
      <c r="A112" s="288">
        <v>11</v>
      </c>
      <c r="B112" s="289" t="s">
        <v>523</v>
      </c>
      <c r="C112" s="289">
        <f>data!X66</f>
        <v>0</v>
      </c>
      <c r="D112" s="289">
        <f>data!Y66</f>
        <v>0</v>
      </c>
      <c r="E112" s="289">
        <f>data!Z66</f>
        <v>0</v>
      </c>
      <c r="F112" s="289">
        <f>data!AA66</f>
        <v>0</v>
      </c>
      <c r="G112" s="289">
        <f>data!AB66</f>
        <v>0</v>
      </c>
      <c r="H112" s="289">
        <f>data!AC66</f>
        <v>0</v>
      </c>
      <c r="I112" s="289">
        <f>data!AD66</f>
        <v>0</v>
      </c>
    </row>
    <row r="113" spans="1:9" customFormat="1" ht="20.149999999999999" customHeight="1" x14ac:dyDescent="0.35">
      <c r="A113" s="288">
        <v>12</v>
      </c>
      <c r="B113" s="289" t="s">
        <v>16</v>
      </c>
      <c r="C113" s="289">
        <f>data!X67</f>
        <v>0</v>
      </c>
      <c r="D113" s="289">
        <f>data!Y67</f>
        <v>0</v>
      </c>
      <c r="E113" s="289">
        <f>data!Z67</f>
        <v>0</v>
      </c>
      <c r="F113" s="289">
        <f>data!AA67</f>
        <v>0</v>
      </c>
      <c r="G113" s="289">
        <f>data!AB67</f>
        <v>0</v>
      </c>
      <c r="H113" s="289">
        <f>data!AC67</f>
        <v>0</v>
      </c>
      <c r="I113" s="289">
        <f>data!AD67</f>
        <v>0</v>
      </c>
    </row>
    <row r="114" spans="1:9" customFormat="1" ht="20.149999999999999" customHeight="1" x14ac:dyDescent="0.35">
      <c r="A114" s="288">
        <v>13</v>
      </c>
      <c r="B114" s="289" t="s">
        <v>1005</v>
      </c>
      <c r="C114" s="289">
        <f>data!X68</f>
        <v>0</v>
      </c>
      <c r="D114" s="289">
        <f>data!Y68</f>
        <v>0</v>
      </c>
      <c r="E114" s="289">
        <f>data!Z68</f>
        <v>0</v>
      </c>
      <c r="F114" s="289">
        <f>data!AA68</f>
        <v>0</v>
      </c>
      <c r="G114" s="289">
        <f>data!AB68</f>
        <v>0</v>
      </c>
      <c r="H114" s="289">
        <f>data!AC68</f>
        <v>0</v>
      </c>
      <c r="I114" s="289">
        <f>data!AD68</f>
        <v>0</v>
      </c>
    </row>
    <row r="115" spans="1:9" customFormat="1" ht="20.149999999999999" customHeight="1" x14ac:dyDescent="0.35">
      <c r="A115" s="288">
        <v>14</v>
      </c>
      <c r="B115" s="289" t="s">
        <v>1006</v>
      </c>
      <c r="C115" s="289">
        <f>data!X69</f>
        <v>0</v>
      </c>
      <c r="D115" s="289">
        <f>data!Y69</f>
        <v>0</v>
      </c>
      <c r="E115" s="289">
        <f>data!Z69</f>
        <v>0</v>
      </c>
      <c r="F115" s="289">
        <f>data!AA69</f>
        <v>0</v>
      </c>
      <c r="G115" s="289">
        <f>data!AB69</f>
        <v>0</v>
      </c>
      <c r="H115" s="289">
        <f>data!AC69</f>
        <v>0</v>
      </c>
      <c r="I115" s="289">
        <f>data!AD69</f>
        <v>0</v>
      </c>
    </row>
    <row r="116" spans="1:9" customFormat="1" ht="20.149999999999999" customHeight="1" x14ac:dyDescent="0.35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49999999999999" customHeight="1" x14ac:dyDescent="0.35">
      <c r="A117" s="288">
        <v>16</v>
      </c>
      <c r="B117" s="297" t="s">
        <v>1007</v>
      </c>
      <c r="C117" s="289">
        <f>data!X85</f>
        <v>0</v>
      </c>
      <c r="D117" s="289">
        <f>data!Y85</f>
        <v>0</v>
      </c>
      <c r="E117" s="289">
        <f>data!Z85</f>
        <v>0</v>
      </c>
      <c r="F117" s="289">
        <f>data!AA85</f>
        <v>0</v>
      </c>
      <c r="G117" s="289">
        <f>data!AB85</f>
        <v>0</v>
      </c>
      <c r="H117" s="289">
        <f>data!AC85</f>
        <v>0</v>
      </c>
      <c r="I117" s="289">
        <f>data!AD85</f>
        <v>0</v>
      </c>
    </row>
    <row r="118" spans="1:9" customFormat="1" ht="20.149999999999999" customHeight="1" x14ac:dyDescent="0.35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49999999999999" customHeight="1" x14ac:dyDescent="0.35">
      <c r="A119" s="288">
        <v>18</v>
      </c>
      <c r="B119" s="289" t="s">
        <v>1008</v>
      </c>
      <c r="C119" s="297" t="e">
        <f>+data!M689</f>
        <v>#DIV/0!</v>
      </c>
      <c r="D119" s="297" t="e">
        <f>+data!M690</f>
        <v>#DIV/0!</v>
      </c>
      <c r="E119" s="297" t="e">
        <f>+data!M691</f>
        <v>#DIV/0!</v>
      </c>
      <c r="F119" s="297" t="e">
        <f>+data!M692</f>
        <v>#DIV/0!</v>
      </c>
      <c r="G119" s="297" t="e">
        <f>+data!M693</f>
        <v>#DIV/0!</v>
      </c>
      <c r="H119" s="297" t="e">
        <f>+data!M694</f>
        <v>#DIV/0!</v>
      </c>
      <c r="I119" s="297" t="e">
        <f>+data!M695</f>
        <v>#DIV/0!</v>
      </c>
    </row>
    <row r="120" spans="1:9" customFormat="1" ht="20.149999999999999" customHeight="1" x14ac:dyDescent="0.35">
      <c r="A120" s="288">
        <v>19</v>
      </c>
      <c r="B120" s="297" t="s">
        <v>1009</v>
      </c>
      <c r="C120" s="289">
        <f>data!X87</f>
        <v>0</v>
      </c>
      <c r="D120" s="289">
        <f>data!Y87</f>
        <v>0</v>
      </c>
      <c r="E120" s="289">
        <f>data!Z87</f>
        <v>0</v>
      </c>
      <c r="F120" s="289">
        <f>data!AA87</f>
        <v>0</v>
      </c>
      <c r="G120" s="289">
        <f>data!AB87</f>
        <v>0</v>
      </c>
      <c r="H120" s="289">
        <f>data!AC87</f>
        <v>0</v>
      </c>
      <c r="I120" s="289">
        <f>data!AD87</f>
        <v>0</v>
      </c>
    </row>
    <row r="121" spans="1:9" customFormat="1" ht="20.149999999999999" customHeight="1" x14ac:dyDescent="0.35">
      <c r="A121" s="288">
        <v>20</v>
      </c>
      <c r="B121" s="297" t="s">
        <v>1010</v>
      </c>
      <c r="C121" s="289">
        <f>data!X88</f>
        <v>0</v>
      </c>
      <c r="D121" s="289">
        <f>data!Y88</f>
        <v>0</v>
      </c>
      <c r="E121" s="289">
        <f>data!Z88</f>
        <v>0</v>
      </c>
      <c r="F121" s="289">
        <f>data!AA88</f>
        <v>0</v>
      </c>
      <c r="G121" s="289">
        <f>data!AB88</f>
        <v>0</v>
      </c>
      <c r="H121" s="289">
        <f>data!AC88</f>
        <v>0</v>
      </c>
      <c r="I121" s="289">
        <f>data!AD88</f>
        <v>0</v>
      </c>
    </row>
    <row r="122" spans="1:9" customFormat="1" ht="20.149999999999999" customHeight="1" x14ac:dyDescent="0.35">
      <c r="A122" s="288">
        <v>21</v>
      </c>
      <c r="B122" s="297" t="s">
        <v>1011</v>
      </c>
      <c r="C122" s="289">
        <f>data!X89</f>
        <v>0</v>
      </c>
      <c r="D122" s="289">
        <f>data!Y89</f>
        <v>0</v>
      </c>
      <c r="E122" s="289">
        <f>data!Z89</f>
        <v>0</v>
      </c>
      <c r="F122" s="289">
        <f>data!AA89</f>
        <v>0</v>
      </c>
      <c r="G122" s="289">
        <f>data!AB89</f>
        <v>0</v>
      </c>
      <c r="H122" s="289">
        <f>data!AC89</f>
        <v>0</v>
      </c>
      <c r="I122" s="289">
        <f>data!AD89</f>
        <v>0</v>
      </c>
    </row>
    <row r="123" spans="1:9" customFormat="1" ht="20.149999999999999" customHeight="1" x14ac:dyDescent="0.35">
      <c r="A123" s="288" t="s">
        <v>1012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49999999999999" customHeight="1" x14ac:dyDescent="0.35">
      <c r="A124" s="288">
        <v>22</v>
      </c>
      <c r="B124" s="289" t="s">
        <v>1013</v>
      </c>
      <c r="C124" s="289">
        <f>data!X90</f>
        <v>0</v>
      </c>
      <c r="D124" s="289">
        <f>data!Y90</f>
        <v>0</v>
      </c>
      <c r="E124" s="289">
        <f>data!Z90</f>
        <v>0</v>
      </c>
      <c r="F124" s="289">
        <f>data!AA90</f>
        <v>0</v>
      </c>
      <c r="G124" s="289">
        <f>data!AB90</f>
        <v>0</v>
      </c>
      <c r="H124" s="289">
        <f>data!AC90</f>
        <v>0</v>
      </c>
      <c r="I124" s="289">
        <f>data!AD90</f>
        <v>0</v>
      </c>
    </row>
    <row r="125" spans="1:9" customFormat="1" ht="20.149999999999999" customHeight="1" x14ac:dyDescent="0.35">
      <c r="A125" s="288">
        <v>23</v>
      </c>
      <c r="B125" s="289" t="s">
        <v>1014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49999999999999" customHeight="1" x14ac:dyDescent="0.35">
      <c r="A126" s="288">
        <v>24</v>
      </c>
      <c r="B126" s="289" t="s">
        <v>1015</v>
      </c>
      <c r="C126" s="289">
        <f>data!X92</f>
        <v>0</v>
      </c>
      <c r="D126" s="289">
        <f>data!Y92</f>
        <v>0</v>
      </c>
      <c r="E126" s="289">
        <f>data!Z92</f>
        <v>0</v>
      </c>
      <c r="F126" s="289">
        <f>data!AA92</f>
        <v>0</v>
      </c>
      <c r="G126" s="289">
        <f>data!AB92</f>
        <v>0</v>
      </c>
      <c r="H126" s="289">
        <f>data!AC92</f>
        <v>0</v>
      </c>
      <c r="I126" s="289">
        <f>data!AD92</f>
        <v>0</v>
      </c>
    </row>
    <row r="127" spans="1:9" customFormat="1" ht="20.149999999999999" customHeight="1" x14ac:dyDescent="0.35">
      <c r="A127" s="288">
        <v>25</v>
      </c>
      <c r="B127" s="289" t="s">
        <v>1016</v>
      </c>
      <c r="C127" s="289">
        <f>data!X93</f>
        <v>0</v>
      </c>
      <c r="D127" s="289">
        <f>data!Y93</f>
        <v>0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49999999999999" customHeight="1" x14ac:dyDescent="0.35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49999999999999" customHeight="1" x14ac:dyDescent="0.35">
      <c r="A129" s="282" t="s">
        <v>998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49999999999999" customHeight="1" x14ac:dyDescent="0.35">
      <c r="D130" s="284"/>
      <c r="I130" s="285" t="s">
        <v>1029</v>
      </c>
    </row>
    <row r="131" spans="1:14" customFormat="1" ht="20.149999999999999" customHeight="1" x14ac:dyDescent="0.35">
      <c r="A131" s="284"/>
    </row>
    <row r="132" spans="1:14" customFormat="1" ht="20.149999999999999" customHeight="1" x14ac:dyDescent="0.35">
      <c r="A132" s="286" t="str">
        <f>"Hospital: "&amp;data!C98</f>
        <v>Hospital: Rainier Springs</v>
      </c>
      <c r="G132" s="287"/>
      <c r="H132" s="286" t="str">
        <f>"FYE: "&amp;data!C96</f>
        <v>FYE: 12/31/2023</v>
      </c>
    </row>
    <row r="133" spans="1:14" customFormat="1" ht="20.149999999999999" customHeight="1" x14ac:dyDescent="0.35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49999999999999" customHeight="1" x14ac:dyDescent="0.35">
      <c r="A134" s="292">
        <v>2</v>
      </c>
      <c r="B134" s="293" t="s">
        <v>1000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1030</v>
      </c>
      <c r="H134" s="295"/>
      <c r="I134" s="295" t="s">
        <v>149</v>
      </c>
    </row>
    <row r="135" spans="1:14" customFormat="1" ht="20.149999999999999" customHeight="1" x14ac:dyDescent="0.35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49999999999999" customHeight="1" x14ac:dyDescent="0.35">
      <c r="A136" s="288">
        <v>3</v>
      </c>
      <c r="B136" s="289" t="s">
        <v>1004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1031</v>
      </c>
      <c r="H136" s="291" t="s">
        <v>255</v>
      </c>
      <c r="I136" s="291" t="s">
        <v>253</v>
      </c>
    </row>
    <row r="137" spans="1:14" customFormat="1" ht="20.149999999999999" customHeight="1" x14ac:dyDescent="0.35">
      <c r="A137" s="288">
        <v>4</v>
      </c>
      <c r="B137" s="289" t="s">
        <v>261</v>
      </c>
      <c r="C137" s="289">
        <f>data!AE59</f>
        <v>0</v>
      </c>
      <c r="D137" s="289">
        <f>data!AF59</f>
        <v>0</v>
      </c>
      <c r="E137" s="289">
        <f>data!AG59</f>
        <v>0</v>
      </c>
      <c r="F137" s="289">
        <f>data!AH59</f>
        <v>0</v>
      </c>
      <c r="G137" s="289">
        <f>data!AI59</f>
        <v>0</v>
      </c>
      <c r="H137" s="289">
        <f>data!AJ59</f>
        <v>0</v>
      </c>
      <c r="I137" s="289">
        <f>data!AK59</f>
        <v>0</v>
      </c>
      <c r="K137" s="300"/>
      <c r="L137" s="302"/>
      <c r="M137" s="302"/>
      <c r="N137" s="302"/>
    </row>
    <row r="138" spans="1:14" customFormat="1" ht="20.149999999999999" customHeight="1" x14ac:dyDescent="0.35">
      <c r="A138" s="288">
        <v>5</v>
      </c>
      <c r="B138" s="289" t="s">
        <v>262</v>
      </c>
      <c r="C138" s="296">
        <f>data!AE60</f>
        <v>0</v>
      </c>
      <c r="D138" s="296">
        <f>data!AF60</f>
        <v>0</v>
      </c>
      <c r="E138" s="296">
        <f>data!AG60</f>
        <v>0</v>
      </c>
      <c r="F138" s="296">
        <f>data!AH60</f>
        <v>0</v>
      </c>
      <c r="G138" s="296">
        <f>data!AI60</f>
        <v>0</v>
      </c>
      <c r="H138" s="296">
        <f>data!AJ60</f>
        <v>0</v>
      </c>
      <c r="I138" s="296">
        <f>data!AK60</f>
        <v>0</v>
      </c>
    </row>
    <row r="139" spans="1:14" customFormat="1" ht="20.149999999999999" customHeight="1" x14ac:dyDescent="0.35">
      <c r="A139" s="288">
        <v>6</v>
      </c>
      <c r="B139" s="289" t="s">
        <v>263</v>
      </c>
      <c r="C139" s="289">
        <f>data!AE61</f>
        <v>0</v>
      </c>
      <c r="D139" s="289">
        <f>data!AF61</f>
        <v>0</v>
      </c>
      <c r="E139" s="289">
        <f>data!AG61</f>
        <v>0</v>
      </c>
      <c r="F139" s="289">
        <f>data!AH61</f>
        <v>0</v>
      </c>
      <c r="G139" s="289">
        <f>data!AI61</f>
        <v>0</v>
      </c>
      <c r="H139" s="289">
        <f>data!AJ61</f>
        <v>0</v>
      </c>
      <c r="I139" s="289">
        <f>data!AK61</f>
        <v>0</v>
      </c>
    </row>
    <row r="140" spans="1:14" customFormat="1" ht="20.149999999999999" customHeight="1" x14ac:dyDescent="0.35">
      <c r="A140" s="288">
        <v>7</v>
      </c>
      <c r="B140" s="289" t="s">
        <v>11</v>
      </c>
      <c r="C140" s="289">
        <f>data!AE62</f>
        <v>0</v>
      </c>
      <c r="D140" s="289">
        <f>data!AF62</f>
        <v>0</v>
      </c>
      <c r="E140" s="289">
        <f>data!AG62</f>
        <v>0</v>
      </c>
      <c r="F140" s="289">
        <f>data!AH62</f>
        <v>0</v>
      </c>
      <c r="G140" s="289">
        <f>data!AI62</f>
        <v>0</v>
      </c>
      <c r="H140" s="289">
        <f>data!AJ62</f>
        <v>0</v>
      </c>
      <c r="I140" s="289">
        <f>data!AK62</f>
        <v>0</v>
      </c>
    </row>
    <row r="141" spans="1:14" customFormat="1" ht="20.149999999999999" customHeight="1" x14ac:dyDescent="0.35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0</v>
      </c>
      <c r="F141" s="289">
        <f>data!AH63</f>
        <v>0</v>
      </c>
      <c r="G141" s="289">
        <f>data!AI63</f>
        <v>0</v>
      </c>
      <c r="H141" s="289">
        <f>data!AJ63</f>
        <v>0</v>
      </c>
      <c r="I141" s="289">
        <f>data!AK63</f>
        <v>0</v>
      </c>
    </row>
    <row r="142" spans="1:14" customFormat="1" ht="20.149999999999999" customHeight="1" x14ac:dyDescent="0.35">
      <c r="A142" s="288">
        <v>9</v>
      </c>
      <c r="B142" s="289" t="s">
        <v>265</v>
      </c>
      <c r="C142" s="289">
        <f>data!AE64</f>
        <v>0</v>
      </c>
      <c r="D142" s="289">
        <f>data!AF64</f>
        <v>0</v>
      </c>
      <c r="E142" s="289">
        <f>data!AG64</f>
        <v>0</v>
      </c>
      <c r="F142" s="289">
        <f>data!AH64</f>
        <v>0</v>
      </c>
      <c r="G142" s="289">
        <f>data!AI64</f>
        <v>0</v>
      </c>
      <c r="H142" s="289">
        <f>data!AJ64</f>
        <v>0</v>
      </c>
      <c r="I142" s="289">
        <f>data!AK64</f>
        <v>0</v>
      </c>
    </row>
    <row r="143" spans="1:14" customFormat="1" ht="20.149999999999999" customHeight="1" x14ac:dyDescent="0.35">
      <c r="A143" s="288">
        <v>10</v>
      </c>
      <c r="B143" s="289" t="s">
        <v>522</v>
      </c>
      <c r="C143" s="289">
        <f>data!AE65</f>
        <v>0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0</v>
      </c>
      <c r="I143" s="289">
        <f>data!AK65</f>
        <v>0</v>
      </c>
    </row>
    <row r="144" spans="1:14" customFormat="1" ht="20.149999999999999" customHeight="1" x14ac:dyDescent="0.35">
      <c r="A144" s="288">
        <v>11</v>
      </c>
      <c r="B144" s="289" t="s">
        <v>523</v>
      </c>
      <c r="C144" s="289">
        <f>data!AE66</f>
        <v>0</v>
      </c>
      <c r="D144" s="289">
        <f>data!AF66</f>
        <v>0</v>
      </c>
      <c r="E144" s="289">
        <f>data!AG66</f>
        <v>0</v>
      </c>
      <c r="F144" s="289">
        <f>data!AH66</f>
        <v>0</v>
      </c>
      <c r="G144" s="289">
        <f>data!AI66</f>
        <v>0</v>
      </c>
      <c r="H144" s="289">
        <f>data!AJ66</f>
        <v>0</v>
      </c>
      <c r="I144" s="289">
        <f>data!AK66</f>
        <v>0</v>
      </c>
    </row>
    <row r="145" spans="1:9" customFormat="1" ht="20.149999999999999" customHeight="1" x14ac:dyDescent="0.35">
      <c r="A145" s="288">
        <v>12</v>
      </c>
      <c r="B145" s="289" t="s">
        <v>16</v>
      </c>
      <c r="C145" s="289">
        <f>data!AE67</f>
        <v>0</v>
      </c>
      <c r="D145" s="289">
        <f>data!AF67</f>
        <v>0</v>
      </c>
      <c r="E145" s="289">
        <f>data!AG67</f>
        <v>0</v>
      </c>
      <c r="F145" s="289">
        <f>data!AH67</f>
        <v>0</v>
      </c>
      <c r="G145" s="289">
        <f>data!AI67</f>
        <v>0</v>
      </c>
      <c r="H145" s="289">
        <f>data!AJ67</f>
        <v>0</v>
      </c>
      <c r="I145" s="289">
        <f>data!AK67</f>
        <v>0</v>
      </c>
    </row>
    <row r="146" spans="1:9" customFormat="1" ht="20.149999999999999" customHeight="1" x14ac:dyDescent="0.35">
      <c r="A146" s="288">
        <v>13</v>
      </c>
      <c r="B146" s="289" t="s">
        <v>1005</v>
      </c>
      <c r="C146" s="289">
        <f>data!AE68</f>
        <v>0</v>
      </c>
      <c r="D146" s="289">
        <f>data!AF68</f>
        <v>0</v>
      </c>
      <c r="E146" s="289">
        <f>data!AG68</f>
        <v>0</v>
      </c>
      <c r="F146" s="289">
        <f>data!AH68</f>
        <v>0</v>
      </c>
      <c r="G146" s="289">
        <f>data!AI68</f>
        <v>0</v>
      </c>
      <c r="H146" s="289">
        <f>data!AJ68</f>
        <v>0</v>
      </c>
      <c r="I146" s="289">
        <f>data!AK68</f>
        <v>0</v>
      </c>
    </row>
    <row r="147" spans="1:9" customFormat="1" ht="20.149999999999999" customHeight="1" x14ac:dyDescent="0.35">
      <c r="A147" s="288">
        <v>14</v>
      </c>
      <c r="B147" s="289" t="s">
        <v>1006</v>
      </c>
      <c r="C147" s="289">
        <f>data!AE69</f>
        <v>0</v>
      </c>
      <c r="D147" s="289">
        <f>data!AF69</f>
        <v>0</v>
      </c>
      <c r="E147" s="289">
        <f>data!AG69</f>
        <v>0</v>
      </c>
      <c r="F147" s="289">
        <f>data!AH69</f>
        <v>0</v>
      </c>
      <c r="G147" s="289">
        <f>data!AI69</f>
        <v>0</v>
      </c>
      <c r="H147" s="289">
        <f>data!AJ69</f>
        <v>0</v>
      </c>
      <c r="I147" s="289">
        <f>data!AK69</f>
        <v>0</v>
      </c>
    </row>
    <row r="148" spans="1:9" customFormat="1" ht="20.149999999999999" customHeight="1" x14ac:dyDescent="0.35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49999999999999" customHeight="1" x14ac:dyDescent="0.35">
      <c r="A149" s="288">
        <v>16</v>
      </c>
      <c r="B149" s="297" t="s">
        <v>1007</v>
      </c>
      <c r="C149" s="289">
        <f>data!AE85</f>
        <v>0</v>
      </c>
      <c r="D149" s="289">
        <f>data!AF85</f>
        <v>0</v>
      </c>
      <c r="E149" s="289">
        <f>data!AG85</f>
        <v>0</v>
      </c>
      <c r="F149" s="289">
        <f>data!AH85</f>
        <v>0</v>
      </c>
      <c r="G149" s="289">
        <f>data!AI85</f>
        <v>0</v>
      </c>
      <c r="H149" s="289">
        <f>data!AJ85</f>
        <v>0</v>
      </c>
      <c r="I149" s="289">
        <f>data!AK85</f>
        <v>0</v>
      </c>
    </row>
    <row r="150" spans="1:9" customFormat="1" ht="20.149999999999999" customHeight="1" x14ac:dyDescent="0.35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49999999999999" customHeight="1" x14ac:dyDescent="0.35">
      <c r="A151" s="288">
        <v>18</v>
      </c>
      <c r="B151" s="289" t="s">
        <v>1008</v>
      </c>
      <c r="C151" s="297" t="e">
        <f>+data!M696</f>
        <v>#DIV/0!</v>
      </c>
      <c r="D151" s="297" t="e">
        <f>+data!M697</f>
        <v>#DIV/0!</v>
      </c>
      <c r="E151" s="297" t="e">
        <f>+data!M698</f>
        <v>#DIV/0!</v>
      </c>
      <c r="F151" s="297" t="e">
        <f>+data!M699</f>
        <v>#DIV/0!</v>
      </c>
      <c r="G151" s="297" t="e">
        <f>+data!M700</f>
        <v>#DIV/0!</v>
      </c>
      <c r="H151" s="297" t="e">
        <f>+data!M701</f>
        <v>#DIV/0!</v>
      </c>
      <c r="I151" s="297" t="e">
        <f>+data!M702</f>
        <v>#DIV/0!</v>
      </c>
    </row>
    <row r="152" spans="1:9" customFormat="1" ht="20.149999999999999" customHeight="1" x14ac:dyDescent="0.35">
      <c r="A152" s="288">
        <v>19</v>
      </c>
      <c r="B152" s="297" t="s">
        <v>1009</v>
      </c>
      <c r="C152" s="289">
        <f>data!AE87</f>
        <v>0</v>
      </c>
      <c r="D152" s="289">
        <f>data!AF87</f>
        <v>0</v>
      </c>
      <c r="E152" s="289">
        <f>data!AG87</f>
        <v>0</v>
      </c>
      <c r="F152" s="289">
        <f>data!AH87</f>
        <v>0</v>
      </c>
      <c r="G152" s="289">
        <f>data!AI87</f>
        <v>0</v>
      </c>
      <c r="H152" s="289">
        <f>data!AJ87</f>
        <v>0</v>
      </c>
      <c r="I152" s="289">
        <f>data!AK87</f>
        <v>0</v>
      </c>
    </row>
    <row r="153" spans="1:9" customFormat="1" ht="20.149999999999999" customHeight="1" x14ac:dyDescent="0.35">
      <c r="A153" s="288">
        <v>20</v>
      </c>
      <c r="B153" s="297" t="s">
        <v>1010</v>
      </c>
      <c r="C153" s="289">
        <f>data!AE88</f>
        <v>0</v>
      </c>
      <c r="D153" s="289">
        <f>data!AF88</f>
        <v>0</v>
      </c>
      <c r="E153" s="289">
        <f>data!AG88</f>
        <v>0</v>
      </c>
      <c r="F153" s="289">
        <f>data!AH88</f>
        <v>0</v>
      </c>
      <c r="G153" s="289">
        <f>data!AI88</f>
        <v>0</v>
      </c>
      <c r="H153" s="289">
        <f>data!AJ88</f>
        <v>0</v>
      </c>
      <c r="I153" s="289">
        <f>data!AK88</f>
        <v>0</v>
      </c>
    </row>
    <row r="154" spans="1:9" customFormat="1" ht="20.149999999999999" customHeight="1" x14ac:dyDescent="0.35">
      <c r="A154" s="288">
        <v>21</v>
      </c>
      <c r="B154" s="297" t="s">
        <v>1011</v>
      </c>
      <c r="C154" s="289">
        <f>data!AE89</f>
        <v>0</v>
      </c>
      <c r="D154" s="289">
        <f>data!AF89</f>
        <v>0</v>
      </c>
      <c r="E154" s="289">
        <f>data!AG89</f>
        <v>0</v>
      </c>
      <c r="F154" s="289">
        <f>data!AH89</f>
        <v>0</v>
      </c>
      <c r="G154" s="289">
        <f>data!AI89</f>
        <v>0</v>
      </c>
      <c r="H154" s="289">
        <f>data!AJ89</f>
        <v>0</v>
      </c>
      <c r="I154" s="289">
        <f>data!AK89</f>
        <v>0</v>
      </c>
    </row>
    <row r="155" spans="1:9" customFormat="1" ht="20.149999999999999" customHeight="1" x14ac:dyDescent="0.35">
      <c r="A155" s="288" t="s">
        <v>1012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49999999999999" customHeight="1" x14ac:dyDescent="0.35">
      <c r="A156" s="288">
        <v>22</v>
      </c>
      <c r="B156" s="289" t="s">
        <v>1013</v>
      </c>
      <c r="C156" s="289">
        <f>data!AE90</f>
        <v>0</v>
      </c>
      <c r="D156" s="289">
        <f>data!AF90</f>
        <v>0</v>
      </c>
      <c r="E156" s="289">
        <f>data!AG90</f>
        <v>0</v>
      </c>
      <c r="F156" s="289">
        <f>data!AH90</f>
        <v>0</v>
      </c>
      <c r="G156" s="289">
        <f>data!AI90</f>
        <v>0</v>
      </c>
      <c r="H156" s="289">
        <f>data!AJ90</f>
        <v>0</v>
      </c>
      <c r="I156" s="289">
        <f>data!AK90</f>
        <v>0</v>
      </c>
    </row>
    <row r="157" spans="1:9" customFormat="1" ht="20.149999999999999" customHeight="1" x14ac:dyDescent="0.35">
      <c r="A157" s="288">
        <v>23</v>
      </c>
      <c r="B157" s="289" t="s">
        <v>1014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49999999999999" customHeight="1" x14ac:dyDescent="0.35">
      <c r="A158" s="288">
        <v>24</v>
      </c>
      <c r="B158" s="289" t="s">
        <v>1015</v>
      </c>
      <c r="C158" s="289">
        <f>data!AE92</f>
        <v>0</v>
      </c>
      <c r="D158" s="289">
        <f>data!AF92</f>
        <v>0</v>
      </c>
      <c r="E158" s="289">
        <f>data!AG92</f>
        <v>0</v>
      </c>
      <c r="F158" s="289">
        <f>data!AH92</f>
        <v>0</v>
      </c>
      <c r="G158" s="289">
        <f>data!AI92</f>
        <v>0</v>
      </c>
      <c r="H158" s="289">
        <f>data!AJ92</f>
        <v>0</v>
      </c>
      <c r="I158" s="289">
        <f>data!AK92</f>
        <v>0</v>
      </c>
    </row>
    <row r="159" spans="1:9" customFormat="1" ht="20.149999999999999" customHeight="1" x14ac:dyDescent="0.35">
      <c r="A159" s="288">
        <v>25</v>
      </c>
      <c r="B159" s="289" t="s">
        <v>1016</v>
      </c>
      <c r="C159" s="289">
        <f>data!AE93</f>
        <v>0</v>
      </c>
      <c r="D159" s="289">
        <f>data!AF93</f>
        <v>0</v>
      </c>
      <c r="E159" s="289">
        <f>data!AG93</f>
        <v>0</v>
      </c>
      <c r="F159" s="289">
        <f>data!AH93</f>
        <v>0</v>
      </c>
      <c r="G159" s="289">
        <f>data!AI93</f>
        <v>0</v>
      </c>
      <c r="H159" s="289">
        <f>data!AJ93</f>
        <v>0</v>
      </c>
      <c r="I159" s="289">
        <f>data!AK93</f>
        <v>0</v>
      </c>
    </row>
    <row r="160" spans="1:9" customFormat="1" ht="20.149999999999999" customHeight="1" x14ac:dyDescent="0.35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0</v>
      </c>
      <c r="F160" s="296">
        <f>data!AH94</f>
        <v>0</v>
      </c>
      <c r="G160" s="296">
        <f>data!AI94</f>
        <v>0</v>
      </c>
      <c r="H160" s="296">
        <f>data!AJ94</f>
        <v>0</v>
      </c>
      <c r="I160" s="296">
        <f>data!AK94</f>
        <v>0</v>
      </c>
    </row>
    <row r="161" spans="1:9" customFormat="1" ht="20.149999999999999" customHeight="1" x14ac:dyDescent="0.35">
      <c r="A161" s="282" t="s">
        <v>998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49999999999999" customHeight="1" x14ac:dyDescent="0.35">
      <c r="D162" s="284"/>
      <c r="I162" s="285" t="s">
        <v>1032</v>
      </c>
    </row>
    <row r="163" spans="1:9" customFormat="1" ht="20.149999999999999" customHeight="1" x14ac:dyDescent="0.35">
      <c r="A163" s="284"/>
    </row>
    <row r="164" spans="1:9" customFormat="1" ht="20.149999999999999" customHeight="1" x14ac:dyDescent="0.35">
      <c r="A164" s="286" t="str">
        <f>"Hospital: "&amp;data!C98</f>
        <v>Hospital: Rainier Springs</v>
      </c>
      <c r="G164" s="287"/>
      <c r="H164" s="286" t="str">
        <f>"FYE: "&amp;data!C96</f>
        <v>FYE: 12/31/2023</v>
      </c>
    </row>
    <row r="165" spans="1:9" customFormat="1" ht="20.149999999999999" customHeight="1" x14ac:dyDescent="0.35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49999999999999" customHeight="1" x14ac:dyDescent="0.35">
      <c r="A166" s="292">
        <v>2</v>
      </c>
      <c r="B166" s="293" t="s">
        <v>1000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1033</v>
      </c>
      <c r="H166" s="295" t="s">
        <v>154</v>
      </c>
      <c r="I166" s="295" t="s">
        <v>155</v>
      </c>
    </row>
    <row r="167" spans="1:9" customFormat="1" ht="20.149999999999999" customHeight="1" x14ac:dyDescent="0.35">
      <c r="A167" s="292"/>
      <c r="B167" s="293"/>
      <c r="C167" s="295" t="s">
        <v>199</v>
      </c>
      <c r="D167" s="295" t="s">
        <v>199</v>
      </c>
      <c r="E167" s="295" t="s">
        <v>1034</v>
      </c>
      <c r="F167" s="295" t="s">
        <v>209</v>
      </c>
      <c r="G167" s="295" t="s">
        <v>148</v>
      </c>
      <c r="H167" s="294" t="s">
        <v>1035</v>
      </c>
      <c r="I167" s="295" t="s">
        <v>196</v>
      </c>
    </row>
    <row r="168" spans="1:9" customFormat="1" ht="20.149999999999999" customHeight="1" x14ac:dyDescent="0.35">
      <c r="A168" s="288">
        <v>3</v>
      </c>
      <c r="B168" s="289" t="s">
        <v>1004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49999999999999" customHeight="1" x14ac:dyDescent="0.35">
      <c r="A169" s="288">
        <v>4</v>
      </c>
      <c r="B169" s="289" t="s">
        <v>261</v>
      </c>
      <c r="C169" s="289">
        <f>data!AL59</f>
        <v>0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49999999999999" customHeight="1" x14ac:dyDescent="0.35">
      <c r="A170" s="288">
        <v>5</v>
      </c>
      <c r="B170" s="289" t="s">
        <v>262</v>
      </c>
      <c r="C170" s="296">
        <f>data!AL60</f>
        <v>0</v>
      </c>
      <c r="D170" s="296">
        <f>data!AM60</f>
        <v>2.1920000000000002</v>
      </c>
      <c r="E170" s="296">
        <f>data!AN60</f>
        <v>0</v>
      </c>
      <c r="F170" s="296">
        <f>data!AO60</f>
        <v>0</v>
      </c>
      <c r="G170" s="296">
        <f>data!AP60</f>
        <v>0</v>
      </c>
      <c r="H170" s="296">
        <f>data!AQ60</f>
        <v>0</v>
      </c>
      <c r="I170" s="296">
        <f>data!AR60</f>
        <v>0</v>
      </c>
    </row>
    <row r="171" spans="1:9" customFormat="1" ht="20.149999999999999" customHeight="1" x14ac:dyDescent="0.35">
      <c r="A171" s="288">
        <v>6</v>
      </c>
      <c r="B171" s="289" t="s">
        <v>263</v>
      </c>
      <c r="C171" s="289">
        <f>data!AL61</f>
        <v>0</v>
      </c>
      <c r="D171" s="289">
        <f>data!AM61</f>
        <v>156631.73300000001</v>
      </c>
      <c r="E171" s="289">
        <f>data!AN61</f>
        <v>0</v>
      </c>
      <c r="F171" s="289">
        <f>data!AO61</f>
        <v>0</v>
      </c>
      <c r="G171" s="289">
        <f>data!AP61</f>
        <v>0</v>
      </c>
      <c r="H171" s="289">
        <f>data!AQ61</f>
        <v>0</v>
      </c>
      <c r="I171" s="289">
        <f>data!AR61</f>
        <v>0</v>
      </c>
    </row>
    <row r="172" spans="1:9" customFormat="1" ht="20.149999999999999" customHeight="1" x14ac:dyDescent="0.35">
      <c r="A172" s="288">
        <v>7</v>
      </c>
      <c r="B172" s="289" t="s">
        <v>11</v>
      </c>
      <c r="C172" s="289">
        <f>data!AL62</f>
        <v>0</v>
      </c>
      <c r="D172" s="289">
        <f>data!AM62</f>
        <v>24720</v>
      </c>
      <c r="E172" s="289">
        <f>data!AN62</f>
        <v>0</v>
      </c>
      <c r="F172" s="289">
        <f>data!AO62</f>
        <v>0</v>
      </c>
      <c r="G172" s="289">
        <f>data!AP62</f>
        <v>0</v>
      </c>
      <c r="H172" s="289">
        <f>data!AQ62</f>
        <v>0</v>
      </c>
      <c r="I172" s="289">
        <f>data!AR62</f>
        <v>0</v>
      </c>
    </row>
    <row r="173" spans="1:9" customFormat="1" ht="20.149999999999999" customHeight="1" x14ac:dyDescent="0.35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49999999999999" customHeight="1" x14ac:dyDescent="0.35">
      <c r="A174" s="288">
        <v>9</v>
      </c>
      <c r="B174" s="289" t="s">
        <v>265</v>
      </c>
      <c r="C174" s="289">
        <f>data!AL64</f>
        <v>0</v>
      </c>
      <c r="D174" s="289">
        <f>data!AM64</f>
        <v>1639.49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49999999999999" customHeight="1" x14ac:dyDescent="0.35">
      <c r="A175" s="288">
        <v>10</v>
      </c>
      <c r="B175" s="289" t="s">
        <v>522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49999999999999" customHeight="1" x14ac:dyDescent="0.35">
      <c r="A176" s="288">
        <v>11</v>
      </c>
      <c r="B176" s="289" t="s">
        <v>523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0</v>
      </c>
    </row>
    <row r="177" spans="1:9" customFormat="1" ht="20.149999999999999" customHeight="1" x14ac:dyDescent="0.35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49999999999999" customHeight="1" x14ac:dyDescent="0.35">
      <c r="A178" s="288">
        <v>13</v>
      </c>
      <c r="B178" s="289" t="s">
        <v>1005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49999999999999" customHeight="1" x14ac:dyDescent="0.35">
      <c r="A179" s="288">
        <v>14</v>
      </c>
      <c r="B179" s="289" t="s">
        <v>1006</v>
      </c>
      <c r="C179" s="289">
        <f>data!AL69</f>
        <v>0</v>
      </c>
      <c r="D179" s="289">
        <f>data!AM69</f>
        <v>18327.11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49999999999999" customHeight="1" x14ac:dyDescent="0.35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49999999999999" customHeight="1" x14ac:dyDescent="0.35">
      <c r="A181" s="288">
        <v>16</v>
      </c>
      <c r="B181" s="297" t="s">
        <v>1007</v>
      </c>
      <c r="C181" s="289">
        <f>data!AL85</f>
        <v>0</v>
      </c>
      <c r="D181" s="289">
        <f>data!AM85</f>
        <v>201318.33299999998</v>
      </c>
      <c r="E181" s="289">
        <f>data!AN85</f>
        <v>0</v>
      </c>
      <c r="F181" s="289">
        <f>data!AO85</f>
        <v>0</v>
      </c>
      <c r="G181" s="289">
        <f>data!AP85</f>
        <v>0</v>
      </c>
      <c r="H181" s="289">
        <f>data!AQ85</f>
        <v>0</v>
      </c>
      <c r="I181" s="289">
        <f>data!AR85</f>
        <v>0</v>
      </c>
    </row>
    <row r="182" spans="1:9" customFormat="1" ht="20.149999999999999" customHeight="1" x14ac:dyDescent="0.35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49999999999999" customHeight="1" x14ac:dyDescent="0.35">
      <c r="A183" s="288">
        <v>18</v>
      </c>
      <c r="B183" s="289" t="s">
        <v>1008</v>
      </c>
      <c r="C183" s="297" t="e">
        <f>+data!M703</f>
        <v>#DIV/0!</v>
      </c>
      <c r="D183" s="297" t="e">
        <f>+data!M704</f>
        <v>#DIV/0!</v>
      </c>
      <c r="E183" s="297" t="e">
        <f>+data!M705</f>
        <v>#DIV/0!</v>
      </c>
      <c r="F183" s="297" t="e">
        <f>+data!M706</f>
        <v>#DIV/0!</v>
      </c>
      <c r="G183" s="297" t="e">
        <f>+data!M707</f>
        <v>#DIV/0!</v>
      </c>
      <c r="H183" s="297" t="e">
        <f>+data!M708</f>
        <v>#DIV/0!</v>
      </c>
      <c r="I183" s="297" t="e">
        <f>+data!M709</f>
        <v>#DIV/0!</v>
      </c>
    </row>
    <row r="184" spans="1:9" customFormat="1" ht="20.149999999999999" customHeight="1" x14ac:dyDescent="0.35">
      <c r="A184" s="288">
        <v>19</v>
      </c>
      <c r="B184" s="297" t="s">
        <v>1009</v>
      </c>
      <c r="C184" s="289">
        <f>data!AL87</f>
        <v>0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49999999999999" customHeight="1" x14ac:dyDescent="0.35">
      <c r="A185" s="288">
        <v>20</v>
      </c>
      <c r="B185" s="297" t="s">
        <v>1010</v>
      </c>
      <c r="C185" s="289">
        <f>data!AL88</f>
        <v>0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49999999999999" customHeight="1" x14ac:dyDescent="0.35">
      <c r="A186" s="288">
        <v>21</v>
      </c>
      <c r="B186" s="297" t="s">
        <v>1011</v>
      </c>
      <c r="C186" s="289">
        <f>data!AL89</f>
        <v>0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49999999999999" customHeight="1" x14ac:dyDescent="0.35">
      <c r="A187" s="288" t="s">
        <v>1012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49999999999999" customHeight="1" x14ac:dyDescent="0.35">
      <c r="A188" s="288">
        <v>22</v>
      </c>
      <c r="B188" s="289" t="s">
        <v>1013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49999999999999" customHeight="1" x14ac:dyDescent="0.35">
      <c r="A189" s="288">
        <v>23</v>
      </c>
      <c r="B189" s="289" t="s">
        <v>1014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49999999999999" customHeight="1" x14ac:dyDescent="0.35">
      <c r="A190" s="288">
        <v>24</v>
      </c>
      <c r="B190" s="289" t="s">
        <v>1015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49999999999999" customHeight="1" x14ac:dyDescent="0.35">
      <c r="A191" s="288">
        <v>25</v>
      </c>
      <c r="B191" s="289" t="s">
        <v>1016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49999999999999" customHeight="1" x14ac:dyDescent="0.35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49999999999999" customHeight="1" x14ac:dyDescent="0.35">
      <c r="A193" s="282" t="s">
        <v>998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49999999999999" customHeight="1" x14ac:dyDescent="0.35">
      <c r="D194" s="284"/>
      <c r="I194" s="285" t="s">
        <v>1036</v>
      </c>
    </row>
    <row r="195" spans="1:9" customFormat="1" ht="20.149999999999999" customHeight="1" x14ac:dyDescent="0.35">
      <c r="A195" s="284"/>
    </row>
    <row r="196" spans="1:9" customFormat="1" ht="20.149999999999999" customHeight="1" x14ac:dyDescent="0.35">
      <c r="A196" s="286" t="str">
        <f>"Hospital: "&amp;data!C98</f>
        <v>Hospital: Rainier Springs</v>
      </c>
      <c r="G196" s="287"/>
      <c r="H196" s="286" t="str">
        <f>"FYE: "&amp;data!C96</f>
        <v>FYE: 12/31/2023</v>
      </c>
    </row>
    <row r="197" spans="1:9" customFormat="1" ht="20.149999999999999" customHeight="1" x14ac:dyDescent="0.35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49999999999999" customHeight="1" x14ac:dyDescent="0.35">
      <c r="A198" s="292">
        <v>2</v>
      </c>
      <c r="B198" s="293" t="s">
        <v>1000</v>
      </c>
      <c r="C198" s="295"/>
      <c r="D198" s="295" t="s">
        <v>157</v>
      </c>
      <c r="E198" s="295" t="s">
        <v>158</v>
      </c>
      <c r="F198" s="295" t="s">
        <v>159</v>
      </c>
      <c r="G198" s="295" t="s">
        <v>1037</v>
      </c>
      <c r="H198" s="295" t="s">
        <v>161</v>
      </c>
      <c r="I198" s="295"/>
    </row>
    <row r="199" spans="1:9" customFormat="1" ht="20.149999999999999" customHeight="1" x14ac:dyDescent="0.35">
      <c r="A199" s="292"/>
      <c r="B199" s="293"/>
      <c r="C199" s="295" t="s">
        <v>156</v>
      </c>
      <c r="D199" s="295" t="s">
        <v>258</v>
      </c>
      <c r="E199" s="295" t="s">
        <v>1038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49999999999999" customHeight="1" x14ac:dyDescent="0.35">
      <c r="A200" s="288">
        <v>3</v>
      </c>
      <c r="B200" s="289" t="s">
        <v>1004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49999999999999" customHeight="1" x14ac:dyDescent="0.35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5737</v>
      </c>
      <c r="F201" s="301"/>
      <c r="G201" s="301"/>
      <c r="H201" s="301"/>
      <c r="I201" s="289">
        <f>data!AY59</f>
        <v>68889</v>
      </c>
    </row>
    <row r="202" spans="1:9" customFormat="1" ht="20.149999999999999" customHeight="1" x14ac:dyDescent="0.35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7.9029999999999996</v>
      </c>
      <c r="F202" s="296">
        <f>data!AV60</f>
        <v>0</v>
      </c>
      <c r="G202" s="296">
        <f>data!AW60</f>
        <v>0</v>
      </c>
      <c r="H202" s="296">
        <f>data!AX60</f>
        <v>0</v>
      </c>
      <c r="I202" s="296">
        <f>data!AY60</f>
        <v>5.9505648999999998</v>
      </c>
    </row>
    <row r="203" spans="1:9" customFormat="1" ht="20.149999999999999" customHeight="1" x14ac:dyDescent="0.35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643117.48</v>
      </c>
      <c r="F203" s="289">
        <f>data!AV61</f>
        <v>0</v>
      </c>
      <c r="G203" s="289">
        <f>data!AW61</f>
        <v>0</v>
      </c>
      <c r="H203" s="289">
        <f>data!AX61</f>
        <v>0</v>
      </c>
      <c r="I203" s="289">
        <f>data!AY61</f>
        <v>290691.95</v>
      </c>
    </row>
    <row r="204" spans="1:9" customFormat="1" ht="20.149999999999999" customHeight="1" x14ac:dyDescent="0.35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101497</v>
      </c>
      <c r="F204" s="289">
        <f>data!AV62</f>
        <v>0</v>
      </c>
      <c r="G204" s="289">
        <f>data!AW62</f>
        <v>0</v>
      </c>
      <c r="H204" s="289">
        <f>data!AX62</f>
        <v>0</v>
      </c>
      <c r="I204" s="289">
        <f>data!AY62</f>
        <v>45877</v>
      </c>
    </row>
    <row r="205" spans="1:9" customFormat="1" ht="20.149999999999999" customHeight="1" x14ac:dyDescent="0.35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49999999999999" customHeight="1" x14ac:dyDescent="0.35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1654.38</v>
      </c>
      <c r="F206" s="289">
        <f>data!AV64</f>
        <v>0</v>
      </c>
      <c r="G206" s="289">
        <f>data!AW64</f>
        <v>0</v>
      </c>
      <c r="H206" s="289">
        <f>data!AX64</f>
        <v>0</v>
      </c>
      <c r="I206" s="289">
        <f>data!AY64</f>
        <v>27253.98</v>
      </c>
    </row>
    <row r="207" spans="1:9" customFormat="1" ht="20.149999999999999" customHeight="1" x14ac:dyDescent="0.35">
      <c r="A207" s="288">
        <v>10</v>
      </c>
      <c r="B207" s="289" t="s">
        <v>522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49999999999999" customHeight="1" x14ac:dyDescent="0.35">
      <c r="A208" s="288">
        <v>11</v>
      </c>
      <c r="B208" s="289" t="s">
        <v>523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0</v>
      </c>
      <c r="G208" s="289">
        <f>data!AW66</f>
        <v>0</v>
      </c>
      <c r="H208" s="289">
        <f>data!AX66</f>
        <v>0</v>
      </c>
      <c r="I208" s="289">
        <f>data!AY66</f>
        <v>0</v>
      </c>
    </row>
    <row r="209" spans="1:9" customFormat="1" ht="20.149999999999999" customHeight="1" x14ac:dyDescent="0.35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0</v>
      </c>
      <c r="G209" s="289">
        <f>data!AW67</f>
        <v>0</v>
      </c>
      <c r="H209" s="289">
        <f>data!AX67</f>
        <v>0</v>
      </c>
      <c r="I209" s="289">
        <f>data!AY67</f>
        <v>0</v>
      </c>
    </row>
    <row r="210" spans="1:9" customFormat="1" ht="20.149999999999999" customHeight="1" x14ac:dyDescent="0.35">
      <c r="A210" s="288">
        <v>13</v>
      </c>
      <c r="B210" s="289" t="s">
        <v>1005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0</v>
      </c>
      <c r="G210" s="289">
        <f>data!AW68</f>
        <v>0</v>
      </c>
      <c r="H210" s="289">
        <f>data!AX68</f>
        <v>0</v>
      </c>
      <c r="I210" s="289">
        <f>data!AY68</f>
        <v>0</v>
      </c>
    </row>
    <row r="211" spans="1:9" customFormat="1" ht="20.149999999999999" customHeight="1" x14ac:dyDescent="0.35">
      <c r="A211" s="288">
        <v>14</v>
      </c>
      <c r="B211" s="289" t="s">
        <v>1006</v>
      </c>
      <c r="C211" s="289">
        <f>data!AS69</f>
        <v>0</v>
      </c>
      <c r="D211" s="289">
        <f>data!AT69</f>
        <v>0</v>
      </c>
      <c r="E211" s="289">
        <f>data!AU69</f>
        <v>316349.25</v>
      </c>
      <c r="F211" s="289">
        <f>data!AV69</f>
        <v>0</v>
      </c>
      <c r="G211" s="289">
        <f>data!AW69</f>
        <v>0</v>
      </c>
      <c r="H211" s="289">
        <f>data!AX69</f>
        <v>0</v>
      </c>
      <c r="I211" s="289">
        <f>data!AY69</f>
        <v>348006.9</v>
      </c>
    </row>
    <row r="212" spans="1:9" customFormat="1" ht="20.149999999999999" customHeight="1" x14ac:dyDescent="0.35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49999999999999" customHeight="1" x14ac:dyDescent="0.35">
      <c r="A213" s="288">
        <v>16</v>
      </c>
      <c r="B213" s="297" t="s">
        <v>1007</v>
      </c>
      <c r="C213" s="289">
        <f>data!AS85</f>
        <v>0</v>
      </c>
      <c r="D213" s="289">
        <f>data!AT85</f>
        <v>0</v>
      </c>
      <c r="E213" s="289">
        <f>data!AU85</f>
        <v>1062618.1099999999</v>
      </c>
      <c r="F213" s="289">
        <f>data!AV85</f>
        <v>0</v>
      </c>
      <c r="G213" s="289">
        <f>data!AW85</f>
        <v>0</v>
      </c>
      <c r="H213" s="289">
        <f>data!AX85</f>
        <v>0</v>
      </c>
      <c r="I213" s="289">
        <f>data!AY85</f>
        <v>711829.83000000007</v>
      </c>
    </row>
    <row r="214" spans="1:9" customFormat="1" ht="20.149999999999999" customHeight="1" x14ac:dyDescent="0.35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49999999999999" customHeight="1" x14ac:dyDescent="0.35">
      <c r="A215" s="288">
        <v>18</v>
      </c>
      <c r="B215" s="289" t="s">
        <v>1008</v>
      </c>
      <c r="C215" s="297" t="e">
        <f>+data!M710</f>
        <v>#DIV/0!</v>
      </c>
      <c r="D215" s="297" t="e">
        <f>+data!M711</f>
        <v>#DIV/0!</v>
      </c>
      <c r="E215" s="297" t="e">
        <f>+data!M712</f>
        <v>#DIV/0!</v>
      </c>
      <c r="F215" s="297" t="e">
        <f>+data!M713</f>
        <v>#DIV/0!</v>
      </c>
      <c r="G215" s="303"/>
      <c r="H215" s="289"/>
      <c r="I215" s="289"/>
    </row>
    <row r="216" spans="1:9" customFormat="1" ht="20.149999999999999" customHeight="1" x14ac:dyDescent="0.35">
      <c r="A216" s="288">
        <v>19</v>
      </c>
      <c r="B216" s="297" t="s">
        <v>1009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0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49999999999999" customHeight="1" x14ac:dyDescent="0.35">
      <c r="A217" s="288">
        <v>20</v>
      </c>
      <c r="B217" s="297" t="s">
        <v>1010</v>
      </c>
      <c r="C217" s="289">
        <f>data!AS88</f>
        <v>0</v>
      </c>
      <c r="D217" s="289">
        <f>data!AT88</f>
        <v>0</v>
      </c>
      <c r="E217" s="289">
        <f>data!AU88</f>
        <v>5790088</v>
      </c>
      <c r="F217" s="289">
        <f>data!AV88</f>
        <v>0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49999999999999" customHeight="1" x14ac:dyDescent="0.35">
      <c r="A218" s="288">
        <v>21</v>
      </c>
      <c r="B218" s="297" t="s">
        <v>1011</v>
      </c>
      <c r="C218" s="289">
        <f>data!AS89</f>
        <v>0</v>
      </c>
      <c r="D218" s="289">
        <f>data!AT89</f>
        <v>0</v>
      </c>
      <c r="E218" s="289">
        <f>data!AU89</f>
        <v>5790088</v>
      </c>
      <c r="F218" s="289">
        <f>data!AV89</f>
        <v>0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49999999999999" customHeight="1" x14ac:dyDescent="0.35">
      <c r="A219" s="288" t="s">
        <v>1012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49999999999999" customHeight="1" x14ac:dyDescent="0.35">
      <c r="A220" s="288">
        <v>22</v>
      </c>
      <c r="B220" s="289" t="s">
        <v>1013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0</v>
      </c>
    </row>
    <row r="221" spans="1:9" customFormat="1" ht="20.149999999999999" customHeight="1" x14ac:dyDescent="0.35">
      <c r="A221" s="288">
        <v>23</v>
      </c>
      <c r="B221" s="289" t="s">
        <v>1014</v>
      </c>
      <c r="C221" s="289">
        <f>data!AS91</f>
        <v>0</v>
      </c>
      <c r="D221" s="289">
        <f>data!AT91</f>
        <v>0</v>
      </c>
      <c r="E221" s="289">
        <f>data!AU91</f>
        <v>2422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49999999999999" customHeight="1" x14ac:dyDescent="0.35">
      <c r="A222" s="288">
        <v>24</v>
      </c>
      <c r="B222" s="289" t="s">
        <v>1015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49999999999999" customHeight="1" x14ac:dyDescent="0.35">
      <c r="A223" s="288">
        <v>25</v>
      </c>
      <c r="B223" s="289" t="s">
        <v>1016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49999999999999" customHeight="1" x14ac:dyDescent="0.35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415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49999999999999" customHeight="1" x14ac:dyDescent="0.35">
      <c r="A225" s="282" t="s">
        <v>998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49999999999999" customHeight="1" x14ac:dyDescent="0.35">
      <c r="D226" s="284"/>
      <c r="I226" s="285" t="s">
        <v>1039</v>
      </c>
    </row>
    <row r="227" spans="1:9" customFormat="1" ht="20.149999999999999" customHeight="1" x14ac:dyDescent="0.35">
      <c r="A227" s="284"/>
    </row>
    <row r="228" spans="1:9" customFormat="1" ht="20.149999999999999" customHeight="1" x14ac:dyDescent="0.35">
      <c r="A228" s="286" t="str">
        <f>"Hospital: "&amp;data!C98</f>
        <v>Hospital: Rainier Springs</v>
      </c>
      <c r="G228" s="287"/>
      <c r="H228" s="286" t="str">
        <f>"FYE: "&amp;data!C96</f>
        <v>FYE: 12/31/2023</v>
      </c>
    </row>
    <row r="229" spans="1:9" customFormat="1" ht="20.149999999999999" customHeight="1" x14ac:dyDescent="0.35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49999999999999" customHeight="1" x14ac:dyDescent="0.35">
      <c r="A230" s="292">
        <v>2</v>
      </c>
      <c r="B230" s="293" t="s">
        <v>1000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49999999999999" customHeight="1" x14ac:dyDescent="0.35">
      <c r="A231" s="292"/>
      <c r="B231" s="293"/>
      <c r="C231" s="295" t="s">
        <v>163</v>
      </c>
      <c r="D231" s="295" t="s">
        <v>216</v>
      </c>
      <c r="E231" s="295" t="s">
        <v>1040</v>
      </c>
      <c r="F231" s="295" t="s">
        <v>1041</v>
      </c>
      <c r="G231" s="295" t="s">
        <v>166</v>
      </c>
      <c r="H231" s="295" t="s">
        <v>167</v>
      </c>
      <c r="I231" s="295" t="s">
        <v>168</v>
      </c>
    </row>
    <row r="232" spans="1:9" customFormat="1" ht="20.149999999999999" customHeight="1" x14ac:dyDescent="0.35">
      <c r="A232" s="288">
        <v>3</v>
      </c>
      <c r="B232" s="289" t="s">
        <v>1004</v>
      </c>
      <c r="C232" s="291" t="s">
        <v>1042</v>
      </c>
      <c r="D232" s="291" t="s">
        <v>1043</v>
      </c>
      <c r="E232" s="301"/>
      <c r="F232" s="301"/>
      <c r="G232" s="301"/>
      <c r="H232" s="291" t="s">
        <v>260</v>
      </c>
      <c r="I232" s="301"/>
    </row>
    <row r="233" spans="1:9" customFormat="1" ht="20.149999999999999" customHeight="1" x14ac:dyDescent="0.35">
      <c r="A233" s="288">
        <v>4</v>
      </c>
      <c r="B233" s="289" t="s">
        <v>261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49533</v>
      </c>
      <c r="I233" s="301"/>
    </row>
    <row r="234" spans="1:9" customFormat="1" ht="20.149999999999999" customHeight="1" x14ac:dyDescent="0.35">
      <c r="A234" s="288">
        <v>5</v>
      </c>
      <c r="B234" s="289" t="s">
        <v>262</v>
      </c>
      <c r="C234" s="296">
        <f>data!AZ60</f>
        <v>0</v>
      </c>
      <c r="D234" s="296">
        <f>data!BA60</f>
        <v>0</v>
      </c>
      <c r="E234" s="296">
        <f>data!BB60</f>
        <v>0</v>
      </c>
      <c r="F234" s="296">
        <f>data!BC60</f>
        <v>0</v>
      </c>
      <c r="G234" s="296">
        <f>data!BD60</f>
        <v>0</v>
      </c>
      <c r="H234" s="296">
        <f>data!BE60</f>
        <v>4.7309999999999999</v>
      </c>
      <c r="I234" s="296">
        <f>data!BF60</f>
        <v>0</v>
      </c>
    </row>
    <row r="235" spans="1:9" customFormat="1" ht="20.149999999999999" customHeight="1" x14ac:dyDescent="0.35">
      <c r="A235" s="288">
        <v>6</v>
      </c>
      <c r="B235" s="289" t="s">
        <v>263</v>
      </c>
      <c r="C235" s="289">
        <f>data!AZ61</f>
        <v>0</v>
      </c>
      <c r="D235" s="289">
        <f>data!BA61</f>
        <v>0</v>
      </c>
      <c r="E235" s="289">
        <f>data!BB61</f>
        <v>0</v>
      </c>
      <c r="F235" s="289">
        <f>data!BC61</f>
        <v>0</v>
      </c>
      <c r="G235" s="289">
        <f>data!BD61</f>
        <v>0</v>
      </c>
      <c r="H235" s="289">
        <f>data!BE61</f>
        <v>289116.71000000002</v>
      </c>
      <c r="I235" s="289">
        <f>data!BF61</f>
        <v>0</v>
      </c>
    </row>
    <row r="236" spans="1:9" customFormat="1" ht="20.149999999999999" customHeight="1" x14ac:dyDescent="0.35">
      <c r="A236" s="288">
        <v>7</v>
      </c>
      <c r="B236" s="289" t="s">
        <v>11</v>
      </c>
      <c r="C236" s="289">
        <f>data!AZ62</f>
        <v>0</v>
      </c>
      <c r="D236" s="289">
        <f>data!BA62</f>
        <v>0</v>
      </c>
      <c r="E236" s="289">
        <f>data!BB62</f>
        <v>0</v>
      </c>
      <c r="F236" s="289">
        <f>data!BC62</f>
        <v>0</v>
      </c>
      <c r="G236" s="289">
        <f>data!BD62</f>
        <v>0</v>
      </c>
      <c r="H236" s="289">
        <f>data!BE62</f>
        <v>45629</v>
      </c>
      <c r="I236" s="289">
        <f>data!BF62</f>
        <v>0</v>
      </c>
    </row>
    <row r="237" spans="1:9" customFormat="1" ht="20.149999999999999" customHeight="1" x14ac:dyDescent="0.35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49999999999999" customHeight="1" x14ac:dyDescent="0.35">
      <c r="A238" s="288">
        <v>9</v>
      </c>
      <c r="B238" s="289" t="s">
        <v>265</v>
      </c>
      <c r="C238" s="289">
        <f>data!AZ64</f>
        <v>0</v>
      </c>
      <c r="D238" s="289">
        <f>data!BA64</f>
        <v>0</v>
      </c>
      <c r="E238" s="289">
        <f>data!BB64</f>
        <v>0</v>
      </c>
      <c r="F238" s="289">
        <f>data!BC64</f>
        <v>0</v>
      </c>
      <c r="G238" s="289">
        <f>data!BD64</f>
        <v>0</v>
      </c>
      <c r="H238" s="289">
        <f>data!BE64</f>
        <v>74771.62</v>
      </c>
      <c r="I238" s="289">
        <f>data!BF64</f>
        <v>0</v>
      </c>
    </row>
    <row r="239" spans="1:9" customFormat="1" ht="20.149999999999999" customHeight="1" x14ac:dyDescent="0.35">
      <c r="A239" s="288">
        <v>10</v>
      </c>
      <c r="B239" s="289" t="s">
        <v>522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0</v>
      </c>
      <c r="I239" s="289">
        <f>data!BF65</f>
        <v>0</v>
      </c>
    </row>
    <row r="240" spans="1:9" customFormat="1" ht="20.149999999999999" customHeight="1" x14ac:dyDescent="0.35">
      <c r="A240" s="288">
        <v>11</v>
      </c>
      <c r="B240" s="289" t="s">
        <v>523</v>
      </c>
      <c r="C240" s="289">
        <f>data!AZ66</f>
        <v>0</v>
      </c>
      <c r="D240" s="289">
        <f>data!BA66</f>
        <v>0</v>
      </c>
      <c r="E240" s="289">
        <f>data!BB66</f>
        <v>0</v>
      </c>
      <c r="F240" s="289">
        <f>data!BC66</f>
        <v>0</v>
      </c>
      <c r="G240" s="289">
        <f>data!BD66</f>
        <v>0</v>
      </c>
      <c r="H240" s="289">
        <f>data!BE66</f>
        <v>0</v>
      </c>
      <c r="I240" s="289">
        <f>data!BF66</f>
        <v>0</v>
      </c>
    </row>
    <row r="241" spans="1:9" customFormat="1" ht="20.149999999999999" customHeight="1" x14ac:dyDescent="0.35">
      <c r="A241" s="288">
        <v>12</v>
      </c>
      <c r="B241" s="289" t="s">
        <v>16</v>
      </c>
      <c r="C241" s="289">
        <f>data!AZ67</f>
        <v>0</v>
      </c>
      <c r="D241" s="289">
        <f>data!BA67</f>
        <v>0</v>
      </c>
      <c r="E241" s="289">
        <f>data!BB67</f>
        <v>0</v>
      </c>
      <c r="F241" s="289">
        <f>data!BC67</f>
        <v>0</v>
      </c>
      <c r="G241" s="289">
        <f>data!BD67</f>
        <v>0</v>
      </c>
      <c r="H241" s="289">
        <f>data!BE67</f>
        <v>1095982</v>
      </c>
      <c r="I241" s="289">
        <f>data!BF67</f>
        <v>0</v>
      </c>
    </row>
    <row r="242" spans="1:9" customFormat="1" ht="20.149999999999999" customHeight="1" x14ac:dyDescent="0.35">
      <c r="A242" s="288">
        <v>13</v>
      </c>
      <c r="B242" s="289" t="s">
        <v>1005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0</v>
      </c>
      <c r="H242" s="289">
        <f>data!BE68</f>
        <v>0</v>
      </c>
      <c r="I242" s="289">
        <f>data!BF68</f>
        <v>0</v>
      </c>
    </row>
    <row r="243" spans="1:9" customFormat="1" ht="20.149999999999999" customHeight="1" x14ac:dyDescent="0.35">
      <c r="A243" s="288">
        <v>14</v>
      </c>
      <c r="B243" s="289" t="s">
        <v>1006</v>
      </c>
      <c r="C243" s="289">
        <f>data!AZ69</f>
        <v>0</v>
      </c>
      <c r="D243" s="289">
        <f>data!BA69</f>
        <v>0</v>
      </c>
      <c r="E243" s="289">
        <f>data!BB69</f>
        <v>0</v>
      </c>
      <c r="F243" s="289">
        <f>data!BC69</f>
        <v>0</v>
      </c>
      <c r="G243" s="289">
        <f>data!BD69</f>
        <v>0</v>
      </c>
      <c r="H243" s="289">
        <f>data!BE69</f>
        <v>587800.07999999996</v>
      </c>
      <c r="I243" s="289">
        <f>data!BF69</f>
        <v>0</v>
      </c>
    </row>
    <row r="244" spans="1:9" customFormat="1" ht="20.149999999999999" customHeight="1" x14ac:dyDescent="0.35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49999999999999" customHeight="1" x14ac:dyDescent="0.35">
      <c r="A245" s="288">
        <v>16</v>
      </c>
      <c r="B245" s="297" t="s">
        <v>1007</v>
      </c>
      <c r="C245" s="289">
        <f>data!AZ85</f>
        <v>0</v>
      </c>
      <c r="D245" s="289">
        <f>data!BA85</f>
        <v>0</v>
      </c>
      <c r="E245" s="289">
        <f>data!BB85</f>
        <v>0</v>
      </c>
      <c r="F245" s="289">
        <f>data!BC85</f>
        <v>0</v>
      </c>
      <c r="G245" s="289">
        <f>data!BD85</f>
        <v>0</v>
      </c>
      <c r="H245" s="289">
        <f>data!BE85</f>
        <v>2093299.4100000001</v>
      </c>
      <c r="I245" s="289">
        <f>data!BF85</f>
        <v>0</v>
      </c>
    </row>
    <row r="246" spans="1:9" customFormat="1" ht="20.149999999999999" customHeight="1" x14ac:dyDescent="0.35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49999999999999" customHeight="1" x14ac:dyDescent="0.35">
      <c r="A247" s="288">
        <v>18</v>
      </c>
      <c r="B247" s="289" t="s">
        <v>1008</v>
      </c>
      <c r="C247" s="289"/>
      <c r="D247" s="289"/>
      <c r="E247" s="289"/>
      <c r="F247" s="289"/>
      <c r="G247" s="289"/>
      <c r="H247" s="289"/>
      <c r="I247" s="289"/>
    </row>
    <row r="248" spans="1:9" customFormat="1" ht="20.149999999999999" customHeight="1" x14ac:dyDescent="0.35">
      <c r="A248" s="288">
        <v>19</v>
      </c>
      <c r="B248" s="297" t="s">
        <v>1009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49999999999999" customHeight="1" x14ac:dyDescent="0.35">
      <c r="A249" s="288">
        <v>20</v>
      </c>
      <c r="B249" s="297" t="s">
        <v>1010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49999999999999" customHeight="1" x14ac:dyDescent="0.35">
      <c r="A250" s="288">
        <v>21</v>
      </c>
      <c r="B250" s="297" t="s">
        <v>1011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49999999999999" customHeight="1" x14ac:dyDescent="0.35">
      <c r="A251" s="288" t="s">
        <v>1012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49999999999999" customHeight="1" x14ac:dyDescent="0.35">
      <c r="A252" s="288">
        <v>22</v>
      </c>
      <c r="B252" s="289" t="s">
        <v>1013</v>
      </c>
      <c r="C252" s="305">
        <f>data!AZ90</f>
        <v>0</v>
      </c>
      <c r="D252" s="305">
        <f>data!BA90</f>
        <v>0</v>
      </c>
      <c r="E252" s="305">
        <f>data!BB90</f>
        <v>0</v>
      </c>
      <c r="F252" s="305">
        <f>data!BC90</f>
        <v>0</v>
      </c>
      <c r="G252" s="305">
        <f>data!BD90</f>
        <v>0</v>
      </c>
      <c r="H252" s="305">
        <f>data!BE90</f>
        <v>49533</v>
      </c>
      <c r="I252" s="305">
        <f>data!BF90</f>
        <v>0</v>
      </c>
    </row>
    <row r="253" spans="1:9" customFormat="1" ht="20.149999999999999" customHeight="1" x14ac:dyDescent="0.35">
      <c r="A253" s="288">
        <v>23</v>
      </c>
      <c r="B253" s="289" t="s">
        <v>1014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49999999999999" customHeight="1" x14ac:dyDescent="0.35">
      <c r="A254" s="288">
        <v>24</v>
      </c>
      <c r="B254" s="289" t="s">
        <v>1015</v>
      </c>
      <c r="C254" s="304" t="str">
        <f>IF(data!AZ92&gt;0,data!AZ92,"")</f>
        <v>x</v>
      </c>
      <c r="D254" s="305">
        <f>data!BA92</f>
        <v>0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49999999999999" customHeight="1" x14ac:dyDescent="0.35">
      <c r="A255" s="288">
        <v>25</v>
      </c>
      <c r="B255" s="289" t="s">
        <v>1016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49999999999999" customHeight="1" x14ac:dyDescent="0.35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49999999999999" customHeight="1" x14ac:dyDescent="0.35">
      <c r="A257" s="282" t="s">
        <v>998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49999999999999" customHeight="1" x14ac:dyDescent="0.35">
      <c r="D258" s="284"/>
      <c r="I258" s="285" t="s">
        <v>1044</v>
      </c>
    </row>
    <row r="259" spans="1:9" customFormat="1" ht="20.149999999999999" customHeight="1" x14ac:dyDescent="0.35">
      <c r="A259" s="284"/>
    </row>
    <row r="260" spans="1:9" customFormat="1" ht="20.149999999999999" customHeight="1" x14ac:dyDescent="0.35">
      <c r="A260" s="286" t="str">
        <f>"Hospital: "&amp;data!C98</f>
        <v>Hospital: Rainier Springs</v>
      </c>
      <c r="G260" s="287"/>
      <c r="H260" s="286" t="str">
        <f>"FYE: "&amp;data!C96</f>
        <v>FYE: 12/31/2023</v>
      </c>
    </row>
    <row r="261" spans="1:9" customFormat="1" ht="20.149999999999999" customHeight="1" x14ac:dyDescent="0.35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49999999999999" customHeight="1" x14ac:dyDescent="0.35">
      <c r="A262" s="292">
        <v>2</v>
      </c>
      <c r="B262" s="293" t="s">
        <v>1000</v>
      </c>
      <c r="C262" s="295" t="s">
        <v>1045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49999999999999" customHeight="1" x14ac:dyDescent="0.35">
      <c r="A263" s="292"/>
      <c r="B263" s="293"/>
      <c r="C263" s="295" t="s">
        <v>1046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1047</v>
      </c>
    </row>
    <row r="264" spans="1:9" customFormat="1" ht="20.149999999999999" customHeight="1" x14ac:dyDescent="0.35">
      <c r="A264" s="288">
        <v>3</v>
      </c>
      <c r="B264" s="289" t="s">
        <v>1004</v>
      </c>
      <c r="C264" s="301"/>
      <c r="D264" s="301"/>
      <c r="E264" s="301"/>
      <c r="F264" s="301"/>
      <c r="G264" s="301"/>
      <c r="H264" s="301"/>
      <c r="I264" s="301"/>
    </row>
    <row r="265" spans="1:9" customFormat="1" ht="20.149999999999999" customHeight="1" x14ac:dyDescent="0.35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49999999999999" customHeight="1" x14ac:dyDescent="0.35">
      <c r="A266" s="288">
        <v>5</v>
      </c>
      <c r="B266" s="289" t="s">
        <v>262</v>
      </c>
      <c r="C266" s="296">
        <f>data!BG60</f>
        <v>0</v>
      </c>
      <c r="D266" s="296">
        <f>data!BH60</f>
        <v>0</v>
      </c>
      <c r="E266" s="296">
        <f>data!BI60</f>
        <v>0</v>
      </c>
      <c r="F266" s="296">
        <f>data!BJ60</f>
        <v>4.43</v>
      </c>
      <c r="G266" s="296">
        <f>data!BK60</f>
        <v>3.2429999999999999</v>
      </c>
      <c r="H266" s="296">
        <f>data!BL60</f>
        <v>15.183770000000001</v>
      </c>
      <c r="I266" s="296">
        <f>data!BM60</f>
        <v>0</v>
      </c>
    </row>
    <row r="267" spans="1:9" customFormat="1" ht="20.149999999999999" customHeight="1" x14ac:dyDescent="0.35">
      <c r="A267" s="288">
        <v>6</v>
      </c>
      <c r="B267" s="289" t="s">
        <v>263</v>
      </c>
      <c r="C267" s="289">
        <f>data!BG61</f>
        <v>0</v>
      </c>
      <c r="D267" s="289">
        <f>data!BH61</f>
        <v>0</v>
      </c>
      <c r="E267" s="289">
        <f>data!BI61</f>
        <v>0</v>
      </c>
      <c r="F267" s="289">
        <f>data!BJ61</f>
        <v>408586.81</v>
      </c>
      <c r="G267" s="289">
        <f>data!BK61</f>
        <v>207325.04</v>
      </c>
      <c r="H267" s="289">
        <f>data!BL61</f>
        <v>1596684.91</v>
      </c>
      <c r="I267" s="289">
        <f>data!BM61</f>
        <v>0</v>
      </c>
    </row>
    <row r="268" spans="1:9" customFormat="1" ht="20.149999999999999" customHeight="1" x14ac:dyDescent="0.35">
      <c r="A268" s="288">
        <v>7</v>
      </c>
      <c r="B268" s="289" t="s">
        <v>11</v>
      </c>
      <c r="C268" s="289">
        <f>data!BG62</f>
        <v>0</v>
      </c>
      <c r="D268" s="289">
        <f>data!BH62</f>
        <v>0</v>
      </c>
      <c r="E268" s="289">
        <f>data!BI62</f>
        <v>0</v>
      </c>
      <c r="F268" s="289">
        <f>data!BJ62</f>
        <v>64483</v>
      </c>
      <c r="G268" s="289">
        <f>data!BK62</f>
        <v>32720</v>
      </c>
      <c r="H268" s="289">
        <f>data!BL62</f>
        <v>251989</v>
      </c>
      <c r="I268" s="289">
        <f>data!BM62</f>
        <v>0</v>
      </c>
    </row>
    <row r="269" spans="1:9" customFormat="1" ht="20.149999999999999" customHeight="1" x14ac:dyDescent="0.35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0</v>
      </c>
      <c r="G269" s="289">
        <f>data!BK63</f>
        <v>0</v>
      </c>
      <c r="H269" s="289">
        <f>data!BL63</f>
        <v>0</v>
      </c>
      <c r="I269" s="289">
        <f>data!BM63</f>
        <v>0</v>
      </c>
    </row>
    <row r="270" spans="1:9" customFormat="1" ht="20.149999999999999" customHeight="1" x14ac:dyDescent="0.35">
      <c r="A270" s="288">
        <v>9</v>
      </c>
      <c r="B270" s="289" t="s">
        <v>265</v>
      </c>
      <c r="C270" s="289">
        <f>data!BG64</f>
        <v>0</v>
      </c>
      <c r="D270" s="289">
        <f>data!BH64</f>
        <v>0</v>
      </c>
      <c r="E270" s="289">
        <f>data!BI64</f>
        <v>0</v>
      </c>
      <c r="F270" s="289">
        <f>data!BJ64</f>
        <v>0</v>
      </c>
      <c r="G270" s="289">
        <f>data!BK64</f>
        <v>118.58</v>
      </c>
      <c r="H270" s="289">
        <f>data!BL64</f>
        <v>10005.66</v>
      </c>
      <c r="I270" s="289">
        <f>data!BM64</f>
        <v>0</v>
      </c>
    </row>
    <row r="271" spans="1:9" customFormat="1" ht="20.149999999999999" customHeight="1" x14ac:dyDescent="0.35">
      <c r="A271" s="288">
        <v>10</v>
      </c>
      <c r="B271" s="289" t="s">
        <v>522</v>
      </c>
      <c r="C271" s="289">
        <f>data!BG65</f>
        <v>0</v>
      </c>
      <c r="D271" s="289">
        <f>data!BH65</f>
        <v>0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49999999999999" customHeight="1" x14ac:dyDescent="0.35">
      <c r="A272" s="288">
        <v>11</v>
      </c>
      <c r="B272" s="289" t="s">
        <v>523</v>
      </c>
      <c r="C272" s="289">
        <f>data!BG66</f>
        <v>0</v>
      </c>
      <c r="D272" s="289">
        <f>data!BH66</f>
        <v>0</v>
      </c>
      <c r="E272" s="289">
        <f>data!BI66</f>
        <v>0</v>
      </c>
      <c r="F272" s="289">
        <f>data!BJ66</f>
        <v>0</v>
      </c>
      <c r="G272" s="289">
        <f>data!BK66</f>
        <v>0</v>
      </c>
      <c r="H272" s="289">
        <f>data!BL66</f>
        <v>0</v>
      </c>
      <c r="I272" s="289">
        <f>data!BM66</f>
        <v>0</v>
      </c>
    </row>
    <row r="273" spans="1:9" customFormat="1" ht="20.149999999999999" customHeight="1" x14ac:dyDescent="0.35">
      <c r="A273" s="288">
        <v>12</v>
      </c>
      <c r="B273" s="289" t="s">
        <v>16</v>
      </c>
      <c r="C273" s="289">
        <f>data!BG67</f>
        <v>0</v>
      </c>
      <c r="D273" s="289">
        <f>data!BH67</f>
        <v>0</v>
      </c>
      <c r="E273" s="289">
        <f>data!BI67</f>
        <v>0</v>
      </c>
      <c r="F273" s="289">
        <f>data!BJ67</f>
        <v>0</v>
      </c>
      <c r="G273" s="289">
        <f>data!BK67</f>
        <v>0</v>
      </c>
      <c r="H273" s="289">
        <f>data!BL67</f>
        <v>0</v>
      </c>
      <c r="I273" s="289">
        <f>data!BM67</f>
        <v>0</v>
      </c>
    </row>
    <row r="274" spans="1:9" customFormat="1" ht="20.149999999999999" customHeight="1" x14ac:dyDescent="0.35">
      <c r="A274" s="288">
        <v>13</v>
      </c>
      <c r="B274" s="289" t="s">
        <v>1005</v>
      </c>
      <c r="C274" s="289">
        <f>data!BG68</f>
        <v>0</v>
      </c>
      <c r="D274" s="289">
        <f>data!BH68</f>
        <v>0</v>
      </c>
      <c r="E274" s="289">
        <f>data!BI68</f>
        <v>0</v>
      </c>
      <c r="F274" s="289">
        <f>data!BJ68</f>
        <v>0</v>
      </c>
      <c r="G274" s="289">
        <f>data!BK68</f>
        <v>0</v>
      </c>
      <c r="H274" s="289">
        <f>data!BL68</f>
        <v>0</v>
      </c>
      <c r="I274" s="289">
        <f>data!BM68</f>
        <v>0</v>
      </c>
    </row>
    <row r="275" spans="1:9" customFormat="1" ht="20.149999999999999" customHeight="1" x14ac:dyDescent="0.35">
      <c r="A275" s="288">
        <v>14</v>
      </c>
      <c r="B275" s="289" t="s">
        <v>1006</v>
      </c>
      <c r="C275" s="289">
        <f>data!BG69</f>
        <v>0</v>
      </c>
      <c r="D275" s="289">
        <f>data!BH69</f>
        <v>0</v>
      </c>
      <c r="E275" s="289">
        <f>data!BI69</f>
        <v>0</v>
      </c>
      <c r="F275" s="289">
        <f>data!BJ69</f>
        <v>21741.030000000002</v>
      </c>
      <c r="G275" s="289">
        <f>data!BK69</f>
        <v>52048.77</v>
      </c>
      <c r="H275" s="289">
        <f>data!BL69</f>
        <v>10709.189999999999</v>
      </c>
      <c r="I275" s="289">
        <f>data!BM69</f>
        <v>0</v>
      </c>
    </row>
    <row r="276" spans="1:9" customFormat="1" ht="20.149999999999999" customHeight="1" x14ac:dyDescent="0.35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49999999999999" customHeight="1" x14ac:dyDescent="0.35">
      <c r="A277" s="288">
        <v>16</v>
      </c>
      <c r="B277" s="297" t="s">
        <v>1007</v>
      </c>
      <c r="C277" s="289">
        <f>data!BG85</f>
        <v>0</v>
      </c>
      <c r="D277" s="289">
        <f>data!BH85</f>
        <v>0</v>
      </c>
      <c r="E277" s="289">
        <f>data!BI85</f>
        <v>0</v>
      </c>
      <c r="F277" s="289">
        <f>data!BJ85</f>
        <v>494810.84</v>
      </c>
      <c r="G277" s="289">
        <f>data!BK85</f>
        <v>292212.39</v>
      </c>
      <c r="H277" s="289">
        <f>data!BL85</f>
        <v>1869388.7599999998</v>
      </c>
      <c r="I277" s="289">
        <f>data!BM85</f>
        <v>0</v>
      </c>
    </row>
    <row r="278" spans="1:9" customFormat="1" ht="20.149999999999999" customHeight="1" x14ac:dyDescent="0.35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49999999999999" customHeight="1" x14ac:dyDescent="0.35">
      <c r="A279" s="288">
        <v>18</v>
      </c>
      <c r="B279" s="289" t="s">
        <v>1008</v>
      </c>
      <c r="C279" s="289"/>
      <c r="D279" s="289"/>
      <c r="E279" s="289"/>
      <c r="F279" s="289"/>
      <c r="G279" s="289"/>
      <c r="H279" s="289"/>
      <c r="I279" s="289"/>
    </row>
    <row r="280" spans="1:9" customFormat="1" ht="20.149999999999999" customHeight="1" x14ac:dyDescent="0.35">
      <c r="A280" s="288">
        <v>19</v>
      </c>
      <c r="B280" s="297" t="s">
        <v>1009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49999999999999" customHeight="1" x14ac:dyDescent="0.35">
      <c r="A281" s="288">
        <v>20</v>
      </c>
      <c r="B281" s="297" t="s">
        <v>1010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49999999999999" customHeight="1" x14ac:dyDescent="0.35">
      <c r="A282" s="288">
        <v>21</v>
      </c>
      <c r="B282" s="297" t="s">
        <v>1011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49999999999999" customHeight="1" x14ac:dyDescent="0.35">
      <c r="A283" s="288" t="s">
        <v>1012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49999999999999" customHeight="1" x14ac:dyDescent="0.35">
      <c r="A284" s="288">
        <v>22</v>
      </c>
      <c r="B284" s="289" t="s">
        <v>1013</v>
      </c>
      <c r="C284" s="305">
        <f>data!BG90</f>
        <v>0</v>
      </c>
      <c r="D284" s="305">
        <f>data!BH90</f>
        <v>0</v>
      </c>
      <c r="E284" s="305">
        <f>data!BI90</f>
        <v>0</v>
      </c>
      <c r="F284" s="305">
        <f>data!BJ90</f>
        <v>0</v>
      </c>
      <c r="G284" s="305">
        <f>data!BK90</f>
        <v>0</v>
      </c>
      <c r="H284" s="305">
        <f>data!BL90</f>
        <v>0</v>
      </c>
      <c r="I284" s="305">
        <f>data!BM90</f>
        <v>0</v>
      </c>
    </row>
    <row r="285" spans="1:9" customFormat="1" ht="20.149999999999999" customHeight="1" x14ac:dyDescent="0.35">
      <c r="A285" s="288">
        <v>23</v>
      </c>
      <c r="B285" s="289" t="s">
        <v>1014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1688</v>
      </c>
      <c r="I285" s="305">
        <f>data!BM91</f>
        <v>0</v>
      </c>
    </row>
    <row r="286" spans="1:9" customFormat="1" ht="20.149999999999999" customHeight="1" x14ac:dyDescent="0.35">
      <c r="A286" s="288">
        <v>24</v>
      </c>
      <c r="B286" s="289" t="s">
        <v>1015</v>
      </c>
      <c r="C286" s="304" t="str">
        <f>IF(data!BG92&gt;0,data!BG92,"")</f>
        <v>x</v>
      </c>
      <c r="D286" s="305">
        <f>data!BH92</f>
        <v>0</v>
      </c>
      <c r="E286" s="305">
        <f>data!BI92</f>
        <v>0</v>
      </c>
      <c r="F286" s="304" t="str">
        <f>IF(data!BJ92&gt;0,data!BJ92,"")</f>
        <v>x</v>
      </c>
      <c r="G286" s="305">
        <f>data!BK92</f>
        <v>0</v>
      </c>
      <c r="H286" s="305">
        <f>data!BL92</f>
        <v>0</v>
      </c>
      <c r="I286" s="305">
        <f>data!BM92</f>
        <v>0</v>
      </c>
    </row>
    <row r="287" spans="1:9" customFormat="1" ht="20.149999999999999" customHeight="1" x14ac:dyDescent="0.35">
      <c r="A287" s="288">
        <v>25</v>
      </c>
      <c r="B287" s="289" t="s">
        <v>1016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49999999999999" customHeight="1" x14ac:dyDescent="0.35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49999999999999" customHeight="1" x14ac:dyDescent="0.35">
      <c r="A289" s="282" t="s">
        <v>998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49999999999999" customHeight="1" x14ac:dyDescent="0.35">
      <c r="D290" s="284"/>
      <c r="I290" s="285" t="s">
        <v>1048</v>
      </c>
    </row>
    <row r="291" spans="1:9" customFormat="1" ht="20.149999999999999" customHeight="1" x14ac:dyDescent="0.35">
      <c r="A291" s="284"/>
    </row>
    <row r="292" spans="1:9" customFormat="1" ht="20.149999999999999" customHeight="1" x14ac:dyDescent="0.35">
      <c r="A292" s="286" t="str">
        <f>"Hospital: "&amp;data!C98</f>
        <v>Hospital: Rainier Springs</v>
      </c>
      <c r="G292" s="287"/>
      <c r="H292" s="286" t="str">
        <f>"FYE: "&amp;data!C96</f>
        <v>FYE: 12/31/2023</v>
      </c>
    </row>
    <row r="293" spans="1:9" customFormat="1" ht="20.149999999999999" customHeight="1" x14ac:dyDescent="0.35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49999999999999" customHeight="1" x14ac:dyDescent="0.35">
      <c r="A294" s="292">
        <v>2</v>
      </c>
      <c r="B294" s="293" t="s">
        <v>1000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49999999999999" customHeight="1" x14ac:dyDescent="0.35">
      <c r="A295" s="292"/>
      <c r="B295" s="293"/>
      <c r="C295" s="295" t="s">
        <v>1049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49999999999999" customHeight="1" x14ac:dyDescent="0.35">
      <c r="A296" s="288">
        <v>3</v>
      </c>
      <c r="B296" s="289" t="s">
        <v>1004</v>
      </c>
      <c r="C296" s="301"/>
      <c r="D296" s="301"/>
      <c r="E296" s="301"/>
      <c r="F296" s="301"/>
      <c r="G296" s="301"/>
      <c r="H296" s="301"/>
      <c r="I296" s="301"/>
    </row>
    <row r="297" spans="1:9" customFormat="1" ht="20.149999999999999" customHeight="1" x14ac:dyDescent="0.35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49999999999999" customHeight="1" x14ac:dyDescent="0.35">
      <c r="A298" s="288">
        <v>5</v>
      </c>
      <c r="B298" s="289" t="s">
        <v>262</v>
      </c>
      <c r="C298" s="296">
        <f>data!BN60</f>
        <v>2.2109999999999999</v>
      </c>
      <c r="D298" s="296">
        <f>data!BO60</f>
        <v>0</v>
      </c>
      <c r="E298" s="296">
        <f>data!BP60</f>
        <v>0</v>
      </c>
      <c r="F298" s="296">
        <f>data!BQ60</f>
        <v>0</v>
      </c>
      <c r="G298" s="296">
        <f>data!BR60</f>
        <v>1</v>
      </c>
      <c r="H298" s="296">
        <f>data!BS60</f>
        <v>0</v>
      </c>
      <c r="I298" s="296">
        <f>data!BT60</f>
        <v>0</v>
      </c>
    </row>
    <row r="299" spans="1:9" customFormat="1" ht="20.149999999999999" customHeight="1" x14ac:dyDescent="0.35">
      <c r="A299" s="288">
        <v>6</v>
      </c>
      <c r="B299" s="289" t="s">
        <v>263</v>
      </c>
      <c r="C299" s="289">
        <f>data!BN61</f>
        <v>348522.03</v>
      </c>
      <c r="D299" s="289">
        <f>data!BO61</f>
        <v>0</v>
      </c>
      <c r="E299" s="289">
        <f>data!BP61</f>
        <v>0</v>
      </c>
      <c r="F299" s="289">
        <f>data!BQ61</f>
        <v>0</v>
      </c>
      <c r="G299" s="289">
        <f>data!BR61</f>
        <v>108782.52</v>
      </c>
      <c r="H299" s="289">
        <f>data!BS61</f>
        <v>0</v>
      </c>
      <c r="I299" s="289">
        <f>data!BT61</f>
        <v>0</v>
      </c>
    </row>
    <row r="300" spans="1:9" customFormat="1" ht="20.149999999999999" customHeight="1" x14ac:dyDescent="0.35">
      <c r="A300" s="288">
        <v>7</v>
      </c>
      <c r="B300" s="289" t="s">
        <v>11</v>
      </c>
      <c r="C300" s="289">
        <f>data!BN62</f>
        <v>55004</v>
      </c>
      <c r="D300" s="289">
        <f>data!BO62</f>
        <v>0</v>
      </c>
      <c r="E300" s="289">
        <f>data!BP62</f>
        <v>0</v>
      </c>
      <c r="F300" s="289">
        <f>data!BQ62</f>
        <v>0</v>
      </c>
      <c r="G300" s="289">
        <f>data!BR62</f>
        <v>17168</v>
      </c>
      <c r="H300" s="289">
        <f>data!BS62</f>
        <v>0</v>
      </c>
      <c r="I300" s="289">
        <f>data!BT62</f>
        <v>0</v>
      </c>
    </row>
    <row r="301" spans="1:9" customFormat="1" ht="20.149999999999999" customHeight="1" x14ac:dyDescent="0.35">
      <c r="A301" s="288">
        <v>8</v>
      </c>
      <c r="B301" s="289" t="s">
        <v>264</v>
      </c>
      <c r="C301" s="289">
        <f>data!BN63</f>
        <v>49558.5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49999999999999" customHeight="1" x14ac:dyDescent="0.35">
      <c r="A302" s="288">
        <v>9</v>
      </c>
      <c r="B302" s="289" t="s">
        <v>265</v>
      </c>
      <c r="C302" s="289">
        <f>data!BN64</f>
        <v>49512.72</v>
      </c>
      <c r="D302" s="289">
        <f>data!BO64</f>
        <v>0</v>
      </c>
      <c r="E302" s="289">
        <f>data!BP64</f>
        <v>0</v>
      </c>
      <c r="F302" s="289">
        <f>data!BQ64</f>
        <v>0</v>
      </c>
      <c r="G302" s="289">
        <f>data!BR64</f>
        <v>1256.6500000000001</v>
      </c>
      <c r="H302" s="289">
        <f>data!BS64</f>
        <v>0</v>
      </c>
      <c r="I302" s="289">
        <f>data!BT64</f>
        <v>0</v>
      </c>
    </row>
    <row r="303" spans="1:9" customFormat="1" ht="20.149999999999999" customHeight="1" x14ac:dyDescent="0.35">
      <c r="A303" s="288">
        <v>10</v>
      </c>
      <c r="B303" s="289" t="s">
        <v>522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49999999999999" customHeight="1" x14ac:dyDescent="0.35">
      <c r="A304" s="288">
        <v>11</v>
      </c>
      <c r="B304" s="289" t="s">
        <v>523</v>
      </c>
      <c r="C304" s="289">
        <f>data!BN66</f>
        <v>136269.79</v>
      </c>
      <c r="D304" s="289">
        <f>data!BO66</f>
        <v>0</v>
      </c>
      <c r="E304" s="289">
        <f>data!BP66</f>
        <v>0</v>
      </c>
      <c r="F304" s="289">
        <f>data!BQ66</f>
        <v>0</v>
      </c>
      <c r="G304" s="289">
        <f>data!BR66</f>
        <v>0</v>
      </c>
      <c r="H304" s="289">
        <f>data!BS66</f>
        <v>0</v>
      </c>
      <c r="I304" s="289">
        <f>data!BT66</f>
        <v>0</v>
      </c>
    </row>
    <row r="305" spans="1:9" customFormat="1" ht="20.149999999999999" customHeight="1" x14ac:dyDescent="0.35">
      <c r="A305" s="288">
        <v>12</v>
      </c>
      <c r="B305" s="289" t="s">
        <v>16</v>
      </c>
      <c r="C305" s="289">
        <f>data!BN67</f>
        <v>0</v>
      </c>
      <c r="D305" s="289">
        <f>data!BO67</f>
        <v>0</v>
      </c>
      <c r="E305" s="289">
        <f>data!BP67</f>
        <v>0</v>
      </c>
      <c r="F305" s="289">
        <f>data!BQ67</f>
        <v>0</v>
      </c>
      <c r="G305" s="289">
        <f>data!BR67</f>
        <v>0</v>
      </c>
      <c r="H305" s="289">
        <f>data!BS67</f>
        <v>0</v>
      </c>
      <c r="I305" s="289">
        <f>data!BT67</f>
        <v>0</v>
      </c>
    </row>
    <row r="306" spans="1:9" customFormat="1" ht="20.149999999999999" customHeight="1" x14ac:dyDescent="0.35">
      <c r="A306" s="288">
        <v>13</v>
      </c>
      <c r="B306" s="289" t="s">
        <v>1005</v>
      </c>
      <c r="C306" s="289">
        <f>data!BN68</f>
        <v>0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49999999999999" customHeight="1" x14ac:dyDescent="0.35">
      <c r="A307" s="288">
        <v>14</v>
      </c>
      <c r="B307" s="289" t="s">
        <v>1006</v>
      </c>
      <c r="C307" s="289">
        <f>data!BN69</f>
        <v>2750816.77</v>
      </c>
      <c r="D307" s="289">
        <f>data!BO69</f>
        <v>0</v>
      </c>
      <c r="E307" s="289">
        <f>data!BP69</f>
        <v>0</v>
      </c>
      <c r="F307" s="289">
        <f>data!BQ69</f>
        <v>0</v>
      </c>
      <c r="G307" s="289">
        <f>data!BR69</f>
        <v>190017.44</v>
      </c>
      <c r="H307" s="289">
        <f>data!BS69</f>
        <v>0</v>
      </c>
      <c r="I307" s="289">
        <f>data!BT69</f>
        <v>0</v>
      </c>
    </row>
    <row r="308" spans="1:9" customFormat="1" ht="20.149999999999999" customHeight="1" x14ac:dyDescent="0.35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49999999999999" customHeight="1" x14ac:dyDescent="0.35">
      <c r="A309" s="288">
        <v>16</v>
      </c>
      <c r="B309" s="297" t="s">
        <v>1007</v>
      </c>
      <c r="C309" s="289">
        <f>data!BN85</f>
        <v>3389683.81</v>
      </c>
      <c r="D309" s="289">
        <f>data!BO85</f>
        <v>0</v>
      </c>
      <c r="E309" s="289">
        <f>data!BP85</f>
        <v>0</v>
      </c>
      <c r="F309" s="289">
        <f>data!BQ85</f>
        <v>0</v>
      </c>
      <c r="G309" s="289">
        <f>data!BR85</f>
        <v>317224.61</v>
      </c>
      <c r="H309" s="289">
        <f>data!BS85</f>
        <v>0</v>
      </c>
      <c r="I309" s="289">
        <f>data!BT85</f>
        <v>0</v>
      </c>
    </row>
    <row r="310" spans="1:9" customFormat="1" ht="20.149999999999999" customHeight="1" x14ac:dyDescent="0.35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49999999999999" customHeight="1" x14ac:dyDescent="0.35">
      <c r="A311" s="288">
        <v>18</v>
      </c>
      <c r="B311" s="289" t="s">
        <v>1008</v>
      </c>
      <c r="C311" s="289"/>
      <c r="D311" s="289"/>
      <c r="E311" s="289"/>
      <c r="F311" s="289"/>
      <c r="G311" s="289"/>
      <c r="H311" s="289"/>
      <c r="I311" s="289"/>
    </row>
    <row r="312" spans="1:9" customFormat="1" ht="20.149999999999999" customHeight="1" x14ac:dyDescent="0.35">
      <c r="A312" s="288">
        <v>19</v>
      </c>
      <c r="B312" s="297" t="s">
        <v>1009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49999999999999" customHeight="1" x14ac:dyDescent="0.35">
      <c r="A313" s="288">
        <v>20</v>
      </c>
      <c r="B313" s="297" t="s">
        <v>1010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49999999999999" customHeight="1" x14ac:dyDescent="0.35">
      <c r="A314" s="288">
        <v>21</v>
      </c>
      <c r="B314" s="297" t="s">
        <v>1011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49999999999999" customHeight="1" x14ac:dyDescent="0.35">
      <c r="A315" s="288" t="s">
        <v>1012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49999999999999" customHeight="1" x14ac:dyDescent="0.35">
      <c r="A316" s="288">
        <v>22</v>
      </c>
      <c r="B316" s="289" t="s">
        <v>1013</v>
      </c>
      <c r="C316" s="305">
        <f>data!BN90</f>
        <v>0</v>
      </c>
      <c r="D316" s="305">
        <f>data!BO90</f>
        <v>0</v>
      </c>
      <c r="E316" s="305">
        <f>data!BP90</f>
        <v>0</v>
      </c>
      <c r="F316" s="305">
        <f>data!BQ90</f>
        <v>0</v>
      </c>
      <c r="G316" s="305">
        <f>data!BR90</f>
        <v>0</v>
      </c>
      <c r="H316" s="305">
        <f>data!BS90</f>
        <v>0</v>
      </c>
      <c r="I316" s="305">
        <f>data!BT90</f>
        <v>0</v>
      </c>
    </row>
    <row r="317" spans="1:9" customFormat="1" ht="20.149999999999999" customHeight="1" x14ac:dyDescent="0.35">
      <c r="A317" s="288">
        <v>23</v>
      </c>
      <c r="B317" s="289" t="s">
        <v>1014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49999999999999" customHeight="1" x14ac:dyDescent="0.35">
      <c r="A318" s="288">
        <v>24</v>
      </c>
      <c r="B318" s="289" t="s">
        <v>1015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0</v>
      </c>
    </row>
    <row r="319" spans="1:9" customFormat="1" ht="20.149999999999999" customHeight="1" x14ac:dyDescent="0.35">
      <c r="A319" s="288">
        <v>25</v>
      </c>
      <c r="B319" s="289" t="s">
        <v>1016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49999999999999" customHeight="1" x14ac:dyDescent="0.35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49999999999999" customHeight="1" x14ac:dyDescent="0.35">
      <c r="A321" s="282" t="s">
        <v>998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49999999999999" customHeight="1" x14ac:dyDescent="0.35">
      <c r="D322" s="284"/>
      <c r="I322" s="285" t="s">
        <v>1050</v>
      </c>
    </row>
    <row r="323" spans="1:9" customFormat="1" ht="20.149999999999999" customHeight="1" x14ac:dyDescent="0.35">
      <c r="A323" s="284"/>
    </row>
    <row r="324" spans="1:9" customFormat="1" ht="20.149999999999999" customHeight="1" x14ac:dyDescent="0.35">
      <c r="A324" s="286" t="str">
        <f>"Hospital: "&amp;data!C98</f>
        <v>Hospital: Rainier Springs</v>
      </c>
      <c r="G324" s="287"/>
      <c r="H324" s="286" t="str">
        <f>"FYE: "&amp;data!C96</f>
        <v>FYE: 12/31/2023</v>
      </c>
    </row>
    <row r="325" spans="1:9" customFormat="1" ht="20.149999999999999" customHeight="1" x14ac:dyDescent="0.35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49999999999999" customHeight="1" x14ac:dyDescent="0.35">
      <c r="A326" s="292">
        <v>2</v>
      </c>
      <c r="B326" s="293" t="s">
        <v>1000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49999999999999" customHeight="1" x14ac:dyDescent="0.35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1049</v>
      </c>
      <c r="H327" s="295" t="s">
        <v>179</v>
      </c>
      <c r="I327" s="295" t="s">
        <v>228</v>
      </c>
    </row>
    <row r="328" spans="1:9" customFormat="1" ht="20.149999999999999" customHeight="1" x14ac:dyDescent="0.35">
      <c r="A328" s="288">
        <v>3</v>
      </c>
      <c r="B328" s="289" t="s">
        <v>1004</v>
      </c>
      <c r="C328" s="301"/>
      <c r="D328" s="301"/>
      <c r="E328" s="301"/>
      <c r="F328" s="301"/>
      <c r="G328" s="301"/>
      <c r="H328" s="301"/>
      <c r="I328" s="301"/>
    </row>
    <row r="329" spans="1:9" customFormat="1" ht="20.149999999999999" customHeight="1" x14ac:dyDescent="0.35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49999999999999" customHeight="1" x14ac:dyDescent="0.35">
      <c r="A330" s="288">
        <v>5</v>
      </c>
      <c r="B330" s="289" t="s">
        <v>262</v>
      </c>
      <c r="C330" s="296">
        <f>data!BU60</f>
        <v>0</v>
      </c>
      <c r="D330" s="296">
        <f>data!BV60</f>
        <v>2.4702099999999998</v>
      </c>
      <c r="E330" s="296">
        <f>data!BW60</f>
        <v>0</v>
      </c>
      <c r="F330" s="296">
        <f>data!BX60</f>
        <v>0</v>
      </c>
      <c r="G330" s="296">
        <f>data!BY60</f>
        <v>9.5500000000000007</v>
      </c>
      <c r="H330" s="296">
        <f>data!BZ60</f>
        <v>0</v>
      </c>
      <c r="I330" s="296">
        <f>data!CA60</f>
        <v>0</v>
      </c>
    </row>
    <row r="331" spans="1:9" customFormat="1" ht="20.149999999999999" customHeight="1" x14ac:dyDescent="0.35">
      <c r="A331" s="288">
        <v>6</v>
      </c>
      <c r="B331" s="289" t="s">
        <v>263</v>
      </c>
      <c r="C331" s="308">
        <f>data!BU61</f>
        <v>0</v>
      </c>
      <c r="D331" s="308">
        <f>data!BV61</f>
        <v>154935.76</v>
      </c>
      <c r="E331" s="308">
        <f>data!BW61</f>
        <v>0</v>
      </c>
      <c r="F331" s="308">
        <f>data!BX61</f>
        <v>0</v>
      </c>
      <c r="G331" s="308">
        <f>data!BY61</f>
        <v>1010547.9</v>
      </c>
      <c r="H331" s="308">
        <f>data!BZ61</f>
        <v>0</v>
      </c>
      <c r="I331" s="308">
        <f>data!CA61</f>
        <v>0</v>
      </c>
    </row>
    <row r="332" spans="1:9" customFormat="1" ht="20.149999999999999" customHeight="1" x14ac:dyDescent="0.35">
      <c r="A332" s="288">
        <v>7</v>
      </c>
      <c r="B332" s="289" t="s">
        <v>11</v>
      </c>
      <c r="C332" s="308">
        <f>data!BU62</f>
        <v>0</v>
      </c>
      <c r="D332" s="308">
        <f>data!BV62</f>
        <v>24452</v>
      </c>
      <c r="E332" s="308">
        <f>data!BW62</f>
        <v>0</v>
      </c>
      <c r="F332" s="308">
        <f>data!BX62</f>
        <v>0</v>
      </c>
      <c r="G332" s="308">
        <f>data!BY62</f>
        <v>159485</v>
      </c>
      <c r="H332" s="308">
        <f>data!BZ62</f>
        <v>0</v>
      </c>
      <c r="I332" s="308">
        <f>data!CA62</f>
        <v>0</v>
      </c>
    </row>
    <row r="333" spans="1:9" customFormat="1" ht="20.149999999999999" customHeight="1" x14ac:dyDescent="0.35">
      <c r="A333" s="288">
        <v>8</v>
      </c>
      <c r="B333" s="289" t="s">
        <v>264</v>
      </c>
      <c r="C333" s="308">
        <f>data!BU63</f>
        <v>0</v>
      </c>
      <c r="D333" s="308">
        <f>data!BV63</f>
        <v>0</v>
      </c>
      <c r="E333" s="308">
        <f>data!BW63</f>
        <v>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49999999999999" customHeight="1" x14ac:dyDescent="0.35">
      <c r="A334" s="288">
        <v>9</v>
      </c>
      <c r="B334" s="289" t="s">
        <v>265</v>
      </c>
      <c r="C334" s="308">
        <f>data!BU64</f>
        <v>0</v>
      </c>
      <c r="D334" s="308">
        <f>data!BV64</f>
        <v>381.64</v>
      </c>
      <c r="E334" s="308">
        <f>data!BW64</f>
        <v>0</v>
      </c>
      <c r="F334" s="308">
        <f>data!BX64</f>
        <v>0</v>
      </c>
      <c r="G334" s="308">
        <f>data!BY64</f>
        <v>3279.9</v>
      </c>
      <c r="H334" s="308">
        <f>data!BZ64</f>
        <v>0</v>
      </c>
      <c r="I334" s="308">
        <f>data!CA64</f>
        <v>0</v>
      </c>
    </row>
    <row r="335" spans="1:9" customFormat="1" ht="20.149999999999999" customHeight="1" x14ac:dyDescent="0.35">
      <c r="A335" s="288">
        <v>10</v>
      </c>
      <c r="B335" s="289" t="s">
        <v>522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49999999999999" customHeight="1" x14ac:dyDescent="0.35">
      <c r="A336" s="288">
        <v>11</v>
      </c>
      <c r="B336" s="289" t="s">
        <v>523</v>
      </c>
      <c r="C336" s="308">
        <f>data!BU66</f>
        <v>0</v>
      </c>
      <c r="D336" s="308">
        <f>data!BV66</f>
        <v>0</v>
      </c>
      <c r="E336" s="308">
        <f>data!BW66</f>
        <v>0</v>
      </c>
      <c r="F336" s="308">
        <f>data!BX66</f>
        <v>0</v>
      </c>
      <c r="G336" s="308">
        <f>data!BY66</f>
        <v>0</v>
      </c>
      <c r="H336" s="308">
        <f>data!BZ66</f>
        <v>0</v>
      </c>
      <c r="I336" s="308">
        <f>data!CA66</f>
        <v>0</v>
      </c>
    </row>
    <row r="337" spans="1:9" customFormat="1" ht="20.149999999999999" customHeight="1" x14ac:dyDescent="0.35">
      <c r="A337" s="288">
        <v>12</v>
      </c>
      <c r="B337" s="289" t="s">
        <v>16</v>
      </c>
      <c r="C337" s="308">
        <f>data!BU67</f>
        <v>0</v>
      </c>
      <c r="D337" s="308">
        <f>data!BV67</f>
        <v>0</v>
      </c>
      <c r="E337" s="308">
        <f>data!BW67</f>
        <v>0</v>
      </c>
      <c r="F337" s="308">
        <f>data!BX67</f>
        <v>0</v>
      </c>
      <c r="G337" s="308">
        <f>data!BY67</f>
        <v>0</v>
      </c>
      <c r="H337" s="308">
        <f>data!BZ67</f>
        <v>0</v>
      </c>
      <c r="I337" s="308">
        <f>data!CA67</f>
        <v>0</v>
      </c>
    </row>
    <row r="338" spans="1:9" customFormat="1" ht="20.149999999999999" customHeight="1" x14ac:dyDescent="0.35">
      <c r="A338" s="288">
        <v>13</v>
      </c>
      <c r="B338" s="289" t="s">
        <v>1005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49999999999999" customHeight="1" x14ac:dyDescent="0.35">
      <c r="A339" s="288">
        <v>14</v>
      </c>
      <c r="B339" s="289" t="s">
        <v>1006</v>
      </c>
      <c r="C339" s="308">
        <f>data!BU69</f>
        <v>0</v>
      </c>
      <c r="D339" s="308">
        <f>data!BV69</f>
        <v>9317.77</v>
      </c>
      <c r="E339" s="308">
        <f>data!BW69</f>
        <v>2934694.48</v>
      </c>
      <c r="F339" s="308">
        <f>data!BX69</f>
        <v>0</v>
      </c>
      <c r="G339" s="308">
        <f>data!BY69</f>
        <v>31283.34</v>
      </c>
      <c r="H339" s="308">
        <f>data!BZ69</f>
        <v>0</v>
      </c>
      <c r="I339" s="308">
        <f>data!CA69</f>
        <v>0</v>
      </c>
    </row>
    <row r="340" spans="1:9" customFormat="1" ht="20.149999999999999" customHeight="1" x14ac:dyDescent="0.35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49999999999999" customHeight="1" x14ac:dyDescent="0.35">
      <c r="A341" s="288">
        <v>16</v>
      </c>
      <c r="B341" s="297" t="s">
        <v>1007</v>
      </c>
      <c r="C341" s="289">
        <f>data!BU85</f>
        <v>0</v>
      </c>
      <c r="D341" s="289">
        <f>data!BV85</f>
        <v>189087.17</v>
      </c>
      <c r="E341" s="289">
        <f>data!BW85</f>
        <v>2934694.48</v>
      </c>
      <c r="F341" s="289">
        <f>data!BX85</f>
        <v>0</v>
      </c>
      <c r="G341" s="289">
        <f>data!BY85</f>
        <v>1204596.1399999999</v>
      </c>
      <c r="H341" s="289">
        <f>data!BZ85</f>
        <v>0</v>
      </c>
      <c r="I341" s="289">
        <f>data!CA85</f>
        <v>0</v>
      </c>
    </row>
    <row r="342" spans="1:9" customFormat="1" ht="20.149999999999999" customHeight="1" x14ac:dyDescent="0.35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49999999999999" customHeight="1" x14ac:dyDescent="0.35">
      <c r="A343" s="288">
        <v>18</v>
      </c>
      <c r="B343" s="289" t="s">
        <v>1008</v>
      </c>
      <c r="C343" s="289"/>
      <c r="D343" s="289"/>
      <c r="E343" s="289"/>
      <c r="F343" s="289"/>
      <c r="G343" s="289"/>
      <c r="H343" s="289"/>
      <c r="I343" s="289"/>
    </row>
    <row r="344" spans="1:9" customFormat="1" ht="20.149999999999999" customHeight="1" x14ac:dyDescent="0.35">
      <c r="A344" s="288">
        <v>19</v>
      </c>
      <c r="B344" s="297" t="s">
        <v>1009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49999999999999" customHeight="1" x14ac:dyDescent="0.35">
      <c r="A345" s="288">
        <v>20</v>
      </c>
      <c r="B345" s="297" t="s">
        <v>1010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49999999999999" customHeight="1" x14ac:dyDescent="0.35">
      <c r="A346" s="288">
        <v>21</v>
      </c>
      <c r="B346" s="297" t="s">
        <v>1011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49999999999999" customHeight="1" x14ac:dyDescent="0.35">
      <c r="A347" s="288" t="s">
        <v>1012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49999999999999" customHeight="1" x14ac:dyDescent="0.35">
      <c r="A348" s="288">
        <v>22</v>
      </c>
      <c r="B348" s="289" t="s">
        <v>1013</v>
      </c>
      <c r="C348" s="305">
        <f>data!BU90</f>
        <v>0</v>
      </c>
      <c r="D348" s="305">
        <f>data!BV90</f>
        <v>0</v>
      </c>
      <c r="E348" s="305">
        <f>data!BW90</f>
        <v>0</v>
      </c>
      <c r="F348" s="305">
        <f>data!BX90</f>
        <v>0</v>
      </c>
      <c r="G348" s="305">
        <f>data!BY90</f>
        <v>0</v>
      </c>
      <c r="H348" s="305">
        <f>data!BZ90</f>
        <v>0</v>
      </c>
      <c r="I348" s="305">
        <f>data!CA90</f>
        <v>0</v>
      </c>
    </row>
    <row r="349" spans="1:9" customFormat="1" ht="20.149999999999999" customHeight="1" x14ac:dyDescent="0.35">
      <c r="A349" s="288">
        <v>23</v>
      </c>
      <c r="B349" s="289" t="s">
        <v>1014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49999999999999" customHeight="1" x14ac:dyDescent="0.35">
      <c r="A350" s="288">
        <v>24</v>
      </c>
      <c r="B350" s="289" t="s">
        <v>1015</v>
      </c>
      <c r="C350" s="305">
        <f>data!BU92</f>
        <v>0</v>
      </c>
      <c r="D350" s="305">
        <f>data!BV92</f>
        <v>0</v>
      </c>
      <c r="E350" s="305">
        <f>data!BW92</f>
        <v>0</v>
      </c>
      <c r="F350" s="305">
        <f>data!BX92</f>
        <v>0</v>
      </c>
      <c r="G350" s="305">
        <f>data!BY92</f>
        <v>0</v>
      </c>
      <c r="H350" s="305">
        <f>data!BZ92</f>
        <v>0</v>
      </c>
      <c r="I350" s="305">
        <f>data!CA92</f>
        <v>0</v>
      </c>
    </row>
    <row r="351" spans="1:9" customFormat="1" ht="20.149999999999999" customHeight="1" x14ac:dyDescent="0.35">
      <c r="A351" s="288">
        <v>25</v>
      </c>
      <c r="B351" s="289" t="s">
        <v>1016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49999999999999" customHeight="1" x14ac:dyDescent="0.35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49999999999999" customHeight="1" x14ac:dyDescent="0.35">
      <c r="A353" s="282" t="s">
        <v>998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49999999999999" customHeight="1" x14ac:dyDescent="0.35">
      <c r="D354" s="284"/>
      <c r="I354" s="285" t="s">
        <v>1051</v>
      </c>
    </row>
    <row r="355" spans="1:9" customFormat="1" ht="20.149999999999999" customHeight="1" x14ac:dyDescent="0.35">
      <c r="A355" s="284"/>
    </row>
    <row r="356" spans="1:9" customFormat="1" ht="20.149999999999999" customHeight="1" x14ac:dyDescent="0.35">
      <c r="A356" s="286" t="str">
        <f>"Hospital: "&amp;data!C98</f>
        <v>Hospital: Rainier Springs</v>
      </c>
      <c r="G356" s="287"/>
      <c r="H356" s="286" t="str">
        <f>"FYE: "&amp;data!C96</f>
        <v>FYE: 12/31/2023</v>
      </c>
    </row>
    <row r="357" spans="1:9" customFormat="1" ht="20.149999999999999" customHeight="1" x14ac:dyDescent="0.35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49999999999999" customHeight="1" x14ac:dyDescent="0.35">
      <c r="A358" s="292">
        <v>2</v>
      </c>
      <c r="B358" s="293" t="s">
        <v>1000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49999999999999" customHeight="1" x14ac:dyDescent="0.35">
      <c r="A359" s="292"/>
      <c r="B359" s="293"/>
      <c r="C359" s="295" t="s">
        <v>228</v>
      </c>
      <c r="D359" s="295" t="s">
        <v>1052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49999999999999" customHeight="1" x14ac:dyDescent="0.35">
      <c r="A360" s="288">
        <v>3</v>
      </c>
      <c r="B360" s="289" t="s">
        <v>1004</v>
      </c>
      <c r="C360" s="301"/>
      <c r="D360" s="301"/>
      <c r="E360" s="301"/>
      <c r="F360" s="301"/>
      <c r="G360" s="301"/>
      <c r="H360" s="301"/>
      <c r="I360" s="301"/>
    </row>
    <row r="361" spans="1:9" customFormat="1" ht="20.149999999999999" customHeight="1" x14ac:dyDescent="0.35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49999999999999" customHeight="1" x14ac:dyDescent="0.35">
      <c r="A362" s="288">
        <v>5</v>
      </c>
      <c r="B362" s="289" t="s">
        <v>262</v>
      </c>
      <c r="C362" s="296">
        <f>data!CB60</f>
        <v>0</v>
      </c>
      <c r="D362" s="296">
        <f>data!CC60</f>
        <v>2.4540000000000002</v>
      </c>
      <c r="E362" s="311"/>
      <c r="F362" s="299"/>
      <c r="G362" s="299"/>
      <c r="H362" s="299"/>
      <c r="I362" s="312">
        <f>data!CE60</f>
        <v>140.93239090000003</v>
      </c>
    </row>
    <row r="363" spans="1:9" customFormat="1" ht="20.149999999999999" customHeight="1" x14ac:dyDescent="0.35">
      <c r="A363" s="288">
        <v>6</v>
      </c>
      <c r="B363" s="289" t="s">
        <v>263</v>
      </c>
      <c r="C363" s="308">
        <f>data!CB61</f>
        <v>0</v>
      </c>
      <c r="D363" s="308">
        <f>data!CC61</f>
        <v>206430.88</v>
      </c>
      <c r="E363" s="313"/>
      <c r="F363" s="313"/>
      <c r="G363" s="313"/>
      <c r="H363" s="313"/>
      <c r="I363" s="308">
        <f>data!CE61</f>
        <v>12488884.873</v>
      </c>
    </row>
    <row r="364" spans="1:9" customFormat="1" ht="20.149999999999999" customHeight="1" x14ac:dyDescent="0.35">
      <c r="A364" s="288">
        <v>7</v>
      </c>
      <c r="B364" s="289" t="s">
        <v>11</v>
      </c>
      <c r="C364" s="308">
        <f>data!CB62</f>
        <v>0</v>
      </c>
      <c r="D364" s="308">
        <f>data!CC62</f>
        <v>32579</v>
      </c>
      <c r="E364" s="313"/>
      <c r="F364" s="313"/>
      <c r="G364" s="313"/>
      <c r="H364" s="313"/>
      <c r="I364" s="308">
        <f>data!CE62</f>
        <v>1971000</v>
      </c>
    </row>
    <row r="365" spans="1:9" customFormat="1" ht="20.149999999999999" customHeight="1" x14ac:dyDescent="0.35">
      <c r="A365" s="288">
        <v>8</v>
      </c>
      <c r="B365" s="289" t="s">
        <v>264</v>
      </c>
      <c r="C365" s="308">
        <f>data!CB63</f>
        <v>0</v>
      </c>
      <c r="D365" s="308">
        <f>data!CC63</f>
        <v>0</v>
      </c>
      <c r="E365" s="313"/>
      <c r="F365" s="313"/>
      <c r="G365" s="313"/>
      <c r="H365" s="313"/>
      <c r="I365" s="308">
        <f>data!CE63</f>
        <v>571346.19999999995</v>
      </c>
    </row>
    <row r="366" spans="1:9" customFormat="1" ht="20.149999999999999" customHeight="1" x14ac:dyDescent="0.35">
      <c r="A366" s="288">
        <v>9</v>
      </c>
      <c r="B366" s="289" t="s">
        <v>265</v>
      </c>
      <c r="C366" s="308">
        <f>data!CB64</f>
        <v>0</v>
      </c>
      <c r="D366" s="308">
        <f>data!CC64</f>
        <v>12194.85</v>
      </c>
      <c r="E366" s="313"/>
      <c r="F366" s="313"/>
      <c r="G366" s="313"/>
      <c r="H366" s="313"/>
      <c r="I366" s="308">
        <f>data!CE64</f>
        <v>378124.36</v>
      </c>
    </row>
    <row r="367" spans="1:9" customFormat="1" ht="20.149999999999999" customHeight="1" x14ac:dyDescent="0.35">
      <c r="A367" s="288">
        <v>10</v>
      </c>
      <c r="B367" s="289" t="s">
        <v>522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0</v>
      </c>
    </row>
    <row r="368" spans="1:9" customFormat="1" ht="20.149999999999999" customHeight="1" x14ac:dyDescent="0.35">
      <c r="A368" s="288">
        <v>11</v>
      </c>
      <c r="B368" s="289" t="s">
        <v>523</v>
      </c>
      <c r="C368" s="308">
        <f>data!CB66</f>
        <v>0</v>
      </c>
      <c r="D368" s="308">
        <f>data!CC66</f>
        <v>9484.58</v>
      </c>
      <c r="E368" s="313"/>
      <c r="F368" s="313"/>
      <c r="G368" s="313"/>
      <c r="H368" s="313"/>
      <c r="I368" s="308">
        <f>data!CE66</f>
        <v>421363.8</v>
      </c>
    </row>
    <row r="369" spans="1:9" customFormat="1" ht="20.149999999999999" customHeight="1" x14ac:dyDescent="0.35">
      <c r="A369" s="288">
        <v>12</v>
      </c>
      <c r="B369" s="289" t="s">
        <v>16</v>
      </c>
      <c r="C369" s="308">
        <f>data!CB67</f>
        <v>0</v>
      </c>
      <c r="D369" s="308">
        <f>data!CC67</f>
        <v>0</v>
      </c>
      <c r="E369" s="313"/>
      <c r="F369" s="313"/>
      <c r="G369" s="313"/>
      <c r="H369" s="313"/>
      <c r="I369" s="308">
        <f>data!CE67</f>
        <v>1095982</v>
      </c>
    </row>
    <row r="370" spans="1:9" customFormat="1" ht="20.149999999999999" customHeight="1" x14ac:dyDescent="0.35">
      <c r="A370" s="288">
        <v>13</v>
      </c>
      <c r="B370" s="289" t="s">
        <v>1005</v>
      </c>
      <c r="C370" s="308">
        <f>data!CB68</f>
        <v>0</v>
      </c>
      <c r="D370" s="308">
        <f>data!CC68</f>
        <v>0</v>
      </c>
      <c r="E370" s="313"/>
      <c r="F370" s="313"/>
      <c r="G370" s="313"/>
      <c r="H370" s="313"/>
      <c r="I370" s="308">
        <f>data!CE68</f>
        <v>0</v>
      </c>
    </row>
    <row r="371" spans="1:9" customFormat="1" ht="20.149999999999999" customHeight="1" x14ac:dyDescent="0.35">
      <c r="A371" s="288">
        <v>14</v>
      </c>
      <c r="B371" s="289" t="s">
        <v>1006</v>
      </c>
      <c r="C371" s="308">
        <f>data!CB69</f>
        <v>0</v>
      </c>
      <c r="D371" s="308">
        <f>data!CC69</f>
        <v>29241.29</v>
      </c>
      <c r="E371" s="308">
        <f>data!CD69</f>
        <v>0</v>
      </c>
      <c r="F371" s="313"/>
      <c r="G371" s="313"/>
      <c r="H371" s="313"/>
      <c r="I371" s="308">
        <f>data!CE69</f>
        <v>8151656.0899999989</v>
      </c>
    </row>
    <row r="372" spans="1:9" customFormat="1" ht="20.149999999999999" customHeight="1" x14ac:dyDescent="0.35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0</v>
      </c>
      <c r="F372" s="299"/>
      <c r="G372" s="299"/>
      <c r="H372" s="299"/>
      <c r="I372" s="289">
        <f>-data!CE84</f>
        <v>0</v>
      </c>
    </row>
    <row r="373" spans="1:9" customFormat="1" ht="20.149999999999999" customHeight="1" x14ac:dyDescent="0.35">
      <c r="A373" s="288">
        <v>16</v>
      </c>
      <c r="B373" s="297" t="s">
        <v>1007</v>
      </c>
      <c r="C373" s="308">
        <f>data!CB85</f>
        <v>0</v>
      </c>
      <c r="D373" s="308">
        <f>data!CC85</f>
        <v>289930.59999999998</v>
      </c>
      <c r="E373" s="308">
        <f>data!CD85</f>
        <v>0</v>
      </c>
      <c r="F373" s="313"/>
      <c r="G373" s="313"/>
      <c r="H373" s="313"/>
      <c r="I373" s="289">
        <f>data!CE85</f>
        <v>25078357.323000003</v>
      </c>
    </row>
    <row r="374" spans="1:9" customFormat="1" ht="20.149999999999999" customHeight="1" x14ac:dyDescent="0.35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9" customFormat="1" ht="20.149999999999999" customHeight="1" x14ac:dyDescent="0.35">
      <c r="A375" s="288">
        <v>18</v>
      </c>
      <c r="B375" s="289" t="s">
        <v>1008</v>
      </c>
      <c r="C375" s="289"/>
      <c r="D375" s="289"/>
      <c r="E375" s="289"/>
      <c r="F375" s="289"/>
      <c r="G375" s="289"/>
      <c r="H375" s="289"/>
      <c r="I375" s="289"/>
    </row>
    <row r="376" spans="1:9" customFormat="1" ht="20.149999999999999" customHeight="1" x14ac:dyDescent="0.35">
      <c r="A376" s="288">
        <v>19</v>
      </c>
      <c r="B376" s="297" t="s">
        <v>1009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61919119</v>
      </c>
    </row>
    <row r="377" spans="1:9" customFormat="1" ht="20.149999999999999" customHeight="1" x14ac:dyDescent="0.35">
      <c r="A377" s="288">
        <v>20</v>
      </c>
      <c r="B377" s="297" t="s">
        <v>1010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5790088</v>
      </c>
    </row>
    <row r="378" spans="1:9" customFormat="1" ht="20.149999999999999" customHeight="1" x14ac:dyDescent="0.35">
      <c r="A378" s="288">
        <v>21</v>
      </c>
      <c r="B378" s="297" t="s">
        <v>1011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67709207</v>
      </c>
    </row>
    <row r="379" spans="1:9" customFormat="1" ht="20.149999999999999" customHeight="1" x14ac:dyDescent="0.35">
      <c r="A379" s="288" t="s">
        <v>1012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49999999999999" customHeight="1" x14ac:dyDescent="0.35">
      <c r="A380" s="288">
        <v>22</v>
      </c>
      <c r="B380" s="289" t="s">
        <v>1013</v>
      </c>
      <c r="C380" s="305">
        <f>data!CB90</f>
        <v>0</v>
      </c>
      <c r="D380" s="305">
        <f>data!CC90</f>
        <v>0</v>
      </c>
      <c r="E380" s="299"/>
      <c r="F380" s="299"/>
      <c r="G380" s="299"/>
      <c r="H380" s="299"/>
      <c r="I380" s="289">
        <f>data!CE90</f>
        <v>49533</v>
      </c>
    </row>
    <row r="381" spans="1:9" customFormat="1" ht="20.149999999999999" customHeight="1" x14ac:dyDescent="0.35">
      <c r="A381" s="288">
        <v>23</v>
      </c>
      <c r="B381" s="289" t="s">
        <v>1014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68889</v>
      </c>
    </row>
    <row r="382" spans="1:9" customFormat="1" ht="20.149999999999999" customHeight="1" x14ac:dyDescent="0.35">
      <c r="A382" s="288">
        <v>24</v>
      </c>
      <c r="B382" s="289" t="s">
        <v>1015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0</v>
      </c>
    </row>
    <row r="383" spans="1:9" customFormat="1" ht="20.149999999999999" customHeight="1" x14ac:dyDescent="0.35">
      <c r="A383" s="288">
        <v>25</v>
      </c>
      <c r="B383" s="289" t="s">
        <v>1016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0</v>
      </c>
    </row>
    <row r="384" spans="1:9" customFormat="1" ht="20.149999999999999" customHeight="1" x14ac:dyDescent="0.35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69794.25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98" transitionEvaluation="1" transitionEntry="1" codeName="Sheet1">
    <tabColor rgb="FF92D050"/>
    <pageSetUpPr autoPageBreaks="0" fitToPage="1"/>
  </sheetPr>
  <dimension ref="A1:CF716"/>
  <sheetViews>
    <sheetView topLeftCell="A198" zoomScaleNormal="100" workbookViewId="0">
      <selection activeCell="E157" sqref="E157:E15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56" t="s">
        <v>0</v>
      </c>
      <c r="C1" s="13"/>
    </row>
    <row r="2" spans="1:3" x14ac:dyDescent="0.35">
      <c r="A2" s="56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5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56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59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3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3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3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3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v>0</v>
      </c>
    </row>
    <row r="48" spans="1:83" x14ac:dyDescent="0.35">
      <c r="A48" s="25" t="s">
        <v>232</v>
      </c>
      <c r="B48" s="234">
        <v>1880753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973858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20356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37639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82763</v>
      </c>
      <c r="AV48" s="25">
        <v>0</v>
      </c>
      <c r="AW48" s="25">
        <v>0</v>
      </c>
      <c r="AX48" s="25">
        <v>0</v>
      </c>
      <c r="AY48" s="25">
        <v>51542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44573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29032</v>
      </c>
      <c r="BL48" s="25">
        <v>226314</v>
      </c>
      <c r="BM48" s="25">
        <v>0</v>
      </c>
      <c r="BN48" s="25">
        <v>55369</v>
      </c>
      <c r="BO48" s="25">
        <v>0</v>
      </c>
      <c r="BP48" s="25">
        <v>0</v>
      </c>
      <c r="BQ48" s="25">
        <v>0</v>
      </c>
      <c r="BR48" s="25">
        <v>20411</v>
      </c>
      <c r="BS48" s="25">
        <v>0</v>
      </c>
      <c r="BT48" s="25">
        <v>0</v>
      </c>
      <c r="BU48" s="25">
        <v>0</v>
      </c>
      <c r="BV48" s="25">
        <v>28510</v>
      </c>
      <c r="BW48" s="25">
        <v>48034</v>
      </c>
      <c r="BX48" s="25">
        <v>63180</v>
      </c>
      <c r="BY48" s="25">
        <v>199171</v>
      </c>
      <c r="BZ48" s="25">
        <v>0</v>
      </c>
      <c r="CA48" s="25">
        <v>0</v>
      </c>
      <c r="CB48" s="25">
        <v>0</v>
      </c>
      <c r="CC48" s="25">
        <v>0</v>
      </c>
      <c r="CD48" s="25" t="s">
        <v>1053</v>
      </c>
      <c r="CE48" s="25" t="s">
        <v>1053</v>
      </c>
    </row>
    <row r="49" spans="1:83" x14ac:dyDescent="0.35">
      <c r="A49" s="16" t="s">
        <v>233</v>
      </c>
      <c r="B49" s="25">
        <v>1880753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v>0</v>
      </c>
    </row>
    <row r="52" spans="1:83" x14ac:dyDescent="0.35">
      <c r="A52" s="31" t="s">
        <v>235</v>
      </c>
      <c r="B52" s="234">
        <v>1190756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779604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4470</v>
      </c>
      <c r="AC52" s="25">
        <v>0</v>
      </c>
      <c r="AD52" s="25">
        <v>0</v>
      </c>
      <c r="AE52" s="25">
        <v>0</v>
      </c>
      <c r="AF52" s="25">
        <v>64785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92539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75262</v>
      </c>
      <c r="AV52" s="25">
        <v>0</v>
      </c>
      <c r="AW52" s="25">
        <v>0</v>
      </c>
      <c r="AX52" s="25">
        <v>0</v>
      </c>
      <c r="AY52" s="25">
        <v>59594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31647</v>
      </c>
      <c r="BF52" s="25">
        <v>14754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38929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22780</v>
      </c>
      <c r="BW52" s="25">
        <v>0</v>
      </c>
      <c r="BX52" s="25">
        <v>0</v>
      </c>
      <c r="BY52" s="25">
        <v>6392</v>
      </c>
      <c r="BZ52" s="25">
        <v>0</v>
      </c>
      <c r="CA52" s="25">
        <v>0</v>
      </c>
      <c r="CB52" s="25">
        <v>0</v>
      </c>
      <c r="CC52" s="25">
        <v>0</v>
      </c>
      <c r="CD52" s="25" t="s">
        <v>1053</v>
      </c>
      <c r="CE52" s="25" t="s">
        <v>1053</v>
      </c>
    </row>
    <row r="53" spans="1:83" x14ac:dyDescent="0.35">
      <c r="A53" s="16" t="s">
        <v>233</v>
      </c>
      <c r="B53" s="25">
        <v>1190756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0</v>
      </c>
      <c r="F59" s="235">
        <v>0</v>
      </c>
      <c r="G59" s="235">
        <v>0</v>
      </c>
      <c r="H59" s="235">
        <v>18266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6">
        <v>0</v>
      </c>
      <c r="Q59" s="237">
        <v>0</v>
      </c>
      <c r="R59" s="237">
        <v>0</v>
      </c>
      <c r="S59" s="230">
        <v>0</v>
      </c>
      <c r="T59" s="230">
        <v>0</v>
      </c>
      <c r="U59" s="238">
        <v>0</v>
      </c>
      <c r="V59" s="237">
        <v>0</v>
      </c>
      <c r="W59" s="237">
        <v>0</v>
      </c>
      <c r="X59" s="237">
        <v>0</v>
      </c>
      <c r="Y59" s="237">
        <v>0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0</v>
      </c>
      <c r="AF59" s="237">
        <v>2064</v>
      </c>
      <c r="AG59" s="237">
        <v>0</v>
      </c>
      <c r="AH59" s="237">
        <v>0</v>
      </c>
      <c r="AI59" s="237">
        <v>0</v>
      </c>
      <c r="AJ59" s="237">
        <v>0</v>
      </c>
      <c r="AK59" s="237">
        <v>0</v>
      </c>
      <c r="AL59" s="237">
        <v>0</v>
      </c>
      <c r="AM59" s="237">
        <v>0</v>
      </c>
      <c r="AN59" s="237">
        <v>0</v>
      </c>
      <c r="AO59" s="237">
        <v>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3142</v>
      </c>
      <c r="AV59" s="230">
        <v>0</v>
      </c>
      <c r="AW59" s="230">
        <v>0</v>
      </c>
      <c r="AX59" s="230">
        <v>0</v>
      </c>
      <c r="AY59" s="237">
        <v>54798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49553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ht="15.75" customHeight="1" x14ac:dyDescent="0.35">
      <c r="A60" s="207" t="s">
        <v>262</v>
      </c>
      <c r="B60" s="208"/>
      <c r="C60" s="239">
        <v>0</v>
      </c>
      <c r="D60" s="239">
        <v>0</v>
      </c>
      <c r="E60" s="239">
        <v>0</v>
      </c>
      <c r="F60" s="239">
        <v>0</v>
      </c>
      <c r="G60" s="239">
        <v>0</v>
      </c>
      <c r="H60" s="239">
        <v>67.570000000000007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6">
        <v>0</v>
      </c>
      <c r="Q60" s="236">
        <v>0</v>
      </c>
      <c r="R60" s="236">
        <v>0</v>
      </c>
      <c r="S60" s="240">
        <v>0</v>
      </c>
      <c r="T60" s="240">
        <v>0</v>
      </c>
      <c r="U60" s="241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40">
        <v>0</v>
      </c>
      <c r="AC60" s="236">
        <v>0</v>
      </c>
      <c r="AD60" s="236">
        <v>0</v>
      </c>
      <c r="AE60" s="236">
        <v>0</v>
      </c>
      <c r="AF60" s="236">
        <v>4.33</v>
      </c>
      <c r="AG60" s="236">
        <v>0</v>
      </c>
      <c r="AH60" s="236">
        <v>0</v>
      </c>
      <c r="AI60" s="236">
        <v>0</v>
      </c>
      <c r="AJ60" s="236">
        <v>0</v>
      </c>
      <c r="AK60" s="236">
        <v>0</v>
      </c>
      <c r="AL60" s="236">
        <v>0</v>
      </c>
      <c r="AM60" s="236">
        <v>4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5.69</v>
      </c>
      <c r="AV60" s="240">
        <v>0</v>
      </c>
      <c r="AW60" s="240">
        <v>0</v>
      </c>
      <c r="AX60" s="240">
        <v>0</v>
      </c>
      <c r="AY60" s="236">
        <v>6.3330000000000002</v>
      </c>
      <c r="AZ60" s="236">
        <v>0</v>
      </c>
      <c r="BA60" s="240">
        <v>0</v>
      </c>
      <c r="BB60" s="240">
        <v>0</v>
      </c>
      <c r="BC60" s="240">
        <v>0</v>
      </c>
      <c r="BD60" s="240">
        <v>0</v>
      </c>
      <c r="BE60" s="236">
        <v>4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2.39</v>
      </c>
      <c r="BL60" s="240">
        <v>13.5</v>
      </c>
      <c r="BM60" s="240">
        <v>0</v>
      </c>
      <c r="BN60" s="240">
        <v>2</v>
      </c>
      <c r="BO60" s="240">
        <v>0</v>
      </c>
      <c r="BP60" s="240">
        <v>0</v>
      </c>
      <c r="BQ60" s="240">
        <v>0</v>
      </c>
      <c r="BR60" s="240">
        <v>1</v>
      </c>
      <c r="BS60" s="240">
        <v>0</v>
      </c>
      <c r="BT60" s="240">
        <v>0</v>
      </c>
      <c r="BU60" s="240">
        <v>0</v>
      </c>
      <c r="BV60" s="240">
        <v>2.87</v>
      </c>
      <c r="BW60" s="240">
        <v>2</v>
      </c>
      <c r="BX60" s="240">
        <v>4</v>
      </c>
      <c r="BY60" s="240">
        <v>10.34</v>
      </c>
      <c r="BZ60" s="240">
        <v>0</v>
      </c>
      <c r="CA60" s="240">
        <v>0</v>
      </c>
      <c r="CB60" s="240">
        <v>0</v>
      </c>
      <c r="CC60" s="240">
        <v>0</v>
      </c>
      <c r="CD60" s="209" t="s">
        <v>248</v>
      </c>
      <c r="CE60" s="227">
        <v>130.023</v>
      </c>
    </row>
    <row r="61" spans="1:83" x14ac:dyDescent="0.35">
      <c r="A61" s="31" t="s">
        <v>263</v>
      </c>
      <c r="B61" s="16"/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35">
        <v>5524313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7">
        <v>0</v>
      </c>
      <c r="Q61" s="237">
        <v>0</v>
      </c>
      <c r="R61" s="237">
        <v>0</v>
      </c>
      <c r="S61" s="242">
        <v>0</v>
      </c>
      <c r="T61" s="242">
        <v>0</v>
      </c>
      <c r="U61" s="238">
        <v>0</v>
      </c>
      <c r="V61" s="237">
        <v>0</v>
      </c>
      <c r="W61" s="237">
        <v>0</v>
      </c>
      <c r="X61" s="237">
        <v>0</v>
      </c>
      <c r="Y61" s="237">
        <v>0</v>
      </c>
      <c r="Z61" s="237">
        <v>0</v>
      </c>
      <c r="AA61" s="237">
        <v>0</v>
      </c>
      <c r="AB61" s="243">
        <v>0</v>
      </c>
      <c r="AC61" s="237">
        <v>0</v>
      </c>
      <c r="AD61" s="237">
        <v>0</v>
      </c>
      <c r="AE61" s="237">
        <v>0</v>
      </c>
      <c r="AF61" s="237">
        <v>115473</v>
      </c>
      <c r="AG61" s="237">
        <v>0</v>
      </c>
      <c r="AH61" s="237">
        <v>0</v>
      </c>
      <c r="AI61" s="237">
        <v>0</v>
      </c>
      <c r="AJ61" s="237">
        <v>0</v>
      </c>
      <c r="AK61" s="237">
        <v>0</v>
      </c>
      <c r="AL61" s="237">
        <v>0</v>
      </c>
      <c r="AM61" s="237">
        <v>213513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469483</v>
      </c>
      <c r="AV61" s="242">
        <v>0</v>
      </c>
      <c r="AW61" s="242">
        <v>0</v>
      </c>
      <c r="AX61" s="242">
        <v>0</v>
      </c>
      <c r="AY61" s="237">
        <v>292379</v>
      </c>
      <c r="AZ61" s="237">
        <v>0</v>
      </c>
      <c r="BA61" s="242">
        <v>0</v>
      </c>
      <c r="BB61" s="242">
        <v>0</v>
      </c>
      <c r="BC61" s="242">
        <v>0</v>
      </c>
      <c r="BD61" s="242">
        <v>0</v>
      </c>
      <c r="BE61" s="237">
        <v>252843</v>
      </c>
      <c r="BF61" s="242">
        <v>0</v>
      </c>
      <c r="BG61" s="242">
        <v>0</v>
      </c>
      <c r="BH61" s="242">
        <v>0</v>
      </c>
      <c r="BI61" s="242">
        <v>0</v>
      </c>
      <c r="BJ61" s="242">
        <v>0</v>
      </c>
      <c r="BK61" s="242">
        <v>164688</v>
      </c>
      <c r="BL61" s="242">
        <v>1283788</v>
      </c>
      <c r="BM61" s="242">
        <v>0</v>
      </c>
      <c r="BN61" s="242">
        <v>314084</v>
      </c>
      <c r="BO61" s="242">
        <v>0</v>
      </c>
      <c r="BP61" s="242">
        <v>0</v>
      </c>
      <c r="BQ61" s="242">
        <v>0</v>
      </c>
      <c r="BR61" s="242">
        <v>115786</v>
      </c>
      <c r="BS61" s="242">
        <v>0</v>
      </c>
      <c r="BT61" s="242">
        <v>0</v>
      </c>
      <c r="BU61" s="242">
        <v>0</v>
      </c>
      <c r="BV61" s="242">
        <v>161727</v>
      </c>
      <c r="BW61" s="242">
        <v>272480</v>
      </c>
      <c r="BX61" s="242">
        <v>358394</v>
      </c>
      <c r="BY61" s="242">
        <v>1129821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v>10668772</v>
      </c>
    </row>
    <row r="62" spans="1:83" x14ac:dyDescent="0.35">
      <c r="A62" s="31" t="s">
        <v>11</v>
      </c>
      <c r="B62" s="16"/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973858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20356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37639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82763</v>
      </c>
      <c r="AV62" s="25">
        <v>0</v>
      </c>
      <c r="AW62" s="25">
        <v>0</v>
      </c>
      <c r="AX62" s="25">
        <v>0</v>
      </c>
      <c r="AY62" s="25">
        <v>51542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44573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29032</v>
      </c>
      <c r="BL62" s="25">
        <v>226314</v>
      </c>
      <c r="BM62" s="25">
        <v>0</v>
      </c>
      <c r="BN62" s="25">
        <v>55369</v>
      </c>
      <c r="BO62" s="25">
        <v>0</v>
      </c>
      <c r="BP62" s="25">
        <v>0</v>
      </c>
      <c r="BQ62" s="25">
        <v>0</v>
      </c>
      <c r="BR62" s="25">
        <v>20411</v>
      </c>
      <c r="BS62" s="25">
        <v>0</v>
      </c>
      <c r="BT62" s="25">
        <v>0</v>
      </c>
      <c r="BU62" s="25">
        <v>0</v>
      </c>
      <c r="BV62" s="25">
        <v>28510</v>
      </c>
      <c r="BW62" s="25">
        <v>48034</v>
      </c>
      <c r="BX62" s="25">
        <v>63180</v>
      </c>
      <c r="BY62" s="25">
        <v>199171</v>
      </c>
      <c r="BZ62" s="25">
        <v>0</v>
      </c>
      <c r="CA62" s="25">
        <v>0</v>
      </c>
      <c r="CB62" s="25">
        <v>0</v>
      </c>
      <c r="CC62" s="25">
        <v>0</v>
      </c>
      <c r="CD62" s="24" t="s">
        <v>248</v>
      </c>
      <c r="CE62" s="25">
        <v>1880752</v>
      </c>
    </row>
    <row r="63" spans="1:83" x14ac:dyDescent="0.35">
      <c r="A63" s="31" t="s">
        <v>264</v>
      </c>
      <c r="B63" s="16"/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0</v>
      </c>
      <c r="S63" s="242">
        <v>0</v>
      </c>
      <c r="T63" s="242">
        <v>0</v>
      </c>
      <c r="U63" s="238">
        <v>0</v>
      </c>
      <c r="V63" s="237">
        <v>0</v>
      </c>
      <c r="W63" s="237">
        <v>0</v>
      </c>
      <c r="X63" s="237">
        <v>0</v>
      </c>
      <c r="Y63" s="237">
        <v>0</v>
      </c>
      <c r="Z63" s="237">
        <v>0</v>
      </c>
      <c r="AA63" s="237">
        <v>0</v>
      </c>
      <c r="AB63" s="243">
        <v>0</v>
      </c>
      <c r="AC63" s="237">
        <v>0</v>
      </c>
      <c r="AD63" s="237">
        <v>0</v>
      </c>
      <c r="AE63" s="237">
        <v>0</v>
      </c>
      <c r="AF63" s="237">
        <v>0</v>
      </c>
      <c r="AG63" s="237">
        <v>0</v>
      </c>
      <c r="AH63" s="237">
        <v>0</v>
      </c>
      <c r="AI63" s="237">
        <v>0</v>
      </c>
      <c r="AJ63" s="237">
        <v>0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0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2632171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2632171</v>
      </c>
    </row>
    <row r="64" spans="1:83" x14ac:dyDescent="0.35">
      <c r="A64" s="31" t="s">
        <v>265</v>
      </c>
      <c r="B64" s="16"/>
      <c r="C64" s="235">
        <v>0</v>
      </c>
      <c r="D64" s="235">
        <v>0</v>
      </c>
      <c r="E64" s="235">
        <v>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7">
        <v>0</v>
      </c>
      <c r="Q64" s="237">
        <v>0</v>
      </c>
      <c r="R64" s="237">
        <v>0</v>
      </c>
      <c r="S64" s="242">
        <v>0</v>
      </c>
      <c r="T64" s="242">
        <v>0</v>
      </c>
      <c r="U64" s="238">
        <v>0</v>
      </c>
      <c r="V64" s="237">
        <v>0</v>
      </c>
      <c r="W64" s="237">
        <v>0</v>
      </c>
      <c r="X64" s="237">
        <v>0</v>
      </c>
      <c r="Y64" s="237">
        <v>0</v>
      </c>
      <c r="Z64" s="237">
        <v>0</v>
      </c>
      <c r="AA64" s="237">
        <v>0</v>
      </c>
      <c r="AB64" s="243">
        <v>0</v>
      </c>
      <c r="AC64" s="237">
        <v>0</v>
      </c>
      <c r="AD64" s="237">
        <v>0</v>
      </c>
      <c r="AE64" s="237">
        <v>0</v>
      </c>
      <c r="AF64" s="237">
        <v>0</v>
      </c>
      <c r="AG64" s="237">
        <v>0</v>
      </c>
      <c r="AH64" s="237">
        <v>0</v>
      </c>
      <c r="AI64" s="237">
        <v>0</v>
      </c>
      <c r="AJ64" s="237">
        <v>0</v>
      </c>
      <c r="AK64" s="237">
        <v>0</v>
      </c>
      <c r="AL64" s="237">
        <v>0</v>
      </c>
      <c r="AM64" s="237">
        <v>0</v>
      </c>
      <c r="AN64" s="237">
        <v>0</v>
      </c>
      <c r="AO64" s="237">
        <v>0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0</v>
      </c>
      <c r="AW64" s="242">
        <v>0</v>
      </c>
      <c r="AX64" s="242">
        <v>0</v>
      </c>
      <c r="AY64" s="237">
        <v>0</v>
      </c>
      <c r="AZ64" s="237">
        <v>0</v>
      </c>
      <c r="BA64" s="242">
        <v>0</v>
      </c>
      <c r="BB64" s="242">
        <v>0</v>
      </c>
      <c r="BC64" s="242">
        <v>0</v>
      </c>
      <c r="BD64" s="242">
        <v>0</v>
      </c>
      <c r="BE64" s="237">
        <v>0</v>
      </c>
      <c r="BF64" s="242">
        <v>0</v>
      </c>
      <c r="BG64" s="242">
        <v>0</v>
      </c>
      <c r="BH64" s="242">
        <v>0</v>
      </c>
      <c r="BI64" s="242">
        <v>0</v>
      </c>
      <c r="BJ64" s="242">
        <v>0</v>
      </c>
      <c r="BK64" s="242">
        <v>0</v>
      </c>
      <c r="BL64" s="242">
        <v>0</v>
      </c>
      <c r="BM64" s="242">
        <v>0</v>
      </c>
      <c r="BN64" s="242">
        <v>0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0</v>
      </c>
      <c r="BZ64" s="242">
        <v>0</v>
      </c>
      <c r="CA64" s="242">
        <v>0</v>
      </c>
      <c r="CB64" s="242">
        <v>0</v>
      </c>
      <c r="CC64" s="242">
        <v>0</v>
      </c>
      <c r="CD64" s="24" t="s">
        <v>248</v>
      </c>
      <c r="CE64" s="25">
        <v>0</v>
      </c>
    </row>
    <row r="65" spans="1:83" x14ac:dyDescent="0.35">
      <c r="A65" s="31" t="s">
        <v>266</v>
      </c>
      <c r="B65" s="16"/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0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0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0</v>
      </c>
    </row>
    <row r="66" spans="1:83" x14ac:dyDescent="0.35">
      <c r="A66" s="31" t="s">
        <v>267</v>
      </c>
      <c r="B66" s="16"/>
      <c r="C66" s="235">
        <v>0</v>
      </c>
      <c r="D66" s="235">
        <v>0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7">
        <v>0</v>
      </c>
      <c r="Q66" s="237">
        <v>0</v>
      </c>
      <c r="R66" s="237">
        <v>0</v>
      </c>
      <c r="S66" s="242">
        <v>0</v>
      </c>
      <c r="T66" s="242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43">
        <v>0</v>
      </c>
      <c r="AC66" s="237">
        <v>0</v>
      </c>
      <c r="AD66" s="237">
        <v>0</v>
      </c>
      <c r="AE66" s="237">
        <v>0</v>
      </c>
      <c r="AF66" s="237">
        <v>0</v>
      </c>
      <c r="AG66" s="237">
        <v>0</v>
      </c>
      <c r="AH66" s="237">
        <v>0</v>
      </c>
      <c r="AI66" s="237">
        <v>0</v>
      </c>
      <c r="AJ66" s="237">
        <v>0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0</v>
      </c>
      <c r="AW66" s="242">
        <v>0</v>
      </c>
      <c r="AX66" s="242">
        <v>0</v>
      </c>
      <c r="AY66" s="237">
        <v>0</v>
      </c>
      <c r="AZ66" s="237">
        <v>0</v>
      </c>
      <c r="BA66" s="242">
        <v>0</v>
      </c>
      <c r="BB66" s="242">
        <v>0</v>
      </c>
      <c r="BC66" s="242">
        <v>0</v>
      </c>
      <c r="BD66" s="242">
        <v>0</v>
      </c>
      <c r="BE66" s="237">
        <v>0</v>
      </c>
      <c r="BF66" s="242">
        <v>0</v>
      </c>
      <c r="BG66" s="242">
        <v>0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0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0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v>0</v>
      </c>
    </row>
    <row r="67" spans="1:83" x14ac:dyDescent="0.35">
      <c r="A67" s="31" t="s">
        <v>16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779604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4470</v>
      </c>
      <c r="AC67" s="25">
        <v>0</v>
      </c>
      <c r="AD67" s="25">
        <v>0</v>
      </c>
      <c r="AE67" s="25">
        <v>0</v>
      </c>
      <c r="AF67" s="25">
        <v>64785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92539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75262</v>
      </c>
      <c r="AV67" s="25">
        <v>0</v>
      </c>
      <c r="AW67" s="25">
        <v>0</v>
      </c>
      <c r="AX67" s="25">
        <v>0</v>
      </c>
      <c r="AY67" s="25">
        <v>59594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31647</v>
      </c>
      <c r="BF67" s="25">
        <v>14754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38929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22780</v>
      </c>
      <c r="BW67" s="25">
        <v>0</v>
      </c>
      <c r="BX67" s="25">
        <v>0</v>
      </c>
      <c r="BY67" s="25">
        <v>6392</v>
      </c>
      <c r="BZ67" s="25">
        <v>0</v>
      </c>
      <c r="CA67" s="25">
        <v>0</v>
      </c>
      <c r="CB67" s="25">
        <v>0</v>
      </c>
      <c r="CC67" s="25">
        <v>0</v>
      </c>
      <c r="CD67" s="24" t="s">
        <v>248</v>
      </c>
      <c r="CE67" s="25">
        <v>1190756</v>
      </c>
    </row>
    <row r="68" spans="1:83" x14ac:dyDescent="0.35">
      <c r="A68" s="31" t="s">
        <v>268</v>
      </c>
      <c r="B68" s="25"/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0</v>
      </c>
      <c r="AC68" s="237">
        <v>0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0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0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0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v>0</v>
      </c>
    </row>
    <row r="69" spans="1:83" x14ac:dyDescent="0.35">
      <c r="A69" s="31" t="s">
        <v>269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</row>
    <row r="70" spans="1:83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0</v>
      </c>
    </row>
    <row r="71" spans="1:83" x14ac:dyDescent="0.35">
      <c r="A71" s="26" t="s">
        <v>271</v>
      </c>
      <c r="B71" s="27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v>0</v>
      </c>
    </row>
    <row r="72" spans="1:83" x14ac:dyDescent="0.3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v>0</v>
      </c>
    </row>
    <row r="74" spans="1:83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0</v>
      </c>
    </row>
    <row r="75" spans="1:83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0</v>
      </c>
    </row>
    <row r="76" spans="1:83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0</v>
      </c>
    </row>
    <row r="77" spans="1:83" x14ac:dyDescent="0.3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v>0</v>
      </c>
    </row>
    <row r="78" spans="1:83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v>0</v>
      </c>
    </row>
    <row r="79" spans="1:83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0</v>
      </c>
    </row>
    <row r="80" spans="1:83" x14ac:dyDescent="0.35">
      <c r="A80" s="26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v>0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v>0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0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0</v>
      </c>
      <c r="P83" s="237">
        <v>0</v>
      </c>
      <c r="Q83" s="237">
        <v>0</v>
      </c>
      <c r="R83" s="238">
        <v>0</v>
      </c>
      <c r="S83" s="237">
        <v>0</v>
      </c>
      <c r="T83" s="235">
        <v>0</v>
      </c>
      <c r="U83" s="237">
        <v>0</v>
      </c>
      <c r="V83" s="237">
        <v>0</v>
      </c>
      <c r="W83" s="235">
        <v>0</v>
      </c>
      <c r="X83" s="237">
        <v>0</v>
      </c>
      <c r="Y83" s="237">
        <v>0</v>
      </c>
      <c r="Z83" s="237">
        <v>0</v>
      </c>
      <c r="AA83" s="237">
        <v>0</v>
      </c>
      <c r="AB83" s="237">
        <v>0</v>
      </c>
      <c r="AC83" s="237">
        <v>0</v>
      </c>
      <c r="AD83" s="237">
        <v>0</v>
      </c>
      <c r="AE83" s="237">
        <v>0</v>
      </c>
      <c r="AF83" s="237">
        <v>0</v>
      </c>
      <c r="AG83" s="237">
        <v>0</v>
      </c>
      <c r="AH83" s="237">
        <v>0</v>
      </c>
      <c r="AI83" s="237">
        <v>0</v>
      </c>
      <c r="AJ83" s="237">
        <v>0</v>
      </c>
      <c r="AK83" s="237">
        <v>0</v>
      </c>
      <c r="AL83" s="237">
        <v>0</v>
      </c>
      <c r="AM83" s="237">
        <v>0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0</v>
      </c>
      <c r="AZ83" s="237">
        <v>0</v>
      </c>
      <c r="BA83" s="237">
        <v>0</v>
      </c>
      <c r="BB83" s="237">
        <v>0</v>
      </c>
      <c r="BC83" s="237">
        <v>0</v>
      </c>
      <c r="BD83" s="237">
        <v>0</v>
      </c>
      <c r="BE83" s="237">
        <v>0</v>
      </c>
      <c r="BF83" s="237">
        <v>0</v>
      </c>
      <c r="BG83" s="237">
        <v>0</v>
      </c>
      <c r="BH83" s="238">
        <v>0</v>
      </c>
      <c r="BI83" s="237">
        <v>0</v>
      </c>
      <c r="BJ83" s="237">
        <v>0</v>
      </c>
      <c r="BK83" s="237">
        <v>0</v>
      </c>
      <c r="BL83" s="237">
        <v>0</v>
      </c>
      <c r="BM83" s="237">
        <v>0</v>
      </c>
      <c r="BN83" s="237">
        <v>0</v>
      </c>
      <c r="BO83" s="237">
        <v>0</v>
      </c>
      <c r="BP83" s="237">
        <v>0</v>
      </c>
      <c r="BQ83" s="237">
        <v>0</v>
      </c>
      <c r="BR83" s="237">
        <v>0</v>
      </c>
      <c r="BS83" s="237">
        <v>0</v>
      </c>
      <c r="BT83" s="237">
        <v>0</v>
      </c>
      <c r="BU83" s="237">
        <v>0</v>
      </c>
      <c r="BV83" s="237">
        <v>0</v>
      </c>
      <c r="BW83" s="237">
        <v>0</v>
      </c>
      <c r="BX83" s="237">
        <v>0</v>
      </c>
      <c r="BY83" s="237">
        <v>0</v>
      </c>
      <c r="BZ83" s="237">
        <v>0</v>
      </c>
      <c r="CA83" s="237">
        <v>0</v>
      </c>
      <c r="CB83" s="237">
        <v>0</v>
      </c>
      <c r="CC83" s="237">
        <v>0</v>
      </c>
      <c r="CD83" s="244">
        <v>0</v>
      </c>
      <c r="CE83" s="25">
        <v>0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v>0</v>
      </c>
    </row>
    <row r="85" spans="1:84" x14ac:dyDescent="0.35">
      <c r="A85" s="31" t="s">
        <v>285</v>
      </c>
      <c r="B85" s="25"/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7277775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4470</v>
      </c>
      <c r="AC85" s="25">
        <v>0</v>
      </c>
      <c r="AD85" s="25">
        <v>0</v>
      </c>
      <c r="AE85" s="25">
        <v>0</v>
      </c>
      <c r="AF85" s="25">
        <v>200614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343691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627508</v>
      </c>
      <c r="AV85" s="25">
        <v>0</v>
      </c>
      <c r="AW85" s="25">
        <v>0</v>
      </c>
      <c r="AX85" s="25">
        <v>0</v>
      </c>
      <c r="AY85" s="25">
        <v>403515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329063</v>
      </c>
      <c r="BF85" s="25">
        <v>14754</v>
      </c>
      <c r="BG85" s="25">
        <v>0</v>
      </c>
      <c r="BH85" s="25">
        <v>0</v>
      </c>
      <c r="BI85" s="25">
        <v>0</v>
      </c>
      <c r="BJ85" s="25">
        <v>0</v>
      </c>
      <c r="BK85" s="25">
        <v>193720</v>
      </c>
      <c r="BL85" s="25">
        <v>1510102</v>
      </c>
      <c r="BM85" s="25">
        <v>0</v>
      </c>
      <c r="BN85" s="25">
        <v>408382</v>
      </c>
      <c r="BO85" s="25">
        <v>0</v>
      </c>
      <c r="BP85" s="25">
        <v>0</v>
      </c>
      <c r="BQ85" s="25">
        <v>0</v>
      </c>
      <c r="BR85" s="25">
        <v>136197</v>
      </c>
      <c r="BS85" s="25">
        <v>0</v>
      </c>
      <c r="BT85" s="25">
        <v>0</v>
      </c>
      <c r="BU85" s="25">
        <v>0</v>
      </c>
      <c r="BV85" s="25">
        <v>213017</v>
      </c>
      <c r="BW85" s="25">
        <v>2952685</v>
      </c>
      <c r="BX85" s="25">
        <v>421574</v>
      </c>
      <c r="BY85" s="25">
        <v>1335384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16372451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0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0</v>
      </c>
      <c r="V87" s="235">
        <v>0</v>
      </c>
      <c r="W87" s="235">
        <v>0</v>
      </c>
      <c r="X87" s="235">
        <v>0</v>
      </c>
      <c r="Y87" s="235">
        <v>0</v>
      </c>
      <c r="Z87" s="235">
        <v>0</v>
      </c>
      <c r="AA87" s="235">
        <v>0</v>
      </c>
      <c r="AB87" s="235">
        <v>0</v>
      </c>
      <c r="AC87" s="235">
        <v>0</v>
      </c>
      <c r="AD87" s="235">
        <v>0</v>
      </c>
      <c r="AE87" s="235">
        <v>0</v>
      </c>
      <c r="AF87" s="235">
        <v>0</v>
      </c>
      <c r="AG87" s="235">
        <v>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0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v>0</v>
      </c>
      <c r="AF88" s="235">
        <v>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0</v>
      </c>
    </row>
    <row r="89" spans="1:84" x14ac:dyDescent="0.35">
      <c r="A89" s="21" t="s">
        <v>289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0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0</v>
      </c>
      <c r="F90" s="235">
        <v>0</v>
      </c>
      <c r="G90" s="235">
        <v>0</v>
      </c>
      <c r="H90" s="235">
        <v>32443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186</v>
      </c>
      <c r="AC90" s="235">
        <v>0</v>
      </c>
      <c r="AD90" s="235">
        <v>0</v>
      </c>
      <c r="AE90" s="235">
        <v>0</v>
      </c>
      <c r="AF90" s="235">
        <v>2696</v>
      </c>
      <c r="AG90" s="235">
        <v>0</v>
      </c>
      <c r="AH90" s="235">
        <v>0</v>
      </c>
      <c r="AI90" s="235">
        <v>0</v>
      </c>
      <c r="AJ90" s="235">
        <v>0</v>
      </c>
      <c r="AK90" s="235">
        <v>0</v>
      </c>
      <c r="AL90" s="235">
        <v>0</v>
      </c>
      <c r="AM90" s="235">
        <v>3851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3132</v>
      </c>
      <c r="AV90" s="235">
        <v>0</v>
      </c>
      <c r="AW90" s="235">
        <v>0</v>
      </c>
      <c r="AX90" s="235">
        <v>0</v>
      </c>
      <c r="AY90" s="235">
        <v>2480</v>
      </c>
      <c r="AZ90" s="235">
        <v>0</v>
      </c>
      <c r="BA90" s="235">
        <v>0</v>
      </c>
      <c r="BB90" s="235">
        <v>0</v>
      </c>
      <c r="BC90" s="235">
        <v>0</v>
      </c>
      <c r="BD90" s="235">
        <v>0</v>
      </c>
      <c r="BE90" s="235">
        <v>1317</v>
      </c>
      <c r="BF90" s="235">
        <v>614</v>
      </c>
      <c r="BG90" s="235">
        <v>0</v>
      </c>
      <c r="BH90" s="235">
        <v>0</v>
      </c>
      <c r="BI90" s="235">
        <v>0</v>
      </c>
      <c r="BJ90" s="235">
        <v>0</v>
      </c>
      <c r="BK90" s="235">
        <v>0</v>
      </c>
      <c r="BL90" s="235">
        <v>0</v>
      </c>
      <c r="BM90" s="235">
        <v>0</v>
      </c>
      <c r="BN90" s="235">
        <v>1620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948</v>
      </c>
      <c r="BW90" s="235">
        <v>0</v>
      </c>
      <c r="BX90" s="235">
        <v>0</v>
      </c>
      <c r="BY90" s="235">
        <v>266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v>49553</v>
      </c>
      <c r="CF90" s="25">
        <v>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0</v>
      </c>
      <c r="F91" s="235">
        <v>0</v>
      </c>
      <c r="G91" s="235">
        <v>0</v>
      </c>
      <c r="H91" s="235">
        <v>54798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v>54798</v>
      </c>
      <c r="CF91" s="25"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0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0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v>0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0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0</v>
      </c>
      <c r="P93" s="235">
        <v>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0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0</v>
      </c>
      <c r="AH93" s="235">
        <v>0</v>
      </c>
      <c r="AI93" s="235">
        <v>0</v>
      </c>
      <c r="AJ93" s="235">
        <v>0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v>0</v>
      </c>
      <c r="CF93" s="25"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0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0</v>
      </c>
      <c r="P94" s="236">
        <v>0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0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0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>
        <v>925</v>
      </c>
      <c r="D97" s="246" t="s">
        <v>5</v>
      </c>
      <c r="E97" s="247" t="s">
        <v>5</v>
      </c>
      <c r="F97" s="12"/>
    </row>
    <row r="98" spans="1:6" x14ac:dyDescent="0.35">
      <c r="A98" s="25" t="s">
        <v>300</v>
      </c>
      <c r="B98" s="32" t="s">
        <v>299</v>
      </c>
      <c r="C98" s="249" t="s">
        <v>301</v>
      </c>
      <c r="D98" s="246" t="s">
        <v>5</v>
      </c>
      <c r="E98" s="247" t="s">
        <v>5</v>
      </c>
      <c r="F98" s="12"/>
    </row>
    <row r="99" spans="1:6" x14ac:dyDescent="0.35">
      <c r="A99" s="25" t="s">
        <v>302</v>
      </c>
      <c r="B99" s="32" t="s">
        <v>299</v>
      </c>
      <c r="C99" s="250" t="s">
        <v>303</v>
      </c>
      <c r="D99" s="246" t="s">
        <v>5</v>
      </c>
      <c r="E99" s="247" t="s">
        <v>5</v>
      </c>
      <c r="F99" s="12"/>
    </row>
    <row r="100" spans="1:6" x14ac:dyDescent="0.35">
      <c r="A100" s="25" t="s">
        <v>304</v>
      </c>
      <c r="B100" s="32" t="s">
        <v>299</v>
      </c>
      <c r="C100" s="249" t="s">
        <v>305</v>
      </c>
      <c r="D100" s="246" t="s">
        <v>5</v>
      </c>
      <c r="E100" s="247" t="s">
        <v>5</v>
      </c>
      <c r="F100" s="12"/>
    </row>
    <row r="101" spans="1:6" x14ac:dyDescent="0.35">
      <c r="A101" s="25" t="s">
        <v>306</v>
      </c>
      <c r="B101" s="32" t="s">
        <v>299</v>
      </c>
      <c r="C101" s="249" t="s">
        <v>307</v>
      </c>
      <c r="D101" s="246" t="s">
        <v>5</v>
      </c>
      <c r="E101" s="247" t="s">
        <v>5</v>
      </c>
      <c r="F101" s="12"/>
    </row>
    <row r="102" spans="1:6" x14ac:dyDescent="0.35">
      <c r="A102" s="25" t="s">
        <v>308</v>
      </c>
      <c r="B102" s="32" t="s">
        <v>299</v>
      </c>
      <c r="C102" s="251" t="s">
        <v>309</v>
      </c>
      <c r="D102" s="246" t="s">
        <v>5</v>
      </c>
      <c r="E102" s="247" t="s">
        <v>5</v>
      </c>
      <c r="F102" s="12"/>
    </row>
    <row r="103" spans="1:6" x14ac:dyDescent="0.35">
      <c r="A103" s="25" t="s">
        <v>310</v>
      </c>
      <c r="B103" s="32" t="s">
        <v>299</v>
      </c>
      <c r="C103" s="249"/>
      <c r="D103" s="246" t="s">
        <v>5</v>
      </c>
      <c r="E103" s="247" t="s">
        <v>5</v>
      </c>
      <c r="F103" s="12"/>
    </row>
    <row r="104" spans="1:6" x14ac:dyDescent="0.35">
      <c r="A104" s="25" t="s">
        <v>311</v>
      </c>
      <c r="B104" s="32" t="s">
        <v>299</v>
      </c>
      <c r="C104" s="252" t="s">
        <v>312</v>
      </c>
      <c r="D104" s="246" t="s">
        <v>5</v>
      </c>
      <c r="E104" s="247" t="s">
        <v>5</v>
      </c>
      <c r="F104" s="12"/>
    </row>
    <row r="105" spans="1:6" x14ac:dyDescent="0.35">
      <c r="A105" s="25" t="s">
        <v>313</v>
      </c>
      <c r="B105" s="32" t="s">
        <v>299</v>
      </c>
      <c r="C105" s="252" t="s">
        <v>314</v>
      </c>
      <c r="D105" s="246" t="s">
        <v>5</v>
      </c>
      <c r="E105" s="247" t="s">
        <v>5</v>
      </c>
      <c r="F105" s="12"/>
    </row>
    <row r="106" spans="1:6" x14ac:dyDescent="0.35">
      <c r="A106" s="25" t="s">
        <v>315</v>
      </c>
      <c r="B106" s="32" t="s">
        <v>299</v>
      </c>
      <c r="C106" s="249" t="s">
        <v>316</v>
      </c>
      <c r="D106" s="246" t="s">
        <v>5</v>
      </c>
      <c r="E106" s="247" t="s">
        <v>5</v>
      </c>
      <c r="F106" s="12"/>
    </row>
    <row r="107" spans="1:6" x14ac:dyDescent="0.35">
      <c r="A107" s="25" t="s">
        <v>317</v>
      </c>
      <c r="B107" s="32" t="s">
        <v>299</v>
      </c>
      <c r="C107" s="253" t="s">
        <v>318</v>
      </c>
      <c r="D107" s="246" t="s">
        <v>5</v>
      </c>
      <c r="E107" s="247" t="s">
        <v>5</v>
      </c>
      <c r="F107" s="12"/>
    </row>
    <row r="108" spans="1:6" x14ac:dyDescent="0.35">
      <c r="A108" s="25" t="s">
        <v>319</v>
      </c>
      <c r="B108" s="32" t="s">
        <v>299</v>
      </c>
      <c r="C108" s="253"/>
      <c r="D108" s="246" t="s">
        <v>5</v>
      </c>
      <c r="E108" s="247" t="s">
        <v>5</v>
      </c>
      <c r="F108" s="12"/>
    </row>
    <row r="109" spans="1:6" x14ac:dyDescent="0.35">
      <c r="A109" s="33" t="s">
        <v>320</v>
      </c>
      <c r="B109" s="32" t="s">
        <v>299</v>
      </c>
      <c r="C109" s="249" t="s">
        <v>314</v>
      </c>
      <c r="D109" s="246" t="s">
        <v>5</v>
      </c>
      <c r="E109" s="247" t="s">
        <v>5</v>
      </c>
      <c r="F109" s="12"/>
    </row>
    <row r="110" spans="1:6" x14ac:dyDescent="0.35">
      <c r="A110" s="33" t="s">
        <v>321</v>
      </c>
      <c r="B110" s="32" t="s">
        <v>299</v>
      </c>
      <c r="C110" s="249" t="s">
        <v>322</v>
      </c>
      <c r="D110" s="246" t="s">
        <v>5</v>
      </c>
      <c r="E110" s="247" t="s">
        <v>5</v>
      </c>
      <c r="F110" s="12"/>
    </row>
    <row r="111" spans="1:6" x14ac:dyDescent="0.35">
      <c r="A111" s="30" t="s">
        <v>323</v>
      </c>
      <c r="B111" s="30"/>
      <c r="C111" s="30"/>
      <c r="D111" s="30"/>
      <c r="E111" s="30"/>
    </row>
    <row r="112" spans="1:6" x14ac:dyDescent="0.35">
      <c r="A112" s="34" t="s">
        <v>324</v>
      </c>
      <c r="B112" s="34"/>
      <c r="C112" s="34"/>
      <c r="D112" s="34"/>
      <c r="E112" s="34"/>
    </row>
    <row r="113" spans="1:5" x14ac:dyDescent="0.35">
      <c r="A113" s="16" t="s">
        <v>306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325</v>
      </c>
      <c r="B115" s="35" t="s">
        <v>299</v>
      </c>
      <c r="C115" s="254">
        <v>0</v>
      </c>
      <c r="D115" s="16"/>
      <c r="E115" s="16"/>
    </row>
    <row r="116" spans="1:5" x14ac:dyDescent="0.35">
      <c r="A116" s="34" t="s">
        <v>326</v>
      </c>
      <c r="B116" s="34"/>
      <c r="C116" s="34"/>
      <c r="D116" s="34"/>
      <c r="E116" s="34"/>
    </row>
    <row r="117" spans="1:5" x14ac:dyDescent="0.35">
      <c r="A117" s="16" t="s">
        <v>327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328</v>
      </c>
      <c r="B119" s="34"/>
      <c r="C119" s="34"/>
      <c r="D119" s="34"/>
      <c r="E119" s="34"/>
    </row>
    <row r="120" spans="1:5" x14ac:dyDescent="0.35">
      <c r="A120" s="16" t="s">
        <v>329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330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331</v>
      </c>
      <c r="B122" s="35" t="s">
        <v>299</v>
      </c>
      <c r="C122" s="254">
        <v>1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332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35" t="s">
        <v>299</v>
      </c>
      <c r="C127" s="256">
        <v>2857</v>
      </c>
      <c r="D127" s="257">
        <v>18266</v>
      </c>
      <c r="E127" s="16"/>
    </row>
    <row r="128" spans="1:5" x14ac:dyDescent="0.35">
      <c r="A128" s="16" t="s">
        <v>336</v>
      </c>
      <c r="B128" s="35" t="s">
        <v>299</v>
      </c>
      <c r="C128" s="256">
        <v>0</v>
      </c>
      <c r="D128" s="257">
        <v>0</v>
      </c>
      <c r="E128" s="16"/>
    </row>
    <row r="129" spans="1:5" x14ac:dyDescent="0.35">
      <c r="A129" s="16" t="s">
        <v>337</v>
      </c>
      <c r="B129" s="35" t="s">
        <v>299</v>
      </c>
      <c r="C129" s="254">
        <v>0</v>
      </c>
      <c r="D129" s="257">
        <v>0</v>
      </c>
      <c r="E129" s="16"/>
    </row>
    <row r="130" spans="1:5" x14ac:dyDescent="0.35">
      <c r="A130" s="16" t="s">
        <v>338</v>
      </c>
      <c r="B130" s="35" t="s">
        <v>299</v>
      </c>
      <c r="C130" s="254">
        <v>0</v>
      </c>
      <c r="D130" s="257">
        <v>0</v>
      </c>
      <c r="E130" s="16"/>
    </row>
    <row r="131" spans="1:5" x14ac:dyDescent="0.35">
      <c r="A131" s="21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341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342</v>
      </c>
      <c r="B134" s="35" t="s">
        <v>299</v>
      </c>
      <c r="C134" s="258">
        <v>0</v>
      </c>
      <c r="D134" s="16"/>
      <c r="E134" s="16"/>
    </row>
    <row r="135" spans="1:5" x14ac:dyDescent="0.35">
      <c r="A135" s="16" t="s">
        <v>343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344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345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55</v>
      </c>
      <c r="D138" s="16"/>
      <c r="E138" s="16"/>
    </row>
    <row r="139" spans="1:5" x14ac:dyDescent="0.35">
      <c r="A139" s="16" t="s">
        <v>346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347</v>
      </c>
      <c r="B140" s="35"/>
      <c r="C140" s="254">
        <v>0</v>
      </c>
      <c r="D140" s="16"/>
      <c r="E140" s="16"/>
    </row>
    <row r="141" spans="1:5" x14ac:dyDescent="0.35">
      <c r="A141" s="16" t="s">
        <v>337</v>
      </c>
      <c r="B141" s="35" t="s">
        <v>299</v>
      </c>
      <c r="C141" s="254">
        <v>0</v>
      </c>
      <c r="D141" s="16"/>
      <c r="E141" s="16"/>
    </row>
    <row r="142" spans="1:5" x14ac:dyDescent="0.35">
      <c r="A142" s="16" t="s">
        <v>348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349</v>
      </c>
      <c r="B143" s="16"/>
      <c r="C143" s="22"/>
      <c r="D143" s="16"/>
      <c r="E143" s="25">
        <v>55</v>
      </c>
    </row>
    <row r="144" spans="1:5" x14ac:dyDescent="0.35">
      <c r="A144" s="16" t="s">
        <v>350</v>
      </c>
      <c r="B144" s="35" t="s">
        <v>299</v>
      </c>
      <c r="C144" s="256">
        <v>72</v>
      </c>
      <c r="D144" s="16"/>
      <c r="E144" s="16"/>
    </row>
    <row r="145" spans="1:6" x14ac:dyDescent="0.35">
      <c r="A145" s="16" t="s">
        <v>351</v>
      </c>
      <c r="B145" s="35" t="s">
        <v>299</v>
      </c>
      <c r="C145" s="254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352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353</v>
      </c>
      <c r="B152" s="37"/>
      <c r="C152" s="37"/>
      <c r="D152" s="37"/>
      <c r="E152" s="37"/>
    </row>
    <row r="153" spans="1:6" x14ac:dyDescent="0.35">
      <c r="A153" s="38" t="s">
        <v>354</v>
      </c>
      <c r="B153" s="39" t="s">
        <v>355</v>
      </c>
      <c r="C153" s="40" t="s">
        <v>356</v>
      </c>
      <c r="D153" s="39" t="s">
        <v>159</v>
      </c>
      <c r="E153" s="39" t="s">
        <v>230</v>
      </c>
    </row>
    <row r="154" spans="1:6" x14ac:dyDescent="0.35">
      <c r="A154" s="16" t="s">
        <v>334</v>
      </c>
      <c r="B154" s="257">
        <v>405</v>
      </c>
      <c r="C154" s="257">
        <v>1829</v>
      </c>
      <c r="D154" s="257">
        <v>623</v>
      </c>
      <c r="E154" s="25">
        <v>2857</v>
      </c>
    </row>
    <row r="155" spans="1:6" x14ac:dyDescent="0.35">
      <c r="A155" s="16" t="s">
        <v>242</v>
      </c>
      <c r="B155" s="257">
        <v>4193</v>
      </c>
      <c r="C155" s="257">
        <v>10333</v>
      </c>
      <c r="D155" s="257">
        <v>3740</v>
      </c>
      <c r="E155" s="25">
        <v>18266</v>
      </c>
    </row>
    <row r="156" spans="1:6" x14ac:dyDescent="0.35">
      <c r="A156" s="16" t="s">
        <v>357</v>
      </c>
      <c r="B156" s="257">
        <v>992</v>
      </c>
      <c r="C156" s="257">
        <v>1136</v>
      </c>
      <c r="D156" s="257">
        <v>3078</v>
      </c>
      <c r="E156" s="25">
        <v>5206</v>
      </c>
    </row>
    <row r="157" spans="1:6" x14ac:dyDescent="0.35">
      <c r="A157" s="16" t="s">
        <v>287</v>
      </c>
      <c r="B157" s="257">
        <v>4408594</v>
      </c>
      <c r="C157" s="257">
        <v>9655056</v>
      </c>
      <c r="D157" s="257">
        <v>4702994</v>
      </c>
      <c r="E157" s="25">
        <v>18766644</v>
      </c>
      <c r="F157" s="14"/>
    </row>
    <row r="158" spans="1:6" x14ac:dyDescent="0.35">
      <c r="A158" s="16" t="s">
        <v>288</v>
      </c>
      <c r="B158" s="257">
        <v>1312141</v>
      </c>
      <c r="C158" s="257">
        <v>277631</v>
      </c>
      <c r="D158" s="257">
        <v>291633</v>
      </c>
      <c r="E158" s="25">
        <v>1881405</v>
      </c>
      <c r="F158" s="14"/>
    </row>
    <row r="159" spans="1:6" x14ac:dyDescent="0.35">
      <c r="A159" s="38" t="s">
        <v>358</v>
      </c>
      <c r="B159" s="39" t="s">
        <v>355</v>
      </c>
      <c r="C159" s="40" t="s">
        <v>356</v>
      </c>
      <c r="D159" s="39" t="s">
        <v>159</v>
      </c>
      <c r="E159" s="39" t="s">
        <v>230</v>
      </c>
    </row>
    <row r="160" spans="1:6" x14ac:dyDescent="0.35">
      <c r="A160" s="16" t="s">
        <v>334</v>
      </c>
      <c r="B160" s="234">
        <v>0</v>
      </c>
      <c r="C160" s="234">
        <v>0</v>
      </c>
      <c r="D160" s="234">
        <v>0</v>
      </c>
      <c r="E160" s="25">
        <v>0</v>
      </c>
    </row>
    <row r="161" spans="1:5" x14ac:dyDescent="0.35">
      <c r="A161" s="16" t="s">
        <v>242</v>
      </c>
      <c r="B161" s="234">
        <v>0</v>
      </c>
      <c r="C161" s="234">
        <v>0</v>
      </c>
      <c r="D161" s="234">
        <v>0</v>
      </c>
      <c r="E161" s="25">
        <v>0</v>
      </c>
    </row>
    <row r="162" spans="1:5" x14ac:dyDescent="0.35">
      <c r="A162" s="16" t="s">
        <v>357</v>
      </c>
      <c r="B162" s="257">
        <v>0</v>
      </c>
      <c r="C162" s="257">
        <v>0</v>
      </c>
      <c r="D162" s="257">
        <v>0</v>
      </c>
      <c r="E162" s="25">
        <v>0</v>
      </c>
    </row>
    <row r="163" spans="1:5" x14ac:dyDescent="0.35">
      <c r="A163" s="16" t="s">
        <v>287</v>
      </c>
      <c r="B163" s="234">
        <v>0</v>
      </c>
      <c r="C163" s="234">
        <v>0</v>
      </c>
      <c r="D163" s="234">
        <v>0</v>
      </c>
      <c r="E163" s="25">
        <v>0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v>0</v>
      </c>
    </row>
    <row r="165" spans="1:5" x14ac:dyDescent="0.35">
      <c r="A165" s="38" t="s">
        <v>359</v>
      </c>
      <c r="B165" s="39" t="s">
        <v>355</v>
      </c>
      <c r="C165" s="40" t="s">
        <v>356</v>
      </c>
      <c r="D165" s="39" t="s">
        <v>159</v>
      </c>
      <c r="E165" s="39" t="s">
        <v>230</v>
      </c>
    </row>
    <row r="166" spans="1:5" x14ac:dyDescent="0.35">
      <c r="A166" s="16" t="s">
        <v>334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35">
      <c r="A168" s="16" t="s">
        <v>357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360</v>
      </c>
      <c r="B172" s="39" t="s">
        <v>361</v>
      </c>
      <c r="C172" s="40" t="s">
        <v>362</v>
      </c>
      <c r="D172" s="16"/>
      <c r="E172" s="16"/>
    </row>
    <row r="173" spans="1:5" x14ac:dyDescent="0.35">
      <c r="A173" s="20" t="s">
        <v>363</v>
      </c>
      <c r="B173" s="234">
        <v>0</v>
      </c>
      <c r="C173" s="234">
        <v>0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364</v>
      </c>
      <c r="B179" s="30"/>
      <c r="C179" s="30"/>
      <c r="D179" s="30"/>
      <c r="E179" s="30"/>
    </row>
    <row r="180" spans="1:5" x14ac:dyDescent="0.35">
      <c r="A180" s="34" t="s">
        <v>365</v>
      </c>
      <c r="B180" s="34"/>
      <c r="C180" s="34"/>
      <c r="D180" s="34"/>
      <c r="E180" s="34"/>
    </row>
    <row r="181" spans="1:5" x14ac:dyDescent="0.35">
      <c r="A181" s="16" t="s">
        <v>366</v>
      </c>
      <c r="B181" s="35" t="s">
        <v>299</v>
      </c>
      <c r="C181" s="254">
        <v>631446</v>
      </c>
      <c r="D181" s="16"/>
      <c r="E181" s="16"/>
    </row>
    <row r="182" spans="1:5" x14ac:dyDescent="0.35">
      <c r="A182" s="16" t="s">
        <v>367</v>
      </c>
      <c r="B182" s="35" t="s">
        <v>299</v>
      </c>
      <c r="C182" s="254">
        <v>86157</v>
      </c>
      <c r="D182" s="16"/>
      <c r="E182" s="16"/>
    </row>
    <row r="183" spans="1:5" x14ac:dyDescent="0.35">
      <c r="A183" s="20" t="s">
        <v>368</v>
      </c>
      <c r="B183" s="35" t="s">
        <v>299</v>
      </c>
      <c r="C183" s="254">
        <v>231330</v>
      </c>
      <c r="D183" s="16"/>
      <c r="E183" s="16"/>
    </row>
    <row r="184" spans="1:5" x14ac:dyDescent="0.35">
      <c r="A184" s="16" t="s">
        <v>369</v>
      </c>
      <c r="B184" s="35" t="s">
        <v>299</v>
      </c>
      <c r="C184" s="254">
        <v>651405</v>
      </c>
      <c r="D184" s="16"/>
      <c r="E184" s="16"/>
    </row>
    <row r="185" spans="1:5" x14ac:dyDescent="0.35">
      <c r="A185" s="16" t="s">
        <v>370</v>
      </c>
      <c r="B185" s="35" t="s">
        <v>299</v>
      </c>
      <c r="C185" s="254">
        <v>18482</v>
      </c>
      <c r="D185" s="16"/>
      <c r="E185" s="16"/>
    </row>
    <row r="186" spans="1:5" x14ac:dyDescent="0.35">
      <c r="A186" s="16" t="s">
        <v>371</v>
      </c>
      <c r="B186" s="35" t="s">
        <v>299</v>
      </c>
      <c r="C186" s="254">
        <v>63403</v>
      </c>
      <c r="D186" s="16"/>
      <c r="E186" s="16"/>
    </row>
    <row r="187" spans="1:5" x14ac:dyDescent="0.35">
      <c r="A187" s="16" t="s">
        <v>372</v>
      </c>
      <c r="B187" s="35" t="s">
        <v>299</v>
      </c>
      <c r="C187" s="254">
        <v>29620</v>
      </c>
      <c r="D187" s="16"/>
      <c r="E187" s="16"/>
    </row>
    <row r="188" spans="1:5" x14ac:dyDescent="0.35">
      <c r="A188" s="16" t="s">
        <v>372</v>
      </c>
      <c r="B188" s="35" t="s">
        <v>299</v>
      </c>
      <c r="C188" s="254">
        <v>0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v>1711843</v>
      </c>
      <c r="E189" s="16"/>
    </row>
    <row r="190" spans="1:5" x14ac:dyDescent="0.35">
      <c r="A190" s="34" t="s">
        <v>373</v>
      </c>
      <c r="B190" s="34"/>
      <c r="C190" s="34"/>
      <c r="D190" s="34"/>
      <c r="E190" s="34"/>
    </row>
    <row r="191" spans="1:5" x14ac:dyDescent="0.35">
      <c r="A191" s="16" t="s">
        <v>374</v>
      </c>
      <c r="B191" s="35" t="s">
        <v>299</v>
      </c>
      <c r="C191" s="254">
        <v>1469417</v>
      </c>
      <c r="D191" s="16"/>
      <c r="E191" s="16"/>
    </row>
    <row r="192" spans="1:5" x14ac:dyDescent="0.35">
      <c r="A192" s="16" t="s">
        <v>375</v>
      </c>
      <c r="B192" s="35" t="s">
        <v>299</v>
      </c>
      <c r="C192" s="254">
        <v>43240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v>1512657</v>
      </c>
      <c r="E193" s="16"/>
    </row>
    <row r="194" spans="1:5" x14ac:dyDescent="0.35">
      <c r="A194" s="34" t="s">
        <v>376</v>
      </c>
      <c r="B194" s="34"/>
      <c r="C194" s="34"/>
      <c r="D194" s="34"/>
      <c r="E194" s="34"/>
    </row>
    <row r="195" spans="1:5" x14ac:dyDescent="0.35">
      <c r="A195" s="16" t="s">
        <v>377</v>
      </c>
      <c r="B195" s="35" t="s">
        <v>299</v>
      </c>
      <c r="C195" s="254">
        <v>98721</v>
      </c>
      <c r="D195" s="16"/>
      <c r="E195" s="16"/>
    </row>
    <row r="196" spans="1:5" x14ac:dyDescent="0.35">
      <c r="A196" s="16" t="s">
        <v>378</v>
      </c>
      <c r="B196" s="35" t="s">
        <v>299</v>
      </c>
      <c r="C196" s="254">
        <v>82176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v>180897</v>
      </c>
      <c r="E197" s="16"/>
    </row>
    <row r="198" spans="1:5" x14ac:dyDescent="0.35">
      <c r="A198" s="34" t="s">
        <v>379</v>
      </c>
      <c r="B198" s="34"/>
      <c r="C198" s="34"/>
      <c r="D198" s="34"/>
      <c r="E198" s="34"/>
    </row>
    <row r="199" spans="1:5" x14ac:dyDescent="0.35">
      <c r="A199" s="16" t="s">
        <v>380</v>
      </c>
      <c r="B199" s="35" t="s">
        <v>299</v>
      </c>
      <c r="C199" s="254">
        <v>507971</v>
      </c>
      <c r="D199" s="16"/>
      <c r="E199" s="16"/>
    </row>
    <row r="200" spans="1:5" x14ac:dyDescent="0.35">
      <c r="A200" s="16" t="s">
        <v>381</v>
      </c>
      <c r="B200" s="35" t="s">
        <v>299</v>
      </c>
      <c r="C200" s="254">
        <v>310545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132632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v>951148</v>
      </c>
      <c r="E202" s="16"/>
    </row>
    <row r="203" spans="1:5" x14ac:dyDescent="0.35">
      <c r="A203" s="34" t="s">
        <v>382</v>
      </c>
      <c r="B203" s="34"/>
      <c r="C203" s="34"/>
      <c r="D203" s="34"/>
      <c r="E203" s="34"/>
    </row>
    <row r="204" spans="1:5" x14ac:dyDescent="0.35">
      <c r="A204" s="16" t="s">
        <v>383</v>
      </c>
      <c r="B204" s="35" t="s">
        <v>299</v>
      </c>
      <c r="C204" s="254">
        <v>0</v>
      </c>
      <c r="D204" s="16"/>
      <c r="E204" s="16"/>
    </row>
    <row r="205" spans="1:5" x14ac:dyDescent="0.35">
      <c r="A205" s="16" t="s">
        <v>384</v>
      </c>
      <c r="B205" s="35" t="s">
        <v>299</v>
      </c>
      <c r="C205" s="254">
        <v>0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v>0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385</v>
      </c>
      <c r="B208" s="30"/>
      <c r="C208" s="30"/>
      <c r="D208" s="30"/>
      <c r="E208" s="30"/>
    </row>
    <row r="209" spans="1:5" x14ac:dyDescent="0.35">
      <c r="A209" s="37" t="s">
        <v>386</v>
      </c>
      <c r="B209" s="30"/>
      <c r="C209" s="30"/>
      <c r="D209" s="30"/>
      <c r="E209" s="30"/>
    </row>
    <row r="210" spans="1:5" x14ac:dyDescent="0.35">
      <c r="A210" s="21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254">
        <v>3515260.01</v>
      </c>
      <c r="C211" s="254">
        <v>0</v>
      </c>
      <c r="D211" s="257">
        <v>0</v>
      </c>
      <c r="E211" s="25">
        <v>3515260.01</v>
      </c>
    </row>
    <row r="212" spans="1:5" x14ac:dyDescent="0.35">
      <c r="A212" s="16" t="s">
        <v>392</v>
      </c>
      <c r="B212" s="254">
        <v>0</v>
      </c>
      <c r="C212" s="254">
        <v>0</v>
      </c>
      <c r="D212" s="257">
        <v>0</v>
      </c>
      <c r="E212" s="25">
        <v>0</v>
      </c>
    </row>
    <row r="213" spans="1:5" x14ac:dyDescent="0.35">
      <c r="A213" s="16" t="s">
        <v>393</v>
      </c>
      <c r="B213" s="254">
        <v>19384740</v>
      </c>
      <c r="C213" s="254">
        <v>238207</v>
      </c>
      <c r="D213" s="257">
        <v>0</v>
      </c>
      <c r="E213" s="25">
        <v>19622947</v>
      </c>
    </row>
    <row r="214" spans="1:5" x14ac:dyDescent="0.35">
      <c r="A214" s="16" t="s">
        <v>394</v>
      </c>
      <c r="B214" s="254">
        <v>0</v>
      </c>
      <c r="C214" s="254">
        <v>0</v>
      </c>
      <c r="D214" s="257">
        <v>0</v>
      </c>
      <c r="E214" s="25">
        <v>0</v>
      </c>
    </row>
    <row r="215" spans="1:5" x14ac:dyDescent="0.35">
      <c r="A215" s="16" t="s">
        <v>395</v>
      </c>
      <c r="B215" s="254">
        <v>0</v>
      </c>
      <c r="C215" s="254">
        <v>0</v>
      </c>
      <c r="D215" s="257">
        <v>0</v>
      </c>
      <c r="E215" s="25">
        <v>0</v>
      </c>
    </row>
    <row r="216" spans="1:5" x14ac:dyDescent="0.35">
      <c r="A216" s="16" t="s">
        <v>396</v>
      </c>
      <c r="B216" s="254">
        <v>1073710</v>
      </c>
      <c r="C216" s="254">
        <v>101260.4</v>
      </c>
      <c r="D216" s="257">
        <v>67582.039999999994</v>
      </c>
      <c r="E216" s="25">
        <v>1107388.3599999999</v>
      </c>
    </row>
    <row r="217" spans="1:5" x14ac:dyDescent="0.35">
      <c r="A217" s="16" t="s">
        <v>397</v>
      </c>
      <c r="B217" s="254">
        <v>74730</v>
      </c>
      <c r="C217" s="254">
        <v>82484.3</v>
      </c>
      <c r="D217" s="257">
        <v>0</v>
      </c>
      <c r="E217" s="25">
        <v>157214.29999999999</v>
      </c>
    </row>
    <row r="218" spans="1:5" x14ac:dyDescent="0.35">
      <c r="A218" s="16" t="s">
        <v>398</v>
      </c>
      <c r="B218" s="254">
        <v>0</v>
      </c>
      <c r="C218" s="254">
        <v>0</v>
      </c>
      <c r="D218" s="257">
        <v>0</v>
      </c>
      <c r="E218" s="25">
        <v>0</v>
      </c>
    </row>
    <row r="219" spans="1:5" x14ac:dyDescent="0.35">
      <c r="A219" s="16" t="s">
        <v>399</v>
      </c>
      <c r="B219" s="254">
        <v>0</v>
      </c>
      <c r="C219" s="254">
        <v>8516318</v>
      </c>
      <c r="D219" s="257">
        <v>2783220</v>
      </c>
      <c r="E219" s="25">
        <v>5733098</v>
      </c>
    </row>
    <row r="220" spans="1:5" x14ac:dyDescent="0.35">
      <c r="A220" s="16" t="s">
        <v>230</v>
      </c>
      <c r="B220" s="25">
        <v>24048440.009999998</v>
      </c>
      <c r="C220" s="225">
        <v>8938269.6999999993</v>
      </c>
      <c r="D220" s="25">
        <v>2850802.04</v>
      </c>
      <c r="E220" s="25">
        <v>30135907.669999998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400</v>
      </c>
      <c r="B222" s="37"/>
      <c r="C222" s="37"/>
      <c r="D222" s="37"/>
      <c r="E222" s="37"/>
    </row>
    <row r="223" spans="1:5" x14ac:dyDescent="0.35">
      <c r="A223" s="21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42"/>
      <c r="C224" s="41"/>
      <c r="D224" s="42"/>
      <c r="E224" s="16"/>
    </row>
    <row r="225" spans="1:6" x14ac:dyDescent="0.35">
      <c r="A225" s="16" t="s">
        <v>392</v>
      </c>
      <c r="B225" s="254">
        <v>0</v>
      </c>
      <c r="C225" s="254">
        <v>0</v>
      </c>
      <c r="D225" s="257">
        <v>0</v>
      </c>
      <c r="E225" s="25">
        <v>0</v>
      </c>
    </row>
    <row r="226" spans="1:6" x14ac:dyDescent="0.35">
      <c r="A226" s="16" t="s">
        <v>393</v>
      </c>
      <c r="B226" s="254">
        <v>245628</v>
      </c>
      <c r="C226" s="254">
        <v>1211546.5</v>
      </c>
      <c r="D226" s="257">
        <v>0</v>
      </c>
      <c r="E226" s="25">
        <v>1457174.5</v>
      </c>
    </row>
    <row r="227" spans="1:6" x14ac:dyDescent="0.35">
      <c r="A227" s="16" t="s">
        <v>394</v>
      </c>
      <c r="B227" s="254">
        <v>0</v>
      </c>
      <c r="C227" s="254">
        <v>0</v>
      </c>
      <c r="D227" s="257">
        <v>0</v>
      </c>
      <c r="E227" s="25">
        <v>0</v>
      </c>
    </row>
    <row r="228" spans="1:6" x14ac:dyDescent="0.35">
      <c r="A228" s="16" t="s">
        <v>395</v>
      </c>
      <c r="B228" s="254">
        <v>46884.18</v>
      </c>
      <c r="C228" s="254">
        <v>234739.77</v>
      </c>
      <c r="D228" s="257">
        <v>0</v>
      </c>
      <c r="E228" s="25">
        <v>281623.95</v>
      </c>
    </row>
    <row r="229" spans="1:6" x14ac:dyDescent="0.35">
      <c r="A229" s="16" t="s">
        <v>396</v>
      </c>
      <c r="B229" s="254">
        <v>0</v>
      </c>
      <c r="C229" s="254">
        <v>0</v>
      </c>
      <c r="D229" s="257">
        <v>0</v>
      </c>
      <c r="E229" s="25">
        <v>0</v>
      </c>
    </row>
    <row r="230" spans="1:6" x14ac:dyDescent="0.35">
      <c r="A230" s="16" t="s">
        <v>397</v>
      </c>
      <c r="B230" s="254">
        <v>10187.67</v>
      </c>
      <c r="C230" s="254">
        <v>60225.340000000004</v>
      </c>
      <c r="D230" s="257">
        <v>0</v>
      </c>
      <c r="E230" s="25">
        <v>70413.010000000009</v>
      </c>
    </row>
    <row r="231" spans="1:6" x14ac:dyDescent="0.35">
      <c r="A231" s="16" t="s">
        <v>398</v>
      </c>
      <c r="B231" s="254">
        <v>0</v>
      </c>
      <c r="C231" s="254">
        <v>0</v>
      </c>
      <c r="D231" s="257">
        <v>0</v>
      </c>
      <c r="E231" s="25">
        <v>0</v>
      </c>
    </row>
    <row r="232" spans="1:6" x14ac:dyDescent="0.35">
      <c r="A232" s="16" t="s">
        <v>399</v>
      </c>
      <c r="B232" s="254">
        <v>0</v>
      </c>
      <c r="C232" s="254">
        <v>0</v>
      </c>
      <c r="D232" s="257">
        <v>0</v>
      </c>
      <c r="E232" s="25">
        <v>0</v>
      </c>
    </row>
    <row r="233" spans="1:6" x14ac:dyDescent="0.35">
      <c r="A233" s="16" t="s">
        <v>230</v>
      </c>
      <c r="B233" s="25">
        <v>302699.84999999998</v>
      </c>
      <c r="C233" s="225">
        <v>1506511.61</v>
      </c>
      <c r="D233" s="25">
        <v>0</v>
      </c>
      <c r="E233" s="25">
        <v>1809211.46</v>
      </c>
    </row>
    <row r="234" spans="1:6" x14ac:dyDescent="0.35">
      <c r="A234" s="16"/>
      <c r="B234" s="16"/>
      <c r="C234" s="22"/>
      <c r="D234" s="16"/>
      <c r="E234" s="16"/>
      <c r="F234" s="11">
        <v>28326696.209999997</v>
      </c>
    </row>
    <row r="235" spans="1:6" x14ac:dyDescent="0.35">
      <c r="A235" s="30" t="s">
        <v>401</v>
      </c>
      <c r="B235" s="30"/>
      <c r="C235" s="30"/>
      <c r="D235" s="30"/>
      <c r="E235" s="30"/>
    </row>
    <row r="236" spans="1:6" x14ac:dyDescent="0.35">
      <c r="A236" s="30"/>
      <c r="B236" s="315" t="s">
        <v>402</v>
      </c>
      <c r="C236" s="315"/>
      <c r="D236" s="30"/>
      <c r="E236" s="30"/>
    </row>
    <row r="237" spans="1:6" x14ac:dyDescent="0.35">
      <c r="A237" s="43" t="s">
        <v>402</v>
      </c>
      <c r="B237" s="30"/>
      <c r="C237" s="254">
        <v>281221.71999999997</v>
      </c>
      <c r="D237" s="32">
        <v>281221.71999999997</v>
      </c>
      <c r="E237" s="30"/>
    </row>
    <row r="238" spans="1:6" x14ac:dyDescent="0.35">
      <c r="A238" s="34" t="s">
        <v>403</v>
      </c>
      <c r="B238" s="34"/>
      <c r="C238" s="34"/>
      <c r="D238" s="34"/>
      <c r="E238" s="34"/>
    </row>
    <row r="239" spans="1:6" x14ac:dyDescent="0.35">
      <c r="A239" s="16" t="s">
        <v>404</v>
      </c>
      <c r="B239" s="35" t="s">
        <v>299</v>
      </c>
      <c r="C239" s="254">
        <v>8440952.7599999998</v>
      </c>
      <c r="D239" s="16"/>
      <c r="E239" s="16"/>
    </row>
    <row r="240" spans="1:6" x14ac:dyDescent="0.35">
      <c r="A240" s="16" t="s">
        <v>405</v>
      </c>
      <c r="B240" s="35" t="s">
        <v>299</v>
      </c>
      <c r="C240" s="254">
        <v>17101181.989999998</v>
      </c>
      <c r="D240" s="16"/>
      <c r="E240" s="16"/>
    </row>
    <row r="241" spans="1:5" x14ac:dyDescent="0.35">
      <c r="A241" s="16" t="s">
        <v>406</v>
      </c>
      <c r="B241" s="35" t="s">
        <v>299</v>
      </c>
      <c r="C241" s="254">
        <v>0</v>
      </c>
      <c r="D241" s="16"/>
      <c r="E241" s="16"/>
    </row>
    <row r="242" spans="1:5" x14ac:dyDescent="0.35">
      <c r="A242" s="16" t="s">
        <v>407</v>
      </c>
      <c r="B242" s="35" t="s">
        <v>299</v>
      </c>
      <c r="C242" s="254">
        <v>133276</v>
      </c>
      <c r="D242" s="16"/>
      <c r="E242" s="16"/>
    </row>
    <row r="243" spans="1:5" x14ac:dyDescent="0.35">
      <c r="A243" s="16" t="s">
        <v>408</v>
      </c>
      <c r="B243" s="35" t="s">
        <v>299</v>
      </c>
      <c r="C243" s="254">
        <v>5842623.2999999998</v>
      </c>
      <c r="D243" s="16"/>
      <c r="E243" s="16"/>
    </row>
    <row r="244" spans="1:5" x14ac:dyDescent="0.35">
      <c r="A244" s="16" t="s">
        <v>409</v>
      </c>
      <c r="B244" s="35" t="s">
        <v>299</v>
      </c>
      <c r="C244" s="254">
        <v>3199284</v>
      </c>
      <c r="D244" s="16"/>
      <c r="E244" s="16"/>
    </row>
    <row r="245" spans="1:5" x14ac:dyDescent="0.35">
      <c r="A245" s="16" t="s">
        <v>410</v>
      </c>
      <c r="B245" s="16"/>
      <c r="C245" s="22"/>
      <c r="D245" s="25">
        <v>34717318.049999997</v>
      </c>
      <c r="E245" s="16"/>
    </row>
    <row r="246" spans="1:5" x14ac:dyDescent="0.35">
      <c r="A246" s="34" t="s">
        <v>411</v>
      </c>
      <c r="B246" s="34"/>
      <c r="C246" s="34"/>
      <c r="D246" s="34"/>
      <c r="E246" s="34"/>
    </row>
    <row r="247" spans="1:5" x14ac:dyDescent="0.35">
      <c r="A247" s="21" t="s">
        <v>412</v>
      </c>
      <c r="B247" s="35" t="s">
        <v>299</v>
      </c>
      <c r="C247" s="256">
        <v>64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413</v>
      </c>
      <c r="B249" s="35" t="s">
        <v>299</v>
      </c>
      <c r="C249" s="254">
        <v>490707</v>
      </c>
      <c r="D249" s="16"/>
      <c r="E249" s="16"/>
    </row>
    <row r="250" spans="1:5" x14ac:dyDescent="0.35">
      <c r="A250" s="21" t="s">
        <v>414</v>
      </c>
      <c r="B250" s="35" t="s">
        <v>299</v>
      </c>
      <c r="C250" s="254">
        <v>24429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415</v>
      </c>
      <c r="B252" s="16"/>
      <c r="C252" s="22"/>
      <c r="D252" s="25">
        <v>515136</v>
      </c>
      <c r="E252" s="16"/>
    </row>
    <row r="253" spans="1:5" x14ac:dyDescent="0.35">
      <c r="A253" s="34" t="s">
        <v>416</v>
      </c>
      <c r="B253" s="34"/>
      <c r="C253" s="34"/>
      <c r="D253" s="34"/>
      <c r="E253" s="34"/>
    </row>
    <row r="254" spans="1:5" x14ac:dyDescent="0.35">
      <c r="A254" s="16" t="s">
        <v>417</v>
      </c>
      <c r="B254" s="35" t="s">
        <v>299</v>
      </c>
      <c r="C254" s="254">
        <v>23686.33</v>
      </c>
      <c r="D254" s="16"/>
      <c r="E254" s="16"/>
    </row>
    <row r="255" spans="1:5" x14ac:dyDescent="0.35">
      <c r="A255" s="16" t="s">
        <v>416</v>
      </c>
      <c r="B255" s="35" t="s">
        <v>299</v>
      </c>
      <c r="C255" s="254">
        <v>112825</v>
      </c>
      <c r="D255" s="16"/>
      <c r="E255" s="16"/>
    </row>
    <row r="256" spans="1:5" x14ac:dyDescent="0.35">
      <c r="A256" s="16" t="s">
        <v>418</v>
      </c>
      <c r="B256" s="16"/>
      <c r="C256" s="22"/>
      <c r="D256" s="25">
        <v>136511.33000000002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419</v>
      </c>
      <c r="B258" s="16"/>
      <c r="C258" s="22"/>
      <c r="D258" s="25">
        <v>35650187.099999994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420</v>
      </c>
      <c r="B264" s="30"/>
      <c r="C264" s="30"/>
      <c r="D264" s="30"/>
      <c r="E264" s="30"/>
    </row>
    <row r="265" spans="1:5" x14ac:dyDescent="0.35">
      <c r="A265" s="34" t="s">
        <v>421</v>
      </c>
      <c r="B265" s="34"/>
      <c r="C265" s="34"/>
      <c r="D265" s="34"/>
      <c r="E265" s="34"/>
    </row>
    <row r="266" spans="1:5" x14ac:dyDescent="0.35">
      <c r="A266" s="16" t="s">
        <v>422</v>
      </c>
      <c r="B266" s="35" t="s">
        <v>299</v>
      </c>
      <c r="C266" s="254">
        <v>0</v>
      </c>
      <c r="D266" s="16"/>
      <c r="E266" s="16"/>
    </row>
    <row r="267" spans="1:5" x14ac:dyDescent="0.35">
      <c r="A267" s="16" t="s">
        <v>423</v>
      </c>
      <c r="B267" s="35" t="s">
        <v>299</v>
      </c>
      <c r="C267" s="254">
        <v>0</v>
      </c>
      <c r="D267" s="16"/>
      <c r="E267" s="16"/>
    </row>
    <row r="268" spans="1:5" x14ac:dyDescent="0.35">
      <c r="A268" s="16" t="s">
        <v>424</v>
      </c>
      <c r="B268" s="35" t="s">
        <v>299</v>
      </c>
      <c r="C268" s="254">
        <v>6133560</v>
      </c>
      <c r="D268" s="16"/>
      <c r="E268" s="16"/>
    </row>
    <row r="269" spans="1:5" x14ac:dyDescent="0.35">
      <c r="A269" s="16" t="s">
        <v>425</v>
      </c>
      <c r="B269" s="35" t="s">
        <v>299</v>
      </c>
      <c r="C269" s="254">
        <v>1938753.56</v>
      </c>
      <c r="D269" s="16"/>
      <c r="E269" s="16"/>
    </row>
    <row r="270" spans="1:5" x14ac:dyDescent="0.35">
      <c r="A270" s="16" t="s">
        <v>426</v>
      </c>
      <c r="B270" s="35" t="s">
        <v>299</v>
      </c>
      <c r="C270" s="254">
        <v>0</v>
      </c>
      <c r="D270" s="16"/>
      <c r="E270" s="16"/>
    </row>
    <row r="271" spans="1:5" x14ac:dyDescent="0.35">
      <c r="A271" s="16" t="s">
        <v>427</v>
      </c>
      <c r="B271" s="35" t="s">
        <v>299</v>
      </c>
      <c r="C271" s="254">
        <v>0</v>
      </c>
      <c r="D271" s="16"/>
      <c r="E271" s="16"/>
    </row>
    <row r="272" spans="1:5" x14ac:dyDescent="0.35">
      <c r="A272" s="16" t="s">
        <v>428</v>
      </c>
      <c r="B272" s="35" t="s">
        <v>299</v>
      </c>
      <c r="C272" s="254">
        <v>0</v>
      </c>
      <c r="D272" s="16"/>
      <c r="E272" s="16"/>
    </row>
    <row r="273" spans="1:5" x14ac:dyDescent="0.35">
      <c r="A273" s="16" t="s">
        <v>429</v>
      </c>
      <c r="B273" s="35" t="s">
        <v>299</v>
      </c>
      <c r="C273" s="254">
        <v>0</v>
      </c>
      <c r="D273" s="16"/>
      <c r="E273" s="16"/>
    </row>
    <row r="274" spans="1:5" x14ac:dyDescent="0.35">
      <c r="A274" s="16" t="s">
        <v>430</v>
      </c>
      <c r="B274" s="35" t="s">
        <v>299</v>
      </c>
      <c r="C274" s="254">
        <v>60001</v>
      </c>
      <c r="D274" s="16"/>
      <c r="E274" s="16"/>
    </row>
    <row r="275" spans="1:5" x14ac:dyDescent="0.35">
      <c r="A275" s="16" t="s">
        <v>431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432</v>
      </c>
      <c r="B276" s="16"/>
      <c r="C276" s="22"/>
      <c r="D276" s="25">
        <v>4254807.4399999995</v>
      </c>
      <c r="E276" s="16"/>
    </row>
    <row r="277" spans="1:5" x14ac:dyDescent="0.35">
      <c r="A277" s="34" t="s">
        <v>433</v>
      </c>
      <c r="B277" s="34"/>
      <c r="C277" s="34"/>
      <c r="D277" s="34"/>
      <c r="E277" s="34"/>
    </row>
    <row r="278" spans="1:5" x14ac:dyDescent="0.35">
      <c r="A278" s="16" t="s">
        <v>422</v>
      </c>
      <c r="B278" s="35" t="s">
        <v>299</v>
      </c>
      <c r="C278" s="254">
        <v>0</v>
      </c>
      <c r="D278" s="16"/>
      <c r="E278" s="16"/>
    </row>
    <row r="279" spans="1:5" x14ac:dyDescent="0.35">
      <c r="A279" s="16" t="s">
        <v>423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434</v>
      </c>
      <c r="B280" s="35" t="s">
        <v>299</v>
      </c>
      <c r="C280" s="254">
        <v>0</v>
      </c>
      <c r="D280" s="16"/>
      <c r="E280" s="16"/>
    </row>
    <row r="281" spans="1:5" x14ac:dyDescent="0.35">
      <c r="A281" s="16" t="s">
        <v>435</v>
      </c>
      <c r="B281" s="16"/>
      <c r="C281" s="22"/>
      <c r="D281" s="25">
        <v>0</v>
      </c>
      <c r="E281" s="16"/>
    </row>
    <row r="282" spans="1:5" x14ac:dyDescent="0.35">
      <c r="A282" s="34" t="s">
        <v>436</v>
      </c>
      <c r="B282" s="34"/>
      <c r="C282" s="34"/>
      <c r="D282" s="34"/>
      <c r="E282" s="34"/>
    </row>
    <row r="283" spans="1:5" x14ac:dyDescent="0.35">
      <c r="A283" s="16" t="s">
        <v>391</v>
      </c>
      <c r="B283" s="35" t="s">
        <v>299</v>
      </c>
      <c r="C283" s="254">
        <v>3515260</v>
      </c>
      <c r="D283" s="16"/>
      <c r="E283" s="16"/>
    </row>
    <row r="284" spans="1:5" x14ac:dyDescent="0.35">
      <c r="A284" s="16" t="s">
        <v>392</v>
      </c>
      <c r="B284" s="35" t="s">
        <v>299</v>
      </c>
      <c r="C284" s="254">
        <v>0</v>
      </c>
      <c r="D284" s="16"/>
      <c r="E284" s="16"/>
    </row>
    <row r="285" spans="1:5" x14ac:dyDescent="0.35">
      <c r="A285" s="16" t="s">
        <v>393</v>
      </c>
      <c r="B285" s="35" t="s">
        <v>299</v>
      </c>
      <c r="C285" s="254">
        <v>19384740</v>
      </c>
      <c r="D285" s="16"/>
      <c r="E285" s="16"/>
    </row>
    <row r="286" spans="1:5" x14ac:dyDescent="0.35">
      <c r="A286" s="16" t="s">
        <v>437</v>
      </c>
      <c r="B286" s="35" t="s">
        <v>299</v>
      </c>
      <c r="C286" s="254">
        <v>1107388</v>
      </c>
      <c r="D286" s="16"/>
      <c r="E286" s="16"/>
    </row>
    <row r="287" spans="1:5" x14ac:dyDescent="0.35">
      <c r="A287" s="16" t="s">
        <v>438</v>
      </c>
      <c r="B287" s="35" t="s">
        <v>299</v>
      </c>
      <c r="C287" s="254">
        <v>0</v>
      </c>
      <c r="D287" s="16"/>
      <c r="E287" s="16"/>
    </row>
    <row r="288" spans="1:5" x14ac:dyDescent="0.35">
      <c r="A288" s="16" t="s">
        <v>439</v>
      </c>
      <c r="B288" s="35" t="s">
        <v>299</v>
      </c>
      <c r="C288" s="254">
        <v>157214.29999999999</v>
      </c>
      <c r="D288" s="16"/>
      <c r="E288" s="16"/>
    </row>
    <row r="289" spans="1:5" x14ac:dyDescent="0.35">
      <c r="A289" s="16" t="s">
        <v>398</v>
      </c>
      <c r="B289" s="35" t="s">
        <v>299</v>
      </c>
      <c r="C289" s="254">
        <v>0</v>
      </c>
      <c r="D289" s="16"/>
      <c r="E289" s="16"/>
    </row>
    <row r="290" spans="1:5" x14ac:dyDescent="0.35">
      <c r="A290" s="16" t="s">
        <v>399</v>
      </c>
      <c r="B290" s="35" t="s">
        <v>299</v>
      </c>
      <c r="C290" s="254">
        <v>0</v>
      </c>
      <c r="D290" s="16"/>
      <c r="E290" s="16"/>
    </row>
    <row r="291" spans="1:5" x14ac:dyDescent="0.35">
      <c r="A291" s="16" t="s">
        <v>440</v>
      </c>
      <c r="B291" s="16"/>
      <c r="C291" s="22"/>
      <c r="D291" s="25">
        <v>24164602.300000001</v>
      </c>
      <c r="E291" s="16"/>
    </row>
    <row r="292" spans="1:5" x14ac:dyDescent="0.35">
      <c r="A292" s="16" t="s">
        <v>441</v>
      </c>
      <c r="B292" s="35" t="s">
        <v>299</v>
      </c>
      <c r="C292" s="254">
        <v>1809212</v>
      </c>
      <c r="D292" s="16"/>
      <c r="E292" s="16"/>
    </row>
    <row r="293" spans="1:5" x14ac:dyDescent="0.35">
      <c r="A293" s="16" t="s">
        <v>442</v>
      </c>
      <c r="B293" s="16"/>
      <c r="C293" s="22"/>
      <c r="D293" s="25">
        <v>22355390.300000001</v>
      </c>
      <c r="E293" s="16"/>
    </row>
    <row r="294" spans="1:5" x14ac:dyDescent="0.35">
      <c r="A294" s="34" t="s">
        <v>443</v>
      </c>
      <c r="B294" s="34"/>
      <c r="C294" s="34"/>
      <c r="D294" s="34"/>
      <c r="E294" s="34"/>
    </row>
    <row r="295" spans="1:5" x14ac:dyDescent="0.35">
      <c r="A295" s="16" t="s">
        <v>444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445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446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434</v>
      </c>
      <c r="B298" s="35" t="s">
        <v>299</v>
      </c>
      <c r="C298" s="254">
        <v>0</v>
      </c>
      <c r="D298" s="16"/>
      <c r="E298" s="16"/>
    </row>
    <row r="299" spans="1:5" x14ac:dyDescent="0.35">
      <c r="A299" s="16" t="s">
        <v>447</v>
      </c>
      <c r="B299" s="16"/>
      <c r="C299" s="22"/>
      <c r="D299" s="25">
        <v>0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448</v>
      </c>
      <c r="B301" s="34"/>
      <c r="C301" s="34"/>
      <c r="D301" s="34"/>
      <c r="E301" s="34"/>
    </row>
    <row r="302" spans="1:5" x14ac:dyDescent="0.35">
      <c r="A302" s="16" t="s">
        <v>449</v>
      </c>
      <c r="B302" s="35" t="s">
        <v>299</v>
      </c>
      <c r="C302" s="254">
        <v>0</v>
      </c>
      <c r="D302" s="16"/>
      <c r="E302" s="16"/>
    </row>
    <row r="303" spans="1:5" x14ac:dyDescent="0.35">
      <c r="A303" s="16" t="s">
        <v>450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451</v>
      </c>
      <c r="B304" s="35" t="s">
        <v>299</v>
      </c>
      <c r="C304" s="254">
        <v>0</v>
      </c>
      <c r="D304" s="16"/>
      <c r="E304" s="16"/>
    </row>
    <row r="305" spans="1:6" x14ac:dyDescent="0.35">
      <c r="A305" s="16" t="s">
        <v>452</v>
      </c>
      <c r="B305" s="35" t="s">
        <v>299</v>
      </c>
      <c r="C305" s="254">
        <v>1733211</v>
      </c>
      <c r="D305" s="16"/>
      <c r="E305" s="16"/>
    </row>
    <row r="306" spans="1:6" x14ac:dyDescent="0.35">
      <c r="A306" s="16" t="s">
        <v>453</v>
      </c>
      <c r="B306" s="16"/>
      <c r="C306" s="22"/>
      <c r="D306" s="25">
        <v>1733211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454</v>
      </c>
      <c r="B308" s="16"/>
      <c r="C308" s="22"/>
      <c r="D308" s="25">
        <v>28343408.740000002</v>
      </c>
      <c r="E308" s="16"/>
    </row>
    <row r="309" spans="1:6" x14ac:dyDescent="0.35">
      <c r="A309" s="16"/>
      <c r="B309" s="16"/>
      <c r="C309" s="22"/>
      <c r="D309" s="16"/>
      <c r="E309" s="16"/>
      <c r="F309" s="11">
        <v>28343408.740000002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455</v>
      </c>
      <c r="B312" s="30"/>
      <c r="C312" s="30"/>
      <c r="D312" s="30"/>
      <c r="E312" s="30"/>
    </row>
    <row r="313" spans="1:6" x14ac:dyDescent="0.35">
      <c r="A313" s="34" t="s">
        <v>456</v>
      </c>
      <c r="B313" s="34"/>
      <c r="C313" s="34"/>
      <c r="D313" s="34"/>
      <c r="E313" s="34"/>
    </row>
    <row r="314" spans="1:6" x14ac:dyDescent="0.35">
      <c r="A314" s="16" t="s">
        <v>457</v>
      </c>
      <c r="B314" s="35" t="s">
        <v>299</v>
      </c>
      <c r="C314" s="254">
        <v>0</v>
      </c>
      <c r="D314" s="16"/>
      <c r="E314" s="16"/>
    </row>
    <row r="315" spans="1:6" x14ac:dyDescent="0.35">
      <c r="A315" s="16" t="s">
        <v>458</v>
      </c>
      <c r="B315" s="35" t="s">
        <v>299</v>
      </c>
      <c r="C315" s="254">
        <v>1078568</v>
      </c>
      <c r="D315" s="16"/>
      <c r="E315" s="16"/>
    </row>
    <row r="316" spans="1:6" x14ac:dyDescent="0.35">
      <c r="A316" s="16" t="s">
        <v>459</v>
      </c>
      <c r="B316" s="35" t="s">
        <v>299</v>
      </c>
      <c r="C316" s="254">
        <v>1407984</v>
      </c>
      <c r="D316" s="16"/>
      <c r="E316" s="16"/>
    </row>
    <row r="317" spans="1:6" x14ac:dyDescent="0.35">
      <c r="A317" s="16" t="s">
        <v>460</v>
      </c>
      <c r="B317" s="35" t="s">
        <v>299</v>
      </c>
      <c r="C317" s="254">
        <v>3597034</v>
      </c>
      <c r="D317" s="16"/>
      <c r="E317" s="16"/>
    </row>
    <row r="318" spans="1:6" x14ac:dyDescent="0.35">
      <c r="A318" s="16" t="s">
        <v>461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462</v>
      </c>
      <c r="B319" s="35" t="s">
        <v>299</v>
      </c>
      <c r="C319" s="254">
        <v>344669</v>
      </c>
      <c r="D319" s="16"/>
      <c r="E319" s="16"/>
    </row>
    <row r="320" spans="1:6" x14ac:dyDescent="0.35">
      <c r="A320" s="16" t="s">
        <v>463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464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465</v>
      </c>
      <c r="B322" s="35" t="s">
        <v>299</v>
      </c>
      <c r="C322" s="254">
        <v>0</v>
      </c>
      <c r="D322" s="16"/>
      <c r="E322" s="16"/>
    </row>
    <row r="323" spans="1:5" x14ac:dyDescent="0.35">
      <c r="A323" s="16" t="s">
        <v>466</v>
      </c>
      <c r="B323" s="35" t="s">
        <v>299</v>
      </c>
      <c r="C323" s="254">
        <v>0</v>
      </c>
      <c r="D323" s="16"/>
      <c r="E323" s="16"/>
    </row>
    <row r="324" spans="1:5" x14ac:dyDescent="0.35">
      <c r="A324" s="16" t="s">
        <v>467</v>
      </c>
      <c r="B324" s="16"/>
      <c r="C324" s="22"/>
      <c r="D324" s="25">
        <v>6428255</v>
      </c>
      <c r="E324" s="16"/>
    </row>
    <row r="325" spans="1:5" x14ac:dyDescent="0.35">
      <c r="A325" s="34" t="s">
        <v>468</v>
      </c>
      <c r="B325" s="34"/>
      <c r="C325" s="34"/>
      <c r="D325" s="34"/>
      <c r="E325" s="34"/>
    </row>
    <row r="326" spans="1:5" x14ac:dyDescent="0.35">
      <c r="A326" s="16" t="s">
        <v>469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470</v>
      </c>
      <c r="B327" s="35" t="s">
        <v>299</v>
      </c>
      <c r="C327" s="254">
        <v>0</v>
      </c>
      <c r="D327" s="16"/>
      <c r="E327" s="16"/>
    </row>
    <row r="328" spans="1:5" x14ac:dyDescent="0.35">
      <c r="A328" s="16" t="s">
        <v>471</v>
      </c>
      <c r="B328" s="35" t="s">
        <v>299</v>
      </c>
      <c r="C328" s="254">
        <v>0</v>
      </c>
      <c r="D328" s="16"/>
      <c r="E328" s="16"/>
    </row>
    <row r="329" spans="1:5" x14ac:dyDescent="0.35">
      <c r="A329" s="16" t="s">
        <v>472</v>
      </c>
      <c r="B329" s="16"/>
      <c r="C329" s="22"/>
      <c r="D329" s="25">
        <v>0</v>
      </c>
      <c r="E329" s="16"/>
    </row>
    <row r="330" spans="1:5" x14ac:dyDescent="0.35">
      <c r="A330" s="34" t="s">
        <v>473</v>
      </c>
      <c r="B330" s="34"/>
      <c r="C330" s="34"/>
      <c r="D330" s="34"/>
      <c r="E330" s="34"/>
    </row>
    <row r="331" spans="1:5" x14ac:dyDescent="0.35">
      <c r="A331" s="16" t="s">
        <v>474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475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476</v>
      </c>
      <c r="B333" s="35" t="s">
        <v>299</v>
      </c>
      <c r="C333" s="254">
        <v>0</v>
      </c>
      <c r="D333" s="16"/>
      <c r="E333" s="16"/>
    </row>
    <row r="334" spans="1:5" x14ac:dyDescent="0.35">
      <c r="A334" s="21" t="s">
        <v>477</v>
      </c>
      <c r="B334" s="35" t="s">
        <v>299</v>
      </c>
      <c r="C334" s="254">
        <v>4739090</v>
      </c>
      <c r="D334" s="16"/>
      <c r="E334" s="16"/>
    </row>
    <row r="335" spans="1:5" x14ac:dyDescent="0.35">
      <c r="A335" s="16" t="s">
        <v>478</v>
      </c>
      <c r="B335" s="35" t="s">
        <v>299</v>
      </c>
      <c r="C335" s="254">
        <v>1244279</v>
      </c>
      <c r="D335" s="16"/>
      <c r="E335" s="16"/>
    </row>
    <row r="336" spans="1:5" x14ac:dyDescent="0.35">
      <c r="A336" s="21" t="s">
        <v>479</v>
      </c>
      <c r="B336" s="35" t="s">
        <v>299</v>
      </c>
      <c r="C336" s="254">
        <v>5495788.5599999996</v>
      </c>
      <c r="D336" s="16"/>
      <c r="E336" s="16"/>
    </row>
    <row r="337" spans="1:5" x14ac:dyDescent="0.35">
      <c r="A337" s="21" t="s">
        <v>480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481</v>
      </c>
      <c r="B338" s="35" t="s">
        <v>299</v>
      </c>
      <c r="C338" s="254">
        <v>1809689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v>13288846.559999999</v>
      </c>
      <c r="E339" s="16"/>
    </row>
    <row r="340" spans="1:5" x14ac:dyDescent="0.35">
      <c r="A340" s="16" t="s">
        <v>482</v>
      </c>
      <c r="B340" s="16"/>
      <c r="C340" s="22"/>
      <c r="D340" s="25">
        <v>0</v>
      </c>
      <c r="E340" s="16"/>
    </row>
    <row r="341" spans="1:5" x14ac:dyDescent="0.35">
      <c r="A341" s="16" t="s">
        <v>483</v>
      </c>
      <c r="B341" s="16"/>
      <c r="C341" s="22"/>
      <c r="D341" s="25">
        <v>13288846.559999999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484</v>
      </c>
      <c r="B343" s="35" t="s">
        <v>299</v>
      </c>
      <c r="C343" s="259">
        <v>0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485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486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487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488</v>
      </c>
      <c r="B348" s="35" t="s">
        <v>299</v>
      </c>
      <c r="C348" s="255">
        <v>496726.38</v>
      </c>
      <c r="D348" s="16"/>
      <c r="E348" s="16"/>
    </row>
    <row r="349" spans="1:5" x14ac:dyDescent="0.35">
      <c r="A349" s="16" t="s">
        <v>489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490</v>
      </c>
      <c r="B350" s="16"/>
      <c r="C350" s="22"/>
      <c r="D350" s="25">
        <v>20213827.939999998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491</v>
      </c>
      <c r="B352" s="16"/>
      <c r="C352" s="22"/>
      <c r="D352" s="25">
        <v>28343408.740000002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492</v>
      </c>
      <c r="B356" s="30"/>
      <c r="C356" s="30"/>
      <c r="D356" s="30"/>
      <c r="E356" s="30"/>
    </row>
    <row r="357" spans="1:5" x14ac:dyDescent="0.35">
      <c r="A357" s="34" t="s">
        <v>493</v>
      </c>
      <c r="B357" s="34"/>
      <c r="C357" s="34"/>
      <c r="D357" s="34"/>
      <c r="E357" s="34"/>
    </row>
    <row r="358" spans="1:5" x14ac:dyDescent="0.35">
      <c r="A358" s="16" t="s">
        <v>494</v>
      </c>
      <c r="B358" s="35" t="s">
        <v>299</v>
      </c>
      <c r="C358" s="254">
        <v>50726898</v>
      </c>
      <c r="D358" s="16"/>
      <c r="E358" s="16"/>
    </row>
    <row r="359" spans="1:5" x14ac:dyDescent="0.35">
      <c r="A359" s="16" t="s">
        <v>495</v>
      </c>
      <c r="B359" s="35" t="s">
        <v>299</v>
      </c>
      <c r="C359" s="254">
        <v>4973651</v>
      </c>
      <c r="D359" s="16"/>
      <c r="E359" s="16"/>
    </row>
    <row r="360" spans="1:5" x14ac:dyDescent="0.35">
      <c r="A360" s="16" t="s">
        <v>496</v>
      </c>
      <c r="B360" s="16"/>
      <c r="C360" s="22"/>
      <c r="D360" s="25">
        <v>55700549</v>
      </c>
      <c r="E360" s="16"/>
    </row>
    <row r="361" spans="1:5" x14ac:dyDescent="0.35">
      <c r="A361" s="34" t="s">
        <v>497</v>
      </c>
      <c r="B361" s="34"/>
      <c r="C361" s="34"/>
      <c r="D361" s="34"/>
      <c r="E361" s="34"/>
    </row>
    <row r="362" spans="1:5" x14ac:dyDescent="0.35">
      <c r="A362" s="16" t="s">
        <v>402</v>
      </c>
      <c r="B362" s="34"/>
      <c r="C362" s="254">
        <v>281221.71999999997</v>
      </c>
      <c r="D362" s="16"/>
      <c r="E362" s="34"/>
    </row>
    <row r="363" spans="1:5" x14ac:dyDescent="0.35">
      <c r="A363" s="16" t="s">
        <v>498</v>
      </c>
      <c r="B363" s="35" t="s">
        <v>299</v>
      </c>
      <c r="C363" s="254">
        <v>34717318.049999997</v>
      </c>
      <c r="D363" s="16"/>
      <c r="E363" s="16"/>
    </row>
    <row r="364" spans="1:5" x14ac:dyDescent="0.35">
      <c r="A364" s="16" t="s">
        <v>499</v>
      </c>
      <c r="B364" s="35" t="s">
        <v>299</v>
      </c>
      <c r="C364" s="254">
        <v>515137.21</v>
      </c>
      <c r="D364" s="16"/>
      <c r="E364" s="16"/>
    </row>
    <row r="365" spans="1:5" x14ac:dyDescent="0.35">
      <c r="A365" s="16" t="s">
        <v>500</v>
      </c>
      <c r="B365" s="35" t="s">
        <v>299</v>
      </c>
      <c r="C365" s="254">
        <v>136511.33000000002</v>
      </c>
      <c r="D365" s="16"/>
      <c r="E365" s="16"/>
    </row>
    <row r="366" spans="1:5" x14ac:dyDescent="0.35">
      <c r="A366" s="16" t="s">
        <v>419</v>
      </c>
      <c r="B366" s="16"/>
      <c r="C366" s="22"/>
      <c r="D366" s="25">
        <v>35650188.309999995</v>
      </c>
      <c r="E366" s="16"/>
    </row>
    <row r="367" spans="1:5" x14ac:dyDescent="0.35">
      <c r="A367" s="16" t="s">
        <v>501</v>
      </c>
      <c r="B367" s="16"/>
      <c r="C367" s="22"/>
      <c r="D367" s="25">
        <v>20050360.690000005</v>
      </c>
      <c r="E367" s="16"/>
    </row>
    <row r="368" spans="1:5" x14ac:dyDescent="0.35">
      <c r="A368" s="45" t="s">
        <v>502</v>
      </c>
      <c r="B368" s="34"/>
      <c r="C368" s="34"/>
      <c r="D368" s="34"/>
      <c r="E368" s="34"/>
    </row>
    <row r="369" spans="1:6" x14ac:dyDescent="0.35">
      <c r="A369" s="25" t="s">
        <v>503</v>
      </c>
      <c r="B369" s="16"/>
      <c r="C369" s="16"/>
      <c r="D369" s="16"/>
      <c r="E369" s="16"/>
    </row>
    <row r="370" spans="1:6" x14ac:dyDescent="0.35">
      <c r="A370" s="46" t="s">
        <v>504</v>
      </c>
      <c r="B370" s="32" t="s">
        <v>299</v>
      </c>
      <c r="C370" s="254">
        <v>0</v>
      </c>
      <c r="D370" s="25">
        <v>0</v>
      </c>
      <c r="E370" s="25"/>
    </row>
    <row r="371" spans="1:6" x14ac:dyDescent="0.35">
      <c r="A371" s="46" t="s">
        <v>505</v>
      </c>
      <c r="B371" s="32" t="s">
        <v>299</v>
      </c>
      <c r="C371" s="254">
        <v>0</v>
      </c>
      <c r="D371" s="25">
        <v>0</v>
      </c>
      <c r="E371" s="25"/>
    </row>
    <row r="372" spans="1:6" x14ac:dyDescent="0.35">
      <c r="A372" s="46" t="s">
        <v>506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507</v>
      </c>
      <c r="B373" s="32" t="s">
        <v>299</v>
      </c>
      <c r="C373" s="254">
        <v>0</v>
      </c>
      <c r="D373" s="25">
        <v>0</v>
      </c>
      <c r="E373" s="25"/>
    </row>
    <row r="374" spans="1:6" x14ac:dyDescent="0.35">
      <c r="A374" s="46" t="s">
        <v>508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509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510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511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512</v>
      </c>
      <c r="B378" s="32" t="s">
        <v>299</v>
      </c>
      <c r="C378" s="254">
        <v>0</v>
      </c>
      <c r="D378" s="25">
        <v>0</v>
      </c>
      <c r="E378" s="25"/>
    </row>
    <row r="379" spans="1:6" x14ac:dyDescent="0.35">
      <c r="A379" s="46" t="s">
        <v>513</v>
      </c>
      <c r="B379" s="32" t="s">
        <v>299</v>
      </c>
      <c r="C379" s="254">
        <v>0</v>
      </c>
      <c r="D379" s="25">
        <v>0</v>
      </c>
      <c r="E379" s="25"/>
    </row>
    <row r="380" spans="1:6" x14ac:dyDescent="0.35">
      <c r="A380" s="46" t="s">
        <v>514</v>
      </c>
      <c r="B380" s="32" t="s">
        <v>299</v>
      </c>
      <c r="C380" s="256">
        <v>867328</v>
      </c>
      <c r="D380" s="25">
        <v>0</v>
      </c>
      <c r="E380" s="204" t="s">
        <v>1054</v>
      </c>
      <c r="F380" s="47"/>
    </row>
    <row r="381" spans="1:6" x14ac:dyDescent="0.35">
      <c r="A381" s="48" t="s">
        <v>515</v>
      </c>
      <c r="B381" s="35"/>
      <c r="C381" s="35"/>
      <c r="D381" s="25">
        <v>867328</v>
      </c>
      <c r="E381" s="25"/>
      <c r="F381" s="47"/>
    </row>
    <row r="382" spans="1:6" x14ac:dyDescent="0.35">
      <c r="A382" s="43" t="s">
        <v>516</v>
      </c>
      <c r="B382" s="35" t="s">
        <v>299</v>
      </c>
      <c r="C382" s="254">
        <v>0</v>
      </c>
      <c r="D382" s="25">
        <v>0</v>
      </c>
      <c r="E382" s="16"/>
    </row>
    <row r="383" spans="1:6" x14ac:dyDescent="0.35">
      <c r="A383" s="16" t="s">
        <v>517</v>
      </c>
      <c r="B383" s="16"/>
      <c r="C383" s="22"/>
      <c r="D383" s="25">
        <v>867328</v>
      </c>
      <c r="E383" s="16"/>
    </row>
    <row r="384" spans="1:6" x14ac:dyDescent="0.35">
      <c r="A384" s="16" t="s">
        <v>518</v>
      </c>
      <c r="B384" s="16"/>
      <c r="C384" s="22"/>
      <c r="D384" s="25">
        <v>20917688.690000005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519</v>
      </c>
      <c r="B388" s="34"/>
      <c r="C388" s="34"/>
      <c r="D388" s="34"/>
      <c r="E388" s="34"/>
    </row>
    <row r="389" spans="1:5" x14ac:dyDescent="0.35">
      <c r="A389" s="16" t="s">
        <v>520</v>
      </c>
      <c r="B389" s="35" t="s">
        <v>299</v>
      </c>
      <c r="C389" s="254">
        <v>10668772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1880753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2143513</v>
      </c>
      <c r="D391" s="16"/>
      <c r="E391" s="16"/>
    </row>
    <row r="392" spans="1:5" x14ac:dyDescent="0.35">
      <c r="A392" s="16" t="s">
        <v>521</v>
      </c>
      <c r="B392" s="35" t="s">
        <v>299</v>
      </c>
      <c r="C392" s="254">
        <v>1235502</v>
      </c>
      <c r="D392" s="16"/>
      <c r="E392" s="16"/>
    </row>
    <row r="393" spans="1:5" x14ac:dyDescent="0.35">
      <c r="A393" s="16" t="s">
        <v>522</v>
      </c>
      <c r="B393" s="35" t="s">
        <v>299</v>
      </c>
      <c r="C393" s="254">
        <v>292893</v>
      </c>
      <c r="D393" s="16"/>
      <c r="E393" s="16"/>
    </row>
    <row r="394" spans="1:5" x14ac:dyDescent="0.35">
      <c r="A394" s="16" t="s">
        <v>523</v>
      </c>
      <c r="B394" s="35" t="s">
        <v>299</v>
      </c>
      <c r="C394" s="254">
        <v>3255253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1506511</v>
      </c>
      <c r="D395" s="16"/>
      <c r="E395" s="16"/>
    </row>
    <row r="396" spans="1:5" x14ac:dyDescent="0.35">
      <c r="A396" s="16" t="s">
        <v>524</v>
      </c>
      <c r="B396" s="35" t="s">
        <v>299</v>
      </c>
      <c r="C396" s="254">
        <v>43240</v>
      </c>
      <c r="D396" s="16"/>
      <c r="E396" s="16"/>
    </row>
    <row r="397" spans="1:5" x14ac:dyDescent="0.35">
      <c r="A397" s="16" t="s">
        <v>525</v>
      </c>
      <c r="B397" s="35" t="s">
        <v>299</v>
      </c>
      <c r="C397" s="256">
        <v>180897</v>
      </c>
      <c r="D397" s="16"/>
      <c r="E397" s="16"/>
    </row>
    <row r="398" spans="1:5" x14ac:dyDescent="0.35">
      <c r="A398" s="16" t="s">
        <v>526</v>
      </c>
      <c r="B398" s="35" t="s">
        <v>299</v>
      </c>
      <c r="C398" s="256">
        <v>848300</v>
      </c>
      <c r="D398" s="16"/>
      <c r="E398" s="16"/>
    </row>
    <row r="399" spans="1:5" x14ac:dyDescent="0.35">
      <c r="A399" s="16" t="s">
        <v>527</v>
      </c>
      <c r="B399" s="35" t="s">
        <v>299</v>
      </c>
      <c r="C399" s="256">
        <v>1469417</v>
      </c>
      <c r="D399" s="16"/>
      <c r="E399" s="16"/>
    </row>
    <row r="400" spans="1:5" x14ac:dyDescent="0.35">
      <c r="A400" s="25" t="s">
        <v>528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0</v>
      </c>
      <c r="D402" s="25">
        <v>0</v>
      </c>
      <c r="E402" s="25"/>
    </row>
    <row r="403" spans="1:9" x14ac:dyDescent="0.35">
      <c r="A403" s="26" t="s">
        <v>529</v>
      </c>
      <c r="B403" s="32" t="s">
        <v>299</v>
      </c>
      <c r="C403" s="254">
        <v>0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0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0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0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0</v>
      </c>
      <c r="D414" s="25">
        <v>0</v>
      </c>
      <c r="E414" s="204"/>
      <c r="F414" s="47"/>
      <c r="G414" s="47"/>
      <c r="H414" s="47"/>
      <c r="I414" s="47"/>
    </row>
    <row r="415" spans="1:9" x14ac:dyDescent="0.35">
      <c r="A415" s="49" t="s">
        <v>530</v>
      </c>
      <c r="B415" s="35"/>
      <c r="C415" s="35"/>
      <c r="D415" s="25">
        <v>0</v>
      </c>
      <c r="E415" s="25"/>
      <c r="F415" s="47"/>
      <c r="G415" s="47"/>
      <c r="H415" s="47"/>
      <c r="I415" s="47"/>
    </row>
    <row r="416" spans="1:9" x14ac:dyDescent="0.35">
      <c r="A416" s="25" t="s">
        <v>531</v>
      </c>
      <c r="B416" s="16"/>
      <c r="C416" s="22"/>
      <c r="D416" s="25">
        <v>23525051</v>
      </c>
      <c r="E416" s="25"/>
    </row>
    <row r="417" spans="1:13" x14ac:dyDescent="0.35">
      <c r="A417" s="25" t="s">
        <v>532</v>
      </c>
      <c r="B417" s="16"/>
      <c r="C417" s="22"/>
      <c r="D417" s="25">
        <v>-2607362.3099999949</v>
      </c>
      <c r="E417" s="25"/>
    </row>
    <row r="418" spans="1:13" x14ac:dyDescent="0.35">
      <c r="A418" s="25" t="s">
        <v>533</v>
      </c>
      <c r="B418" s="16"/>
      <c r="C418" s="256">
        <v>0</v>
      </c>
      <c r="D418" s="25">
        <v>0</v>
      </c>
      <c r="E418" s="25"/>
    </row>
    <row r="419" spans="1:13" x14ac:dyDescent="0.35">
      <c r="A419" s="46" t="s">
        <v>534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535</v>
      </c>
      <c r="B420" s="16"/>
      <c r="C420" s="16"/>
      <c r="D420" s="25">
        <v>0</v>
      </c>
      <c r="E420" s="25"/>
      <c r="F420" s="11">
        <v>-1469417</v>
      </c>
    </row>
    <row r="421" spans="1:13" x14ac:dyDescent="0.35">
      <c r="A421" s="25" t="s">
        <v>536</v>
      </c>
      <c r="B421" s="16"/>
      <c r="C421" s="22"/>
      <c r="D421" s="25">
        <v>-2607362.3099999949</v>
      </c>
      <c r="E421" s="25"/>
      <c r="F421" s="50"/>
    </row>
    <row r="422" spans="1:13" x14ac:dyDescent="0.35">
      <c r="A422" s="25" t="s">
        <v>537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538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539</v>
      </c>
      <c r="B424" s="16"/>
      <c r="C424" s="22"/>
      <c r="D424" s="25">
        <v>-2607362.3099999949</v>
      </c>
      <c r="E424" s="1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540</v>
      </c>
      <c r="D612" s="217">
        <f>CE90-(BE90+CD90)</f>
        <v>48236</v>
      </c>
      <c r="E612" s="219">
        <f>SUM(C624:D647)+SUM(C668:D713)</f>
        <v>15953017.460485945</v>
      </c>
      <c r="F612" s="219">
        <f>CE64-(AX64+BD64+BE64+BG64+BJ64+BN64+BP64+BQ64+CB64+CC64+CD64)</f>
        <v>0</v>
      </c>
      <c r="G612" s="217">
        <f>CE91-(AX91+AY91+BD91+BE91+BG91+BJ91+BN91+BP91+BQ91+CB91+CC91+CD91)</f>
        <v>54798</v>
      </c>
      <c r="H612" s="222">
        <f>CE60-(AX60+AY60+AZ60+BD60+BE60+BG60+BJ60+BN60+BO60+BP60+BQ60+BR60+CB60+CC60+CD60)</f>
        <v>116.69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0</v>
      </c>
      <c r="L612" s="223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5" customHeight="1" x14ac:dyDescent="0.3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329063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5" customHeight="1" x14ac:dyDescent="0.3">
      <c r="A615" s="212"/>
      <c r="B615" s="211" t="s">
        <v>552</v>
      </c>
      <c r="C615" s="217">
        <f>CD69-CD84</f>
        <v>0</v>
      </c>
      <c r="D615" s="217">
        <f>SUM(C614:C615)</f>
        <v>329063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5" customHeight="1" x14ac:dyDescent="0.3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5" customHeight="1" x14ac:dyDescent="0.3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5" customHeight="1" x14ac:dyDescent="0.3">
      <c r="A619" s="212">
        <v>8610</v>
      </c>
      <c r="B619" s="216" t="s">
        <v>559</v>
      </c>
      <c r="C619" s="217">
        <f>BN85</f>
        <v>408382</v>
      </c>
      <c r="D619" s="217">
        <f>(D615/D612)*BN90</f>
        <v>11051.539514055892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5" customHeight="1" x14ac:dyDescent="0.3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5" customHeight="1" x14ac:dyDescent="0.3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5" customHeight="1" x14ac:dyDescent="0.3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5" customHeight="1" x14ac:dyDescent="0.3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419433.53951405588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569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403515</v>
      </c>
      <c r="D625" s="217">
        <f>(D615/D612)*AY90</f>
        <v>16918.40616966581</v>
      </c>
      <c r="E625" s="219">
        <f>(E623/E612)*SUM(C625:D625)</f>
        <v>11053.950897783448</v>
      </c>
      <c r="F625" s="219" t="e">
        <f>(F624/F612)*AY64</f>
        <v>#DIV/0!</v>
      </c>
      <c r="G625" s="217" t="e">
        <f>SUM(C625:F625)</f>
        <v>#DIV/0!</v>
      </c>
      <c r="H625" s="219"/>
      <c r="I625" s="217"/>
      <c r="J625" s="217"/>
      <c r="N625" s="213" t="s">
        <v>570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136197</v>
      </c>
      <c r="D626" s="217">
        <f>(D615/D612)*BR90</f>
        <v>0</v>
      </c>
      <c r="E626" s="219">
        <f>(E623/E612)*SUM(C626:D626)</f>
        <v>3580.8642423096658</v>
      </c>
      <c r="F626" s="219" t="e">
        <f>(F624/F612)*BR64</f>
        <v>#DIV/0!</v>
      </c>
      <c r="G626" s="217" t="e">
        <f>(G625/G612)*BR91</f>
        <v>#DIV/0!</v>
      </c>
      <c r="H626" s="219"/>
      <c r="I626" s="217"/>
      <c r="J626" s="217"/>
      <c r="N626" s="213" t="s">
        <v>571</v>
      </c>
    </row>
    <row r="627" spans="1:14" s="202" customFormat="1" ht="12.65" customHeight="1" x14ac:dyDescent="0.3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 t="e">
        <f>(F624/F612)*BO64</f>
        <v>#DIV/0!</v>
      </c>
      <c r="G627" s="217" t="e">
        <f>(G625/G612)*BO91</f>
        <v>#DIV/0!</v>
      </c>
      <c r="H627" s="219"/>
      <c r="I627" s="217"/>
      <c r="J627" s="217"/>
      <c r="N627" s="213" t="s">
        <v>573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 t="e">
        <f>(F624/F612)*AZ64</f>
        <v>#DIV/0!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574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14754</v>
      </c>
      <c r="D629" s="217">
        <f>(D615/D612)*BF90</f>
        <v>4188.669914586616</v>
      </c>
      <c r="E629" s="219">
        <f>(E623/E612)*SUM(C629:D629)</f>
        <v>498.03688297846725</v>
      </c>
      <c r="F629" s="219" t="e">
        <f>(F624/F612)*BF64</f>
        <v>#DIV/0!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575</v>
      </c>
    </row>
    <row r="630" spans="1:14" s="202" customFormat="1" ht="12.65" customHeight="1" x14ac:dyDescent="0.3">
      <c r="A630" s="212">
        <v>8350</v>
      </c>
      <c r="B630" s="216" t="s">
        <v>576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 t="e">
        <f>(F624/F612)*BA64</f>
        <v>#DIV/0!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577</v>
      </c>
    </row>
    <row r="631" spans="1:14" s="202" customFormat="1" ht="12.65" customHeight="1" x14ac:dyDescent="0.3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 t="e">
        <f>(F624/F612)*AW64</f>
        <v>#DIV/0!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579</v>
      </c>
    </row>
    <row r="632" spans="1:14" s="202" customFormat="1" ht="12.65" customHeight="1" x14ac:dyDescent="0.3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 t="e">
        <f>(F624/F612)*BB64</f>
        <v>#DIV/0!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581</v>
      </c>
    </row>
    <row r="633" spans="1:14" s="202" customFormat="1" ht="12.65" customHeight="1" x14ac:dyDescent="0.3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 t="e">
        <f>(F624/F612)*BC64</f>
        <v>#DIV/0!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583</v>
      </c>
    </row>
    <row r="634" spans="1:14" s="202" customFormat="1" ht="12.65" customHeight="1" x14ac:dyDescent="0.3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 t="e">
        <f>(F624/F612)*BI64</f>
        <v>#DIV/0!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585</v>
      </c>
    </row>
    <row r="635" spans="1:14" s="202" customFormat="1" ht="12.65" customHeight="1" x14ac:dyDescent="0.3">
      <c r="A635" s="212">
        <v>8530</v>
      </c>
      <c r="B635" s="216" t="s">
        <v>586</v>
      </c>
      <c r="C635" s="217">
        <f>BK85</f>
        <v>193720</v>
      </c>
      <c r="D635" s="217">
        <f>(D615/D612)*BK90</f>
        <v>0</v>
      </c>
      <c r="E635" s="219">
        <f>(E623/E612)*SUM(C635:D635)</f>
        <v>5093.2474358482823</v>
      </c>
      <c r="F635" s="219" t="e">
        <f>(F624/F612)*BK64</f>
        <v>#DIV/0!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587</v>
      </c>
    </row>
    <row r="636" spans="1:14" s="202" customFormat="1" ht="12.65" customHeight="1" x14ac:dyDescent="0.3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 t="e">
        <f>(F624/F612)*BH64</f>
        <v>#DIV/0!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589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1510102</v>
      </c>
      <c r="D637" s="217">
        <f>(D615/D612)*BL90</f>
        <v>0</v>
      </c>
      <c r="E637" s="219">
        <f>(E623/E612)*SUM(C637:D637)</f>
        <v>39703.299294700402</v>
      </c>
      <c r="F637" s="219" t="e">
        <f>(F624/F612)*BL64</f>
        <v>#DIV/0!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590</v>
      </c>
    </row>
    <row r="638" spans="1:14" s="202" customFormat="1" ht="12.65" customHeight="1" x14ac:dyDescent="0.3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 t="e">
        <f>(F624/F612)*BM64</f>
        <v>#DIV/0!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592</v>
      </c>
    </row>
    <row r="639" spans="1:14" s="202" customFormat="1" ht="12.65" customHeight="1" x14ac:dyDescent="0.3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 t="e">
        <f>(F624/F612)*BS64</f>
        <v>#DIV/0!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594</v>
      </c>
    </row>
    <row r="640" spans="1:14" s="202" customFormat="1" ht="12.65" customHeight="1" x14ac:dyDescent="0.3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 t="e">
        <f>(F624/F612)*BT64</f>
        <v>#DIV/0!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596</v>
      </c>
    </row>
    <row r="641" spans="1:14" s="202" customFormat="1" ht="12.65" customHeight="1" x14ac:dyDescent="0.3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 t="e">
        <f>(F624/F612)*BU64</f>
        <v>#DIV/0!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598</v>
      </c>
    </row>
    <row r="642" spans="1:14" s="202" customFormat="1" ht="12.65" customHeight="1" x14ac:dyDescent="0.3">
      <c r="A642" s="212">
        <v>8690</v>
      </c>
      <c r="B642" s="216" t="s">
        <v>599</v>
      </c>
      <c r="C642" s="217">
        <f>BV85</f>
        <v>213017</v>
      </c>
      <c r="D642" s="217">
        <f>(D615/D612)*BV90</f>
        <v>6467.1971971141884</v>
      </c>
      <c r="E642" s="219">
        <f>(E623/E612)*SUM(C642:D642)</f>
        <v>5770.6345477153645</v>
      </c>
      <c r="F642" s="219" t="e">
        <f>(F624/F612)*BV64</f>
        <v>#DIV/0!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600</v>
      </c>
    </row>
    <row r="643" spans="1:14" s="202" customFormat="1" ht="12.65" customHeight="1" x14ac:dyDescent="0.3">
      <c r="A643" s="212">
        <v>8700</v>
      </c>
      <c r="B643" s="216" t="s">
        <v>601</v>
      </c>
      <c r="C643" s="217">
        <f>BW85</f>
        <v>2952685</v>
      </c>
      <c r="D643" s="217">
        <f>(D615/D612)*BW90</f>
        <v>0</v>
      </c>
      <c r="E643" s="219">
        <f>(E623/E612)*SUM(C643:D643)</f>
        <v>77631.402566166042</v>
      </c>
      <c r="F643" s="219" t="e">
        <f>(F624/F612)*BW64</f>
        <v>#DIV/0!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602</v>
      </c>
    </row>
    <row r="644" spans="1:14" s="202" customFormat="1" ht="12.65" customHeight="1" x14ac:dyDescent="0.3">
      <c r="A644" s="212">
        <v>8710</v>
      </c>
      <c r="B644" s="216" t="s">
        <v>603</v>
      </c>
      <c r="C644" s="217">
        <f>BX85</f>
        <v>421574</v>
      </c>
      <c r="D644" s="217">
        <f>(D615/D612)*BX90</f>
        <v>0</v>
      </c>
      <c r="E644" s="219">
        <f>(E623/E612)*SUM(C644:D644)</f>
        <v>11083.939162297665</v>
      </c>
      <c r="F644" s="219" t="e">
        <f>(F624/F612)*BX64</f>
        <v>#DIV/0!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604</v>
      </c>
    </row>
    <row r="645" spans="1:14" s="202" customFormat="1" ht="12.65" customHeight="1" x14ac:dyDescent="0.3">
      <c r="A645" s="212">
        <v>8720</v>
      </c>
      <c r="B645" s="216" t="s">
        <v>605</v>
      </c>
      <c r="C645" s="217">
        <f>BY85</f>
        <v>1335384</v>
      </c>
      <c r="D645" s="217">
        <f>(D615/D612)*BY90</f>
        <v>1814.6355004560908</v>
      </c>
      <c r="E645" s="219">
        <f>(E623/E612)*SUM(C645:D645)</f>
        <v>35157.358669639274</v>
      </c>
      <c r="F645" s="219" t="e">
        <f>(F624/F612)*BY64</f>
        <v>#DIV/0!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606</v>
      </c>
    </row>
    <row r="646" spans="1:14" s="202" customFormat="1" ht="12.65" customHeight="1" x14ac:dyDescent="0.3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 t="e">
        <f>(F624/F612)*BZ64</f>
        <v>#DIV/0!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608</v>
      </c>
    </row>
    <row r="647" spans="1:14" s="202" customFormat="1" ht="12.65" customHeight="1" x14ac:dyDescent="0.3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 t="e">
        <f>(F624/F612)*CA64</f>
        <v>#DIV/0!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610</v>
      </c>
    </row>
    <row r="648" spans="1:14" s="202" customFormat="1" ht="12.65" customHeight="1" x14ac:dyDescent="0.3">
      <c r="A648" s="212"/>
      <c r="B648" s="212"/>
      <c r="C648" s="202">
        <f>SUM(C614:C647)</f>
        <v>7918393</v>
      </c>
      <c r="L648" s="215"/>
    </row>
    <row r="666" spans="1:14" s="202" customFormat="1" ht="12.65" customHeight="1" x14ac:dyDescent="0.3">
      <c r="C666" s="210" t="s">
        <v>611</v>
      </c>
      <c r="M666" s="210" t="s">
        <v>612</v>
      </c>
    </row>
    <row r="667" spans="1:14" s="202" customFormat="1" ht="12.65" customHeight="1" x14ac:dyDescent="0.3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5" customHeight="1" x14ac:dyDescent="0.3">
      <c r="A668" s="212">
        <v>6010</v>
      </c>
      <c r="B668" s="211" t="s">
        <v>340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 t="e">
        <f>(F624/F612)*C64</f>
        <v>#DIV/0!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614</v>
      </c>
    </row>
    <row r="669" spans="1:14" s="202" customFormat="1" ht="12.65" customHeight="1" x14ac:dyDescent="0.3">
      <c r="A669" s="212">
        <v>6030</v>
      </c>
      <c r="B669" s="211" t="s">
        <v>341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 t="e">
        <f>(F624/F612)*D64</f>
        <v>#DIV/0!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615</v>
      </c>
    </row>
    <row r="670" spans="1:14" s="202" customFormat="1" ht="12.65" customHeight="1" x14ac:dyDescent="0.3">
      <c r="A670" s="212">
        <v>6070</v>
      </c>
      <c r="B670" s="211" t="s">
        <v>616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 t="e">
        <f>(F624/F612)*E64</f>
        <v>#DIV/0!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617</v>
      </c>
    </row>
    <row r="671" spans="1:14" s="202" customFormat="1" ht="12.65" customHeight="1" x14ac:dyDescent="0.3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 t="e">
        <f>(F624/F612)*F64</f>
        <v>#DIV/0!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619</v>
      </c>
    </row>
    <row r="672" spans="1:14" s="202" customFormat="1" ht="12.65" customHeight="1" x14ac:dyDescent="0.3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 t="e">
        <f>(F624/F612)*G64</f>
        <v>#DIV/0!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621</v>
      </c>
    </row>
    <row r="673" spans="1:14" s="202" customFormat="1" ht="12.65" customHeight="1" x14ac:dyDescent="0.3">
      <c r="A673" s="212">
        <v>6140</v>
      </c>
      <c r="B673" s="211" t="s">
        <v>622</v>
      </c>
      <c r="C673" s="217">
        <f>H85</f>
        <v>7277775</v>
      </c>
      <c r="D673" s="217">
        <f>(D615/D612)*H90</f>
        <v>221324.13361389833</v>
      </c>
      <c r="E673" s="219">
        <f>(E623/E612)*SUM(C673:D673)</f>
        <v>197164.81227261544</v>
      </c>
      <c r="F673" s="219" t="e">
        <f>(F624/F612)*H64</f>
        <v>#DIV/0!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623</v>
      </c>
    </row>
    <row r="674" spans="1:14" s="202" customFormat="1" ht="12.65" customHeight="1" x14ac:dyDescent="0.3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 t="e">
        <f>(F624/F612)*I64</f>
        <v>#DIV/0!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625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 t="e">
        <f>(F624/F612)*J64</f>
        <v>#DIV/0!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626</v>
      </c>
    </row>
    <row r="676" spans="1:14" s="202" customFormat="1" ht="12.65" customHeight="1" x14ac:dyDescent="0.3">
      <c r="A676" s="212">
        <v>6200</v>
      </c>
      <c r="B676" s="211" t="s">
        <v>346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 t="e">
        <f>(F624/F612)*K64</f>
        <v>#DIV/0!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627</v>
      </c>
    </row>
    <row r="677" spans="1:14" s="202" customFormat="1" ht="12.65" customHeight="1" x14ac:dyDescent="0.3">
      <c r="A677" s="212">
        <v>6210</v>
      </c>
      <c r="B677" s="211" t="s">
        <v>347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 t="e">
        <f>(F624/F612)*L64</f>
        <v>#DIV/0!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628</v>
      </c>
    </row>
    <row r="678" spans="1:14" s="202" customFormat="1" ht="12.65" customHeight="1" x14ac:dyDescent="0.3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 t="e">
        <f>(F624/F612)*M64</f>
        <v>#DIV/0!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630</v>
      </c>
    </row>
    <row r="679" spans="1:14" s="202" customFormat="1" ht="12.65" customHeight="1" x14ac:dyDescent="0.3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 t="e">
        <f>(F624/F612)*N64</f>
        <v>#DIV/0!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632</v>
      </c>
    </row>
    <row r="680" spans="1:14" s="202" customFormat="1" ht="12.65" customHeight="1" x14ac:dyDescent="0.3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 t="e">
        <f>(F624/F612)*O64</f>
        <v>#DIV/0!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634</v>
      </c>
    </row>
    <row r="681" spans="1:14" s="202" customFormat="1" ht="12.65" customHeight="1" x14ac:dyDescent="0.3">
      <c r="A681" s="212">
        <v>7020</v>
      </c>
      <c r="B681" s="211" t="s">
        <v>635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 t="e">
        <f>(F624/F612)*P64</f>
        <v>#DIV/0!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636</v>
      </c>
    </row>
    <row r="682" spans="1:14" s="202" customFormat="1" ht="12.65" customHeight="1" x14ac:dyDescent="0.3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 t="e">
        <f>(F624/F612)*Q64</f>
        <v>#DIV/0!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638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 t="e">
        <f>(F624/F612)*R64</f>
        <v>#DIV/0!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639</v>
      </c>
    </row>
    <row r="684" spans="1:14" s="202" customFormat="1" ht="12.65" customHeight="1" x14ac:dyDescent="0.3">
      <c r="A684" s="212">
        <v>7050</v>
      </c>
      <c r="B684" s="211" t="s">
        <v>640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 t="e">
        <f>(F624/F612)*S64</f>
        <v>#DIV/0!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641</v>
      </c>
    </row>
    <row r="685" spans="1:14" s="202" customFormat="1" ht="12.65" customHeight="1" x14ac:dyDescent="0.3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 t="e">
        <f>(F624/F612)*T64</f>
        <v>#DIV/0!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643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0</v>
      </c>
      <c r="D686" s="217">
        <f>(D615/D612)*U90</f>
        <v>0</v>
      </c>
      <c r="E686" s="219">
        <f>(E623/E612)*SUM(C686:D686)</f>
        <v>0</v>
      </c>
      <c r="F686" s="219" t="e">
        <f>(F624/F612)*U64</f>
        <v>#DIV/0!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644</v>
      </c>
    </row>
    <row r="687" spans="1:14" s="202" customFormat="1" ht="12.65" customHeight="1" x14ac:dyDescent="0.3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 t="e">
        <f>(F624/F612)*V64</f>
        <v>#DIV/0!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646</v>
      </c>
    </row>
    <row r="688" spans="1:14" s="202" customFormat="1" ht="12.65" customHeight="1" x14ac:dyDescent="0.3">
      <c r="A688" s="212">
        <v>7120</v>
      </c>
      <c r="B688" s="211" t="s">
        <v>647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 t="e">
        <f>(F624/F612)*W64</f>
        <v>#DIV/0!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648</v>
      </c>
    </row>
    <row r="689" spans="1:14" s="202" customFormat="1" ht="12.65" customHeight="1" x14ac:dyDescent="0.3">
      <c r="A689" s="212">
        <v>7130</v>
      </c>
      <c r="B689" s="211" t="s">
        <v>649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 t="e">
        <f>(F624/F612)*X64</f>
        <v>#DIV/0!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650</v>
      </c>
    </row>
    <row r="690" spans="1:14" s="202" customFormat="1" ht="12.65" customHeight="1" x14ac:dyDescent="0.3">
      <c r="A690" s="212">
        <v>7140</v>
      </c>
      <c r="B690" s="211" t="s">
        <v>651</v>
      </c>
      <c r="C690" s="217">
        <f>Y85</f>
        <v>0</v>
      </c>
      <c r="D690" s="217">
        <f>(D615/D612)*Y90</f>
        <v>0</v>
      </c>
      <c r="E690" s="219">
        <f>(E623/E612)*SUM(C690:D690)</f>
        <v>0</v>
      </c>
      <c r="F690" s="219" t="e">
        <f>(F624/F612)*Y64</f>
        <v>#DIV/0!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652</v>
      </c>
    </row>
    <row r="691" spans="1:14" s="202" customFormat="1" ht="12.65" customHeight="1" x14ac:dyDescent="0.3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 t="e">
        <f>(F624/F612)*Z64</f>
        <v>#DIV/0!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654</v>
      </c>
    </row>
    <row r="692" spans="1:14" s="202" customFormat="1" ht="12.65" customHeight="1" x14ac:dyDescent="0.3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 t="e">
        <f>(F624/F612)*AA64</f>
        <v>#DIV/0!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656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4470</v>
      </c>
      <c r="D693" s="217">
        <f>(D615/D612)*AB90</f>
        <v>1268.8804627249358</v>
      </c>
      <c r="E693" s="219">
        <f>(E623/E612)*SUM(C693:D693)</f>
        <v>150.88549556789997</v>
      </c>
      <c r="F693" s="219" t="e">
        <f>(F624/F612)*AB64</f>
        <v>#DIV/0!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657</v>
      </c>
    </row>
    <row r="694" spans="1:14" s="202" customFormat="1" ht="12.65" customHeight="1" x14ac:dyDescent="0.3">
      <c r="A694" s="212">
        <v>7180</v>
      </c>
      <c r="B694" s="211" t="s">
        <v>658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 t="e">
        <f>(F624/F612)*AC64</f>
        <v>#DIV/0!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659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 t="e">
        <f>(F624/F612)*AD64</f>
        <v>#DIV/0!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660</v>
      </c>
    </row>
    <row r="696" spans="1:14" s="202" customFormat="1" ht="12.65" customHeight="1" x14ac:dyDescent="0.3">
      <c r="A696" s="212">
        <v>7200</v>
      </c>
      <c r="B696" s="211" t="s">
        <v>661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 t="e">
        <f>(F624/F612)*AE64</f>
        <v>#DIV/0!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662</v>
      </c>
    </row>
    <row r="697" spans="1:14" s="202" customFormat="1" ht="12.65" customHeight="1" x14ac:dyDescent="0.3">
      <c r="A697" s="212">
        <v>7220</v>
      </c>
      <c r="B697" s="211" t="s">
        <v>663</v>
      </c>
      <c r="C697" s="217">
        <f>AF85</f>
        <v>200614</v>
      </c>
      <c r="D697" s="217">
        <f>(D615/D612)*AF90</f>
        <v>18391.944771539929</v>
      </c>
      <c r="E697" s="219">
        <f>(E623/E612)*SUM(C697:D697)</f>
        <v>5758.0604307411531</v>
      </c>
      <c r="F697" s="219" t="e">
        <f>(F624/F612)*AF64</f>
        <v>#DIV/0!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664</v>
      </c>
    </row>
    <row r="698" spans="1:14" s="202" customFormat="1" ht="12.65" customHeight="1" x14ac:dyDescent="0.3">
      <c r="A698" s="212">
        <v>7230</v>
      </c>
      <c r="B698" s="211" t="s">
        <v>665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 t="e">
        <f>(F624/F612)*AG64</f>
        <v>#DIV/0!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666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 t="e">
        <f>(F624/F612)*AH64</f>
        <v>#DIV/0!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667</v>
      </c>
    </row>
    <row r="700" spans="1:14" s="202" customFormat="1" ht="12.65" customHeight="1" x14ac:dyDescent="0.3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 t="e">
        <f>(F624/F612)*AI64</f>
        <v>#DIV/0!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669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 t="e">
        <f>(F624/F612)*AJ64</f>
        <v>#DIV/0!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670</v>
      </c>
    </row>
    <row r="702" spans="1:14" s="202" customFormat="1" ht="12.65" customHeight="1" x14ac:dyDescent="0.3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 t="e">
        <f>(F624/F612)*AK64</f>
        <v>#DIV/0!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672</v>
      </c>
    </row>
    <row r="703" spans="1:14" s="202" customFormat="1" ht="12.65" customHeight="1" x14ac:dyDescent="0.3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 t="e">
        <f>(F624/F612)*AL64</f>
        <v>#DIV/0!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674</v>
      </c>
    </row>
    <row r="704" spans="1:14" s="202" customFormat="1" ht="12.65" customHeight="1" x14ac:dyDescent="0.3">
      <c r="A704" s="212">
        <v>7330</v>
      </c>
      <c r="B704" s="211" t="s">
        <v>675</v>
      </c>
      <c r="C704" s="217">
        <f>AM85</f>
        <v>343691</v>
      </c>
      <c r="D704" s="217">
        <f>(D615/D612)*AM90</f>
        <v>26271.283128783482</v>
      </c>
      <c r="E704" s="219">
        <f>(E623/E612)*SUM(C704:D704)</f>
        <v>9726.9742406888927</v>
      </c>
      <c r="F704" s="219" t="e">
        <f>(F624/F612)*AM64</f>
        <v>#DIV/0!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676</v>
      </c>
    </row>
    <row r="705" spans="1:14" s="202" customFormat="1" ht="12.65" customHeight="1" x14ac:dyDescent="0.3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 t="e">
        <f>(F624/F612)*AN64</f>
        <v>#DIV/0!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678</v>
      </c>
    </row>
    <row r="706" spans="1:14" s="202" customFormat="1" ht="12.65" customHeight="1" x14ac:dyDescent="0.3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 t="e">
        <f>(F624/F612)*AO64</f>
        <v>#DIV/0!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680</v>
      </c>
    </row>
    <row r="707" spans="1:14" s="202" customFormat="1" ht="12.65" customHeight="1" x14ac:dyDescent="0.3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 t="e">
        <f>(F624/F612)*AP64</f>
        <v>#DIV/0!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682</v>
      </c>
    </row>
    <row r="708" spans="1:14" s="202" customFormat="1" ht="12.65" customHeight="1" x14ac:dyDescent="0.3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 t="e">
        <f>(F624/F612)*AQ64</f>
        <v>#DIV/0!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684</v>
      </c>
    </row>
    <row r="709" spans="1:14" s="202" customFormat="1" ht="12.65" customHeight="1" x14ac:dyDescent="0.3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 t="e">
        <f>(F624/F612)*AR64</f>
        <v>#DIV/0!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686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 t="e">
        <f>(F624/F612)*AS64</f>
        <v>#DIV/0!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687</v>
      </c>
    </row>
    <row r="711" spans="1:14" s="202" customFormat="1" ht="12.65" customHeight="1" x14ac:dyDescent="0.3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 t="e">
        <f>(F624/F612)*AT64</f>
        <v>#DIV/0!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689</v>
      </c>
    </row>
    <row r="712" spans="1:14" s="202" customFormat="1" ht="12.65" customHeight="1" x14ac:dyDescent="0.3">
      <c r="A712" s="212">
        <v>7430</v>
      </c>
      <c r="B712" s="211" t="s">
        <v>690</v>
      </c>
      <c r="C712" s="217">
        <f>AU85</f>
        <v>627508</v>
      </c>
      <c r="D712" s="217">
        <f>(D615/D612)*AU90</f>
        <v>21366.309727174725</v>
      </c>
      <c r="E712" s="219">
        <f>(E623/E612)*SUM(C712:D712)</f>
        <v>17060.073375003903</v>
      </c>
      <c r="F712" s="219" t="e">
        <f>(F624/F612)*AU64</f>
        <v>#DIV/0!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691</v>
      </c>
    </row>
    <row r="713" spans="1:14" s="202" customFormat="1" ht="12.65" customHeight="1" x14ac:dyDescent="0.3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 t="e">
        <f>(F624/F612)*AV64</f>
        <v>#DIV/0!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693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16372451</v>
      </c>
      <c r="D715" s="202">
        <f>SUM(D616:D647)+SUM(D668:D713)</f>
        <v>329063</v>
      </c>
      <c r="E715" s="202">
        <f>SUM(E624:E647)+SUM(E668:E713)</f>
        <v>419433.53951405588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694</v>
      </c>
    </row>
    <row r="716" spans="1:14" s="202" customFormat="1" ht="12.65" customHeight="1" x14ac:dyDescent="0.3">
      <c r="C716" s="214">
        <f>CE85</f>
        <v>16372451</v>
      </c>
      <c r="D716" s="202">
        <f>D615</f>
        <v>329063</v>
      </c>
      <c r="E716" s="202">
        <f>E623</f>
        <v>419433.53951405588</v>
      </c>
      <c r="F716" s="202">
        <f>F624</f>
        <v>0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7918393</v>
      </c>
      <c r="N716" s="211" t="s">
        <v>695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35">
      <c r="A2" s="11" t="str">
        <f>MONTH(data!C96) &amp; "-" &amp; DAY(data!C96)</f>
        <v>12-31</v>
      </c>
      <c r="B2" s="201" t="str">
        <f>RIGHT(data!C97, 3)</f>
        <v>925</v>
      </c>
      <c r="C2" s="11" t="str">
        <f>SUBSTITUTE(LEFT(data!C98,49),",","")</f>
        <v>Rainier Springs</v>
      </c>
      <c r="D2" s="11" t="str">
        <f>LEFT(data!C99, 49)</f>
        <v>2805 NE 129th St</v>
      </c>
      <c r="E2" s="11" t="str">
        <f>LEFT(data!C100, 100)</f>
        <v>Vancouver</v>
      </c>
      <c r="F2" s="11" t="str">
        <f>LEFT(data!C101, 2)</f>
        <v>Wa</v>
      </c>
      <c r="G2" s="11" t="str">
        <f>LEFT(data!C102, 100)</f>
        <v>98686-3324</v>
      </c>
      <c r="H2" s="11" t="str">
        <f>LEFT(data!C103, 100)</f>
        <v/>
      </c>
      <c r="I2" s="11" t="str">
        <f>LEFT(data!C104, 49)</f>
        <v>Toni Long</v>
      </c>
      <c r="J2" s="11" t="str">
        <f>LEFT(data!C105, 49)</f>
        <v>Roger Wendel-Oney</v>
      </c>
      <c r="K2" s="11" t="str">
        <f>LEFT(data!C107, 49)</f>
        <v>360-356-1901</v>
      </c>
      <c r="L2" s="11" t="str">
        <f>LEFT(data!C108, 49)</f>
        <v/>
      </c>
      <c r="M2" s="11" t="str">
        <f>LEFT(data!C109, 49)</f>
        <v>Roger Wendel-Oney</v>
      </c>
      <c r="N2" s="11" t="str">
        <f>LEFT(data!C110, 49)</f>
        <v>Roger.Wendel-Oney@lifepointhealth.net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69" customFormat="1" ht="12.65" customHeight="1" x14ac:dyDescent="0.35">
      <c r="A2" s="12" t="str">
        <f>RIGHT(data!C97,3)</f>
        <v>925</v>
      </c>
      <c r="B2" s="200" t="str">
        <f>RIGHT(data!C96,4)</f>
        <v>2023</v>
      </c>
      <c r="C2" s="12" t="s">
        <v>1153</v>
      </c>
      <c r="D2" s="199">
        <f>ROUND(N(data!C181),0)</f>
        <v>917926</v>
      </c>
      <c r="E2" s="199">
        <f>ROUND(N(data!C182),0)</f>
        <v>104594</v>
      </c>
      <c r="F2" s="199">
        <f>ROUND(N(data!C183),0)</f>
        <v>386158</v>
      </c>
      <c r="G2" s="199">
        <f>ROUND(N(data!C184),0)</f>
        <v>739643</v>
      </c>
      <c r="H2" s="199">
        <f>ROUND(N(data!C185),0)</f>
        <v>0</v>
      </c>
      <c r="I2" s="199">
        <f>ROUND(N(data!C186),0)</f>
        <v>55163</v>
      </c>
      <c r="J2" s="199">
        <f>ROUND(N(data!C187)+N(data!C188),0)</f>
        <v>15237</v>
      </c>
      <c r="K2" s="199">
        <f>ROUND(N(data!C191),0)</f>
        <v>0</v>
      </c>
      <c r="L2" s="199">
        <f>ROUND(N(data!C192),0)</f>
        <v>0</v>
      </c>
      <c r="M2" s="199">
        <f>ROUND(N(data!C195),0)</f>
        <v>0</v>
      </c>
      <c r="N2" s="199">
        <f>ROUND(N(data!C196),0)</f>
        <v>0</v>
      </c>
      <c r="O2" s="199">
        <f>ROUND(N(data!C199),0)</f>
        <v>0</v>
      </c>
      <c r="P2" s="199">
        <f>ROUND(N(data!C200),0)</f>
        <v>0</v>
      </c>
      <c r="Q2" s="199">
        <f>ROUND(N(data!C201),0)</f>
        <v>0</v>
      </c>
      <c r="R2" s="199">
        <f>ROUND(N(data!C204),0)</f>
        <v>0</v>
      </c>
      <c r="S2" s="199">
        <f>ROUND(N(data!C205),0)</f>
        <v>3039053</v>
      </c>
      <c r="T2" s="199">
        <f>ROUND(N(data!B211),0)</f>
        <v>3515260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19384740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1107388</v>
      </c>
      <c r="AJ2" s="199">
        <f>ROUND(N(data!C216),0)</f>
        <v>0</v>
      </c>
      <c r="AK2" s="199">
        <f>ROUND(N(data!D216),0)</f>
        <v>0</v>
      </c>
      <c r="AL2" s="199">
        <f>ROUND(N(data!B217),0)</f>
        <v>157214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0</v>
      </c>
      <c r="AS2" s="199">
        <f>ROUND(N(data!C219),0)</f>
        <v>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0</v>
      </c>
      <c r="AY2" s="199">
        <f>ROUND(N(data!C225),0)</f>
        <v>0</v>
      </c>
      <c r="AZ2" s="199">
        <f>ROUND(N(data!D225),0)</f>
        <v>0</v>
      </c>
      <c r="BA2" s="199">
        <f>ROUND(N(data!B226),0)</f>
        <v>1457175</v>
      </c>
      <c r="BB2" s="199">
        <f>ROUND(N(data!C226),0)</f>
        <v>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281624</v>
      </c>
      <c r="BH2" s="199">
        <f>ROUND(N(data!C228),0)</f>
        <v>0</v>
      </c>
      <c r="BI2" s="199">
        <f>ROUND(N(data!D228),0)</f>
        <v>0</v>
      </c>
      <c r="BJ2" s="199">
        <f>ROUND(N(data!B229),0)</f>
        <v>0</v>
      </c>
      <c r="BK2" s="199">
        <f>ROUND(N(data!C229),0)</f>
        <v>0</v>
      </c>
      <c r="BL2" s="199">
        <f>ROUND(N(data!D229),0)</f>
        <v>0</v>
      </c>
      <c r="BM2" s="199">
        <f>ROUND(N(data!B230),0)</f>
        <v>70413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6233879</v>
      </c>
      <c r="BW2" s="199">
        <f>ROUND(N(data!C240),0)</f>
        <v>606939</v>
      </c>
      <c r="BX2" s="199">
        <f>ROUND(N(data!C241),0)</f>
        <v>0</v>
      </c>
      <c r="BY2" s="199">
        <f>ROUND(N(data!C242),0)</f>
        <v>288978</v>
      </c>
      <c r="BZ2" s="199">
        <f>ROUND(N(data!C243),0)</f>
        <v>4353749</v>
      </c>
      <c r="CA2" s="199">
        <f>ROUND(N(data!C244),0)</f>
        <v>39221</v>
      </c>
      <c r="CB2" s="199">
        <f>ROUND(N(data!C247),0)</f>
        <v>140</v>
      </c>
      <c r="CC2" s="199">
        <f>ROUND(N(data!C249),0)</f>
        <v>23084824</v>
      </c>
      <c r="CD2" s="199">
        <f>ROUND(N(data!C250),0)</f>
        <v>916017</v>
      </c>
      <c r="CE2" s="199">
        <f>ROUND(N(data!C254)+N(data!C255),0)</f>
        <v>44600</v>
      </c>
      <c r="CF2" s="199">
        <f>ROUND(N(data!D237),0)</f>
        <v>394388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69" customFormat="1" ht="12.65" customHeight="1" x14ac:dyDescent="0.35">
      <c r="A2" s="12" t="str">
        <f>RIGHT(data!C97,3)</f>
        <v>925</v>
      </c>
      <c r="B2" s="12" t="str">
        <f>RIGHT(data!C96,4)</f>
        <v>2023</v>
      </c>
      <c r="C2" s="12" t="s">
        <v>1153</v>
      </c>
      <c r="D2" s="198">
        <f>ROUND(N(data!C127),0)</f>
        <v>2309</v>
      </c>
      <c r="E2" s="198">
        <f>ROUND(N(data!C128),0)</f>
        <v>0</v>
      </c>
      <c r="F2" s="198">
        <f>ROUND(N(data!C129),0)</f>
        <v>1267</v>
      </c>
      <c r="G2" s="198">
        <f>ROUND(N(data!C130),0)</f>
        <v>0</v>
      </c>
      <c r="H2" s="198">
        <f>ROUND(N(data!D127),0)</f>
        <v>6</v>
      </c>
      <c r="I2" s="198">
        <f>ROUND(N(data!D128),0)</f>
        <v>0</v>
      </c>
      <c r="J2" s="198">
        <f>ROUND(N(data!D129),0)</f>
        <v>4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49</v>
      </c>
      <c r="S2" s="198">
        <f>ROUND(N(data!C139),0)</f>
        <v>0</v>
      </c>
      <c r="T2" s="198">
        <f>ROUND(N(data!C140),0)</f>
        <v>0</v>
      </c>
      <c r="U2" s="198">
        <f>ROUND(N(data!C141),0)</f>
        <v>23</v>
      </c>
      <c r="V2" s="198">
        <f>ROUND(N(data!C142),0)</f>
        <v>0</v>
      </c>
      <c r="W2" s="198">
        <f>ROUND(N(data!C144),0)</f>
        <v>72</v>
      </c>
      <c r="X2" s="198">
        <f>ROUND(N(data!C145),0)</f>
        <v>0</v>
      </c>
      <c r="Y2" s="198">
        <f>ROUND(N(data!B154),0)</f>
        <v>526</v>
      </c>
      <c r="Z2" s="198">
        <f>ROUND(N(data!B155),0)</f>
        <v>3964</v>
      </c>
      <c r="AA2" s="198">
        <f>ROUND(N(data!B156),0)</f>
        <v>983</v>
      </c>
      <c r="AB2" s="198">
        <f>ROUND(N(data!B157),0)</f>
        <v>4389414</v>
      </c>
      <c r="AC2" s="198">
        <f>ROUND(N(data!B158),0)</f>
        <v>295388</v>
      </c>
      <c r="AD2" s="198">
        <f>ROUND(N(data!C154),0)</f>
        <v>2343</v>
      </c>
      <c r="AE2" s="198">
        <f>ROUND(N(data!C155),0)</f>
        <v>13630</v>
      </c>
      <c r="AF2" s="198">
        <f>ROUND(N(data!C156),0)</f>
        <v>1753</v>
      </c>
      <c r="AG2" s="198">
        <f>ROUND(N(data!C157),0)</f>
        <v>13160273</v>
      </c>
      <c r="AH2" s="198">
        <f>ROUND(N(data!C158),0)</f>
        <v>409879</v>
      </c>
      <c r="AI2" s="198">
        <f>ROUND(N(data!D154),0)</f>
        <v>707</v>
      </c>
      <c r="AJ2" s="198">
        <f>ROUND(N(data!D155),0)</f>
        <v>4000</v>
      </c>
      <c r="AK2" s="198">
        <f>ROUND(N(data!D156),0)</f>
        <v>3001</v>
      </c>
      <c r="AL2" s="198">
        <f>ROUND(N(data!D157),0)</f>
        <v>7502701</v>
      </c>
      <c r="AM2" s="198">
        <f>ROUND(N(data!D158),0)</f>
        <v>1590275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1086651</v>
      </c>
      <c r="BS2" s="198">
        <f>ROUND(N(data!C173),0)</f>
        <v>2650785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197" t="s">
        <v>1319</v>
      </c>
      <c r="CR1" s="197" t="s">
        <v>1320</v>
      </c>
      <c r="CS1" s="197" t="s">
        <v>1321</v>
      </c>
      <c r="CT1" s="197" t="s">
        <v>1322</v>
      </c>
      <c r="CU1" s="197" t="s">
        <v>1323</v>
      </c>
      <c r="CV1" s="197" t="s">
        <v>1324</v>
      </c>
      <c r="CW1" s="197" t="s">
        <v>1325</v>
      </c>
      <c r="CX1" s="197" t="s">
        <v>1326</v>
      </c>
      <c r="CY1" s="197" t="s">
        <v>1327</v>
      </c>
      <c r="CZ1" s="197" t="s">
        <v>1328</v>
      </c>
      <c r="DA1" s="197" t="s">
        <v>1329</v>
      </c>
      <c r="DB1" s="197" t="s">
        <v>1330</v>
      </c>
      <c r="DC1" s="197" t="s">
        <v>1331</v>
      </c>
      <c r="DD1" s="197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69" customFormat="1" ht="12.65" customHeight="1" x14ac:dyDescent="0.35">
      <c r="A2" s="199" t="str">
        <f>RIGHT(data!C97,3)</f>
        <v>925</v>
      </c>
      <c r="B2" s="200" t="str">
        <f>RIGHT(data!C96,4)</f>
        <v>2023</v>
      </c>
      <c r="C2" s="12" t="s">
        <v>1153</v>
      </c>
      <c r="D2" s="198">
        <f>ROUND(N(data!C181),0)</f>
        <v>917926</v>
      </c>
      <c r="E2" s="198">
        <f>ROUND(N(data!C267),0)</f>
        <v>0</v>
      </c>
      <c r="F2" s="198">
        <f>ROUND(N(data!C268),0)</f>
        <v>8104747</v>
      </c>
      <c r="G2" s="198">
        <f>ROUND(N(data!C269),0)</f>
        <v>3636953</v>
      </c>
      <c r="H2" s="198">
        <f>ROUND(N(data!C270),0)</f>
        <v>0</v>
      </c>
      <c r="I2" s="198">
        <f>ROUND(N(data!C271),0)</f>
        <v>0</v>
      </c>
      <c r="J2" s="198">
        <f>ROUND(N(data!C272),0)</f>
        <v>0</v>
      </c>
      <c r="K2" s="198">
        <f>ROUND(N(data!C273),0)</f>
        <v>0</v>
      </c>
      <c r="L2" s="198">
        <f>ROUND(N(data!C274),0)</f>
        <v>70575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3750000</v>
      </c>
      <c r="R2" s="198">
        <f>ROUND(N(data!C284),0)</f>
        <v>0</v>
      </c>
      <c r="S2" s="198">
        <f>ROUND(N(data!C285),0)</f>
        <v>32110000</v>
      </c>
      <c r="T2" s="198">
        <f>ROUND(N(data!C286),0)</f>
        <v>0</v>
      </c>
      <c r="U2" s="198">
        <f>ROUND(N(data!C287),0)</f>
        <v>1057054</v>
      </c>
      <c r="V2" s="198">
        <f>ROUND(N(data!C288),0)</f>
        <v>212322</v>
      </c>
      <c r="W2" s="198">
        <f>ROUND(N(data!C289),0)</f>
        <v>37064</v>
      </c>
      <c r="X2" s="198">
        <f>ROUND(N(data!C290),0)</f>
        <v>19900</v>
      </c>
      <c r="Y2" s="198">
        <f>ROUND(N(data!C291),0)</f>
        <v>0</v>
      </c>
      <c r="Z2" s="198">
        <f>ROUND(N(data!C292),0)</f>
        <v>943890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10489480</v>
      </c>
      <c r="AF2" s="198">
        <f>ROUND(N(data!C303),0)</f>
        <v>0</v>
      </c>
      <c r="AG2" s="198">
        <f>ROUND(N(data!C304),0)</f>
        <v>228073</v>
      </c>
      <c r="AH2" s="198">
        <f>ROUND(N(data!C305),0)</f>
        <v>0</v>
      </c>
      <c r="AI2" s="198">
        <f>ROUND(N(data!C314),0)</f>
        <v>311436</v>
      </c>
      <c r="AJ2" s="198">
        <f>ROUND(N(data!C315),0)</f>
        <v>1831522</v>
      </c>
      <c r="AK2" s="198">
        <f>ROUND(N(data!C316),0)</f>
        <v>798684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288704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44665394</v>
      </c>
      <c r="AZ2" s="198">
        <f>ROUND(N(data!C335),0)</f>
        <v>0</v>
      </c>
      <c r="BA2" s="198">
        <f>ROUND(N(data!C336),0)</f>
        <v>4976324</v>
      </c>
      <c r="BB2" s="198">
        <f>ROUND(N(data!C337),0)</f>
        <v>0</v>
      </c>
      <c r="BC2" s="198">
        <f>ROUND(N(data!C338),0)</f>
        <v>120551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-1494245</v>
      </c>
      <c r="BJ2" s="198">
        <f>ROUND(N(data!C349),0)</f>
        <v>0</v>
      </c>
      <c r="BK2" s="198">
        <f>ROUND(N(data!CE60),2)</f>
        <v>140.93</v>
      </c>
      <c r="BL2" s="198">
        <f>ROUND(N(data!C358),0)</f>
        <v>57520439</v>
      </c>
      <c r="BM2" s="198">
        <f>ROUND(N(data!C359),0)</f>
        <v>5790088</v>
      </c>
      <c r="BN2" s="198">
        <f>ROUND(N(data!C363),0)</f>
        <v>12472678</v>
      </c>
      <c r="BO2" s="198">
        <f>ROUND(N(data!C364),0)</f>
        <v>23130913</v>
      </c>
      <c r="BP2" s="198">
        <f>ROUND(N(data!C365),0)</f>
        <v>131899</v>
      </c>
      <c r="BQ2" s="198">
        <f>ROUND(N(data!D381),0)</f>
        <v>1086651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1086651</v>
      </c>
      <c r="CC2" s="198">
        <f>ROUND(N(data!C382),0)</f>
        <v>0</v>
      </c>
      <c r="CD2" s="198">
        <f>ROUND(N(data!C389),0)</f>
        <v>12488885</v>
      </c>
      <c r="CE2" s="198">
        <f>ROUND(N(data!C390),0)</f>
        <v>1971000</v>
      </c>
      <c r="CF2" s="198">
        <f>ROUND(N(data!C391),0)</f>
        <v>571346</v>
      </c>
      <c r="CG2" s="198">
        <f>ROUND(N(data!C392),0)</f>
        <v>391327</v>
      </c>
      <c r="CH2" s="198">
        <f>ROUND(N(data!C393),0)</f>
        <v>0</v>
      </c>
      <c r="CI2" s="198">
        <f>ROUND(N(data!C394),0)</f>
        <v>421364</v>
      </c>
      <c r="CJ2" s="198">
        <f>ROUND(N(data!C395),0)</f>
        <v>1095982</v>
      </c>
      <c r="CK2" s="198">
        <f>ROUND(N(data!C396),0)</f>
        <v>57885</v>
      </c>
      <c r="CL2" s="198">
        <f>ROUND(N(data!C397),0)</f>
        <v>0</v>
      </c>
      <c r="CM2" s="198">
        <f>ROUND(N(data!C398),0)</f>
        <v>0</v>
      </c>
      <c r="CN2" s="198">
        <f>ROUND(N(data!C399),0)</f>
        <v>3039053</v>
      </c>
      <c r="CO2" s="198">
        <f>ROUND(N(data!C362),0)</f>
        <v>227106</v>
      </c>
      <c r="CP2" s="198">
        <f>ROUND(N(data!D415),0)</f>
        <v>8112959</v>
      </c>
      <c r="CQ2" s="52">
        <f>ROUND(N(data!C401),0)</f>
        <v>0</v>
      </c>
      <c r="CR2" s="52">
        <f>ROUND(N(data!C402),0)</f>
        <v>3451940</v>
      </c>
      <c r="CS2" s="52">
        <f>ROUND(N(data!C403),0)</f>
        <v>151675</v>
      </c>
      <c r="CT2" s="52">
        <f>ROUND(N(data!C404),0)</f>
        <v>197561</v>
      </c>
      <c r="CU2" s="52">
        <f>ROUND(N(data!C405),0)</f>
        <v>87442</v>
      </c>
      <c r="CV2" s="52">
        <f>ROUND(N(data!C406),0)</f>
        <v>145791</v>
      </c>
      <c r="CW2" s="52">
        <f>ROUND(N(data!C407),0)</f>
        <v>477880</v>
      </c>
      <c r="CX2" s="52">
        <f>ROUND(N(data!C408),0)</f>
        <v>194878</v>
      </c>
      <c r="CY2" s="52">
        <f>ROUND(N(data!C409),0)</f>
        <v>680285</v>
      </c>
      <c r="CZ2" s="52">
        <f>ROUND(N(data!C410),0)</f>
        <v>47750</v>
      </c>
      <c r="DA2" s="52">
        <f>ROUND(N(data!C411),0)</f>
        <v>51871</v>
      </c>
      <c r="DB2" s="52">
        <f>ROUND(N(data!C412),0)</f>
        <v>2311011</v>
      </c>
      <c r="DC2" s="52">
        <f>ROUND(N(data!C413),0)</f>
        <v>314875</v>
      </c>
      <c r="DD2" s="52">
        <f>ROUND(N(data!C414),0)</f>
        <v>0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69" customFormat="1" ht="12.65" customHeight="1" x14ac:dyDescent="0.35">
      <c r="A2" s="12" t="str">
        <f>RIGHT(data!$C$97,3)</f>
        <v>925</v>
      </c>
      <c r="B2" s="200" t="str">
        <f>RIGHT(data!$C$96,4)</f>
        <v>2023</v>
      </c>
      <c r="C2" s="12" t="str">
        <f>data!C$55</f>
        <v>6010</v>
      </c>
      <c r="D2" s="12" t="s">
        <v>1153</v>
      </c>
      <c r="E2" s="198">
        <f>ROUND(N(data!C59), 0)</f>
        <v>0</v>
      </c>
      <c r="F2" s="314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14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5" customHeight="1" x14ac:dyDescent="0.35">
      <c r="A3" s="12" t="str">
        <f>RIGHT(data!$C$97,3)</f>
        <v>925</v>
      </c>
      <c r="B3" s="200" t="str">
        <f>RIGHT(data!$C$96,4)</f>
        <v>2023</v>
      </c>
      <c r="C3" s="12" t="str">
        <f>data!D$55</f>
        <v>6030</v>
      </c>
      <c r="D3" s="12" t="s">
        <v>1153</v>
      </c>
      <c r="E3" s="198">
        <f>ROUND(N(data!D59), 0)</f>
        <v>0</v>
      </c>
      <c r="F3" s="314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5" customHeight="1" x14ac:dyDescent="0.35">
      <c r="A4" s="12" t="str">
        <f>RIGHT(data!$C$97,3)</f>
        <v>925</v>
      </c>
      <c r="B4" s="200" t="str">
        <f>RIGHT(data!$C$96,4)</f>
        <v>2023</v>
      </c>
      <c r="C4" s="12" t="str">
        <f>data!E$55</f>
        <v>6070</v>
      </c>
      <c r="D4" s="12" t="s">
        <v>1153</v>
      </c>
      <c r="E4" s="198">
        <f>ROUND(N(data!E59), 0)</f>
        <v>0</v>
      </c>
      <c r="F4" s="314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314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5" customHeight="1" x14ac:dyDescent="0.35">
      <c r="A5" s="12" t="str">
        <f>RIGHT(data!$C$97,3)</f>
        <v>925</v>
      </c>
      <c r="B5" s="200" t="str">
        <f>RIGHT(data!$C$96,4)</f>
        <v>2023</v>
      </c>
      <c r="C5" s="12" t="str">
        <f>data!F$55</f>
        <v>6100</v>
      </c>
      <c r="D5" s="12" t="s">
        <v>1153</v>
      </c>
      <c r="E5" s="198">
        <f>ROUND(N(data!F59), 0)</f>
        <v>0</v>
      </c>
      <c r="F5" s="314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4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5" customHeight="1" x14ac:dyDescent="0.35">
      <c r="A6" s="12" t="str">
        <f>RIGHT(data!$C$97,3)</f>
        <v>925</v>
      </c>
      <c r="B6" s="200" t="str">
        <f>RIGHT(data!$C$96,4)</f>
        <v>2023</v>
      </c>
      <c r="C6" s="12" t="str">
        <f>data!G$55</f>
        <v>6120</v>
      </c>
      <c r="D6" s="12" t="s">
        <v>1153</v>
      </c>
      <c r="E6" s="198">
        <f>ROUND(N(data!G59), 0)</f>
        <v>0</v>
      </c>
      <c r="F6" s="314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5" customHeight="1" x14ac:dyDescent="0.35">
      <c r="A7" s="12" t="str">
        <f>RIGHT(data!$C$97,3)</f>
        <v>925</v>
      </c>
      <c r="B7" s="200" t="str">
        <f>RIGHT(data!$C$96,4)</f>
        <v>2023</v>
      </c>
      <c r="C7" s="12" t="str">
        <f>data!H$55</f>
        <v>6140</v>
      </c>
      <c r="D7" s="12" t="s">
        <v>1153</v>
      </c>
      <c r="E7" s="198">
        <f>ROUND(N(data!H59), 0)</f>
        <v>21594</v>
      </c>
      <c r="F7" s="314">
        <f>ROUND(N(data!H60), 2)</f>
        <v>79.61</v>
      </c>
      <c r="G7" s="198">
        <f>ROUND(N(data!H61), 0)</f>
        <v>7067511</v>
      </c>
      <c r="H7" s="198">
        <f>ROUND(N(data!H62), 0)</f>
        <v>1115397</v>
      </c>
      <c r="I7" s="198">
        <f>ROUND(N(data!H63), 0)</f>
        <v>521788</v>
      </c>
      <c r="J7" s="198">
        <f>ROUND(N(data!H64), 0)</f>
        <v>196055</v>
      </c>
      <c r="K7" s="198">
        <f>ROUND(N(data!H65), 0)</f>
        <v>0</v>
      </c>
      <c r="L7" s="198">
        <f>ROUND(N(data!H66), 0)</f>
        <v>275609</v>
      </c>
      <c r="M7" s="198">
        <f>ROUND(N(data!H67), 0)</f>
        <v>0</v>
      </c>
      <c r="N7" s="198">
        <f>ROUND(N(data!H68), 0)</f>
        <v>0</v>
      </c>
      <c r="O7" s="198">
        <f>ROUND(N(data!H69), 0)</f>
        <v>851303</v>
      </c>
      <c r="P7" s="198">
        <f>ROUND(N(data!H70), 0)</f>
        <v>0</v>
      </c>
      <c r="Q7" s="198">
        <f>ROUND(N(data!H71), 0)</f>
        <v>668746</v>
      </c>
      <c r="R7" s="198">
        <f>ROUND(N(data!H72), 0)</f>
        <v>44100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115122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9200</v>
      </c>
      <c r="AA7" s="198">
        <f>ROUND(N(data!H81), 0)</f>
        <v>0</v>
      </c>
      <c r="AB7" s="198">
        <f>ROUND(N(data!H82), 0)</f>
        <v>0</v>
      </c>
      <c r="AC7" s="198">
        <f>ROUND(N(data!H83), 0)</f>
        <v>14135</v>
      </c>
      <c r="AD7" s="198">
        <f>ROUND(N(data!H84), 0)</f>
        <v>0</v>
      </c>
      <c r="AE7" s="198">
        <f>ROUND(N(data!H89), 0)</f>
        <v>61919119</v>
      </c>
      <c r="AF7" s="198">
        <f>ROUND(N(data!H87), 0)</f>
        <v>61919119</v>
      </c>
      <c r="AG7" s="198">
        <f>ROUND(N(data!H90), 0)</f>
        <v>0</v>
      </c>
      <c r="AH7" s="198">
        <f>ROUND(N(data!H91), 0)</f>
        <v>64779</v>
      </c>
      <c r="AI7" s="198">
        <f>ROUND(N(data!H92), 0)</f>
        <v>0</v>
      </c>
      <c r="AJ7" s="198">
        <f>ROUND(N(data!H93), 0)</f>
        <v>0</v>
      </c>
      <c r="AK7" s="314">
        <f>ROUND(N(data!H94), 2)</f>
        <v>69379.25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5" customHeight="1" x14ac:dyDescent="0.35">
      <c r="A8" s="12" t="str">
        <f>RIGHT(data!$C$97,3)</f>
        <v>925</v>
      </c>
      <c r="B8" s="200" t="str">
        <f>RIGHT(data!$C$96,4)</f>
        <v>2023</v>
      </c>
      <c r="C8" s="12" t="str">
        <f>data!I$55</f>
        <v>6150</v>
      </c>
      <c r="D8" s="12" t="s">
        <v>1153</v>
      </c>
      <c r="E8" s="198">
        <f>ROUND(N(data!I59), 0)</f>
        <v>0</v>
      </c>
      <c r="F8" s="314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5" customHeight="1" x14ac:dyDescent="0.35">
      <c r="A9" s="12" t="str">
        <f>RIGHT(data!$C$97,3)</f>
        <v>925</v>
      </c>
      <c r="B9" s="200" t="str">
        <f>RIGHT(data!$C$96,4)</f>
        <v>2023</v>
      </c>
      <c r="C9" s="12" t="str">
        <f>data!J$55</f>
        <v>6170</v>
      </c>
      <c r="D9" s="12" t="s">
        <v>1153</v>
      </c>
      <c r="E9" s="198">
        <f>ROUND(N(data!J59), 0)</f>
        <v>0</v>
      </c>
      <c r="F9" s="314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4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5" customHeight="1" x14ac:dyDescent="0.35">
      <c r="A10" s="12" t="str">
        <f>RIGHT(data!$C$97,3)</f>
        <v>925</v>
      </c>
      <c r="B10" s="200" t="str">
        <f>RIGHT(data!$C$96,4)</f>
        <v>2023</v>
      </c>
      <c r="C10" s="12" t="str">
        <f>data!K$55</f>
        <v>6200</v>
      </c>
      <c r="D10" s="12" t="s">
        <v>1153</v>
      </c>
      <c r="E10" s="198">
        <f>ROUND(N(data!K59), 0)</f>
        <v>0</v>
      </c>
      <c r="F10" s="314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4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5" customHeight="1" x14ac:dyDescent="0.35">
      <c r="A11" s="12" t="str">
        <f>RIGHT(data!$C$97,3)</f>
        <v>925</v>
      </c>
      <c r="B11" s="200" t="str">
        <f>RIGHT(data!$C$96,4)</f>
        <v>2023</v>
      </c>
      <c r="C11" s="12" t="str">
        <f>data!L$55</f>
        <v>6210</v>
      </c>
      <c r="D11" s="12" t="s">
        <v>1153</v>
      </c>
      <c r="E11" s="198">
        <f>ROUND(N(data!L59), 0)</f>
        <v>0</v>
      </c>
      <c r="F11" s="314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4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5" customHeight="1" x14ac:dyDescent="0.35">
      <c r="A12" s="12" t="str">
        <f>RIGHT(data!$C$97,3)</f>
        <v>925</v>
      </c>
      <c r="B12" s="200" t="str">
        <f>RIGHT(data!$C$96,4)</f>
        <v>2023</v>
      </c>
      <c r="C12" s="12" t="str">
        <f>data!M$55</f>
        <v>6330</v>
      </c>
      <c r="D12" s="12" t="s">
        <v>1153</v>
      </c>
      <c r="E12" s="198">
        <f>ROUND(N(data!M59), 0)</f>
        <v>0</v>
      </c>
      <c r="F12" s="314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5" customHeight="1" x14ac:dyDescent="0.35">
      <c r="A13" s="12" t="str">
        <f>RIGHT(data!$C$97,3)</f>
        <v>925</v>
      </c>
      <c r="B13" s="200" t="str">
        <f>RIGHT(data!$C$96,4)</f>
        <v>2023</v>
      </c>
      <c r="C13" s="12" t="str">
        <f>data!N$55</f>
        <v>6400</v>
      </c>
      <c r="D13" s="12" t="s">
        <v>1153</v>
      </c>
      <c r="E13" s="198">
        <f>ROUND(N(data!N59), 0)</f>
        <v>0</v>
      </c>
      <c r="F13" s="314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5" customHeight="1" x14ac:dyDescent="0.35">
      <c r="A14" s="12" t="str">
        <f>RIGHT(data!$C$97,3)</f>
        <v>925</v>
      </c>
      <c r="B14" s="200" t="str">
        <f>RIGHT(data!$C$96,4)</f>
        <v>2023</v>
      </c>
      <c r="C14" s="12" t="str">
        <f>data!O$55</f>
        <v>7010</v>
      </c>
      <c r="D14" s="12" t="s">
        <v>1153</v>
      </c>
      <c r="E14" s="198">
        <f>ROUND(N(data!O59), 0)</f>
        <v>0</v>
      </c>
      <c r="F14" s="314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314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5" customHeight="1" x14ac:dyDescent="0.35">
      <c r="A15" s="12" t="str">
        <f>RIGHT(data!$C$97,3)</f>
        <v>925</v>
      </c>
      <c r="B15" s="200" t="str">
        <f>RIGHT(data!$C$96,4)</f>
        <v>2023</v>
      </c>
      <c r="C15" s="12" t="str">
        <f>data!P$55</f>
        <v>7020</v>
      </c>
      <c r="D15" s="12" t="s">
        <v>1153</v>
      </c>
      <c r="E15" s="198">
        <f>ROUND(N(data!P59), 0)</f>
        <v>0</v>
      </c>
      <c r="F15" s="314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314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5" customHeight="1" x14ac:dyDescent="0.35">
      <c r="A16" s="12" t="str">
        <f>RIGHT(data!$C$97,3)</f>
        <v>925</v>
      </c>
      <c r="B16" s="200" t="str">
        <f>RIGHT(data!$C$96,4)</f>
        <v>2023</v>
      </c>
      <c r="C16" s="12" t="str">
        <f>data!Q$55</f>
        <v>7030</v>
      </c>
      <c r="D16" s="12" t="s">
        <v>1153</v>
      </c>
      <c r="E16" s="198">
        <f>ROUND(N(data!Q59), 0)</f>
        <v>0</v>
      </c>
      <c r="F16" s="314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314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5" customHeight="1" x14ac:dyDescent="0.35">
      <c r="A17" s="12" t="str">
        <f>RIGHT(data!$C$97,3)</f>
        <v>925</v>
      </c>
      <c r="B17" s="200" t="str">
        <f>RIGHT(data!$C$96,4)</f>
        <v>2023</v>
      </c>
      <c r="C17" s="12" t="str">
        <f>data!R$55</f>
        <v>7040</v>
      </c>
      <c r="D17" s="12" t="s">
        <v>1153</v>
      </c>
      <c r="E17" s="198">
        <f>ROUND(N(data!R59), 0)</f>
        <v>0</v>
      </c>
      <c r="F17" s="314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14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5" customHeight="1" x14ac:dyDescent="0.35">
      <c r="A18" s="12" t="str">
        <f>RIGHT(data!$C$97,3)</f>
        <v>925</v>
      </c>
      <c r="B18" s="200" t="str">
        <f>RIGHT(data!$C$96,4)</f>
        <v>2023</v>
      </c>
      <c r="C18" s="12" t="str">
        <f>data!S$55</f>
        <v>7050</v>
      </c>
      <c r="D18" s="12" t="s">
        <v>1153</v>
      </c>
      <c r="E18" s="198">
        <f>ROUND(N(data!S59), 0)</f>
        <v>0</v>
      </c>
      <c r="F18" s="314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314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5" customHeight="1" x14ac:dyDescent="0.35">
      <c r="A19" s="12" t="str">
        <f>RIGHT(data!$C$97,3)</f>
        <v>925</v>
      </c>
      <c r="B19" s="200" t="str">
        <f>RIGHT(data!$C$96,4)</f>
        <v>2023</v>
      </c>
      <c r="C19" s="12" t="str">
        <f>data!T$55</f>
        <v>7060</v>
      </c>
      <c r="D19" s="12" t="s">
        <v>1153</v>
      </c>
      <c r="E19" s="198">
        <f>ROUND(N(data!T59), 0)</f>
        <v>0</v>
      </c>
      <c r="F19" s="314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4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5" customHeight="1" x14ac:dyDescent="0.35">
      <c r="A20" s="12" t="str">
        <f>RIGHT(data!$C$97,3)</f>
        <v>925</v>
      </c>
      <c r="B20" s="200" t="str">
        <f>RIGHT(data!$C$96,4)</f>
        <v>2023</v>
      </c>
      <c r="C20" s="12" t="str">
        <f>data!U$55</f>
        <v>7070</v>
      </c>
      <c r="D20" s="12" t="s">
        <v>1153</v>
      </c>
      <c r="E20" s="198">
        <f>ROUND(N(data!U59), 0)</f>
        <v>0</v>
      </c>
      <c r="F20" s="314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0</v>
      </c>
      <c r="M20" s="198">
        <f>ROUND(N(data!U67), 0)</f>
        <v>0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5" customHeight="1" x14ac:dyDescent="0.35">
      <c r="A21" s="12" t="str">
        <f>RIGHT(data!$C$97,3)</f>
        <v>925</v>
      </c>
      <c r="B21" s="200" t="str">
        <f>RIGHT(data!$C$96,4)</f>
        <v>2023</v>
      </c>
      <c r="C21" s="12" t="str">
        <f>data!V$55</f>
        <v>7110</v>
      </c>
      <c r="D21" s="12" t="s">
        <v>1153</v>
      </c>
      <c r="E21" s="198">
        <f>ROUND(N(data!V59), 0)</f>
        <v>0</v>
      </c>
      <c r="F21" s="314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5" customHeight="1" x14ac:dyDescent="0.35">
      <c r="A22" s="12" t="str">
        <f>RIGHT(data!$C$97,3)</f>
        <v>925</v>
      </c>
      <c r="B22" s="200" t="str">
        <f>RIGHT(data!$C$96,4)</f>
        <v>2023</v>
      </c>
      <c r="C22" s="12" t="str">
        <f>data!W$55</f>
        <v>7120</v>
      </c>
      <c r="D22" s="12" t="s">
        <v>1153</v>
      </c>
      <c r="E22" s="198">
        <f>ROUND(N(data!W59), 0)</f>
        <v>0</v>
      </c>
      <c r="F22" s="314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5" customHeight="1" x14ac:dyDescent="0.35">
      <c r="A23" s="12" t="str">
        <f>RIGHT(data!$C$97,3)</f>
        <v>925</v>
      </c>
      <c r="B23" s="200" t="str">
        <f>RIGHT(data!$C$96,4)</f>
        <v>2023</v>
      </c>
      <c r="C23" s="12" t="str">
        <f>data!X$55</f>
        <v>7130</v>
      </c>
      <c r="D23" s="12" t="s">
        <v>1153</v>
      </c>
      <c r="E23" s="198">
        <f>ROUND(N(data!X59), 0)</f>
        <v>0</v>
      </c>
      <c r="F23" s="314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5" customHeight="1" x14ac:dyDescent="0.35">
      <c r="A24" s="12" t="str">
        <f>RIGHT(data!$C$97,3)</f>
        <v>925</v>
      </c>
      <c r="B24" s="200" t="str">
        <f>RIGHT(data!$C$96,4)</f>
        <v>2023</v>
      </c>
      <c r="C24" s="12" t="str">
        <f>data!Y$55</f>
        <v>7140</v>
      </c>
      <c r="D24" s="12" t="s">
        <v>1153</v>
      </c>
      <c r="E24" s="198">
        <f>ROUND(N(data!Y59), 0)</f>
        <v>0</v>
      </c>
      <c r="F24" s="314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0</v>
      </c>
      <c r="M24" s="198">
        <f>ROUND(N(data!Y67), 0)</f>
        <v>0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0</v>
      </c>
      <c r="AF24" s="198">
        <f>ROUND(N(data!Y87), 0)</f>
        <v>0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314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5" customHeight="1" x14ac:dyDescent="0.35">
      <c r="A25" s="12" t="str">
        <f>RIGHT(data!$C$97,3)</f>
        <v>925</v>
      </c>
      <c r="B25" s="200" t="str">
        <f>RIGHT(data!$C$96,4)</f>
        <v>2023</v>
      </c>
      <c r="C25" s="12" t="str">
        <f>data!Z$55</f>
        <v>7150</v>
      </c>
      <c r="D25" s="12" t="s">
        <v>1153</v>
      </c>
      <c r="E25" s="198">
        <f>ROUND(N(data!Z59), 0)</f>
        <v>0</v>
      </c>
      <c r="F25" s="314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4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5" customHeight="1" x14ac:dyDescent="0.35">
      <c r="A26" s="12" t="str">
        <f>RIGHT(data!$C$97,3)</f>
        <v>925</v>
      </c>
      <c r="B26" s="200" t="str">
        <f>RIGHT(data!$C$96,4)</f>
        <v>2023</v>
      </c>
      <c r="C26" s="12" t="str">
        <f>data!AA$55</f>
        <v>7160</v>
      </c>
      <c r="D26" s="12" t="s">
        <v>1153</v>
      </c>
      <c r="E26" s="198">
        <f>ROUND(N(data!AA59), 0)</f>
        <v>0</v>
      </c>
      <c r="F26" s="314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5" customHeight="1" x14ac:dyDescent="0.35">
      <c r="A27" s="12" t="str">
        <f>RIGHT(data!$C$97,3)</f>
        <v>925</v>
      </c>
      <c r="B27" s="200" t="str">
        <f>RIGHT(data!$C$96,4)</f>
        <v>2023</v>
      </c>
      <c r="C27" s="12" t="str">
        <f>data!AB$55</f>
        <v>7170</v>
      </c>
      <c r="D27" s="12" t="s">
        <v>1153</v>
      </c>
      <c r="E27" s="198">
        <f>ROUND(N(data!AB59), 0)</f>
        <v>0</v>
      </c>
      <c r="F27" s="314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0</v>
      </c>
      <c r="J27" s="198">
        <f>ROUND(N(data!AB64), 0)</f>
        <v>0</v>
      </c>
      <c r="K27" s="198">
        <f>ROUND(N(data!AB65), 0)</f>
        <v>0</v>
      </c>
      <c r="L27" s="198">
        <f>ROUND(N(data!AB66), 0)</f>
        <v>0</v>
      </c>
      <c r="M27" s="198">
        <f>ROUND(N(data!AB67), 0)</f>
        <v>0</v>
      </c>
      <c r="N27" s="198">
        <f>ROUND(N(data!AB68), 0)</f>
        <v>0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0</v>
      </c>
      <c r="AF27" s="198">
        <f>ROUND(N(data!AB87), 0)</f>
        <v>0</v>
      </c>
      <c r="AG27" s="198">
        <f>ROUND(N(data!AB90), 0)</f>
        <v>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314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5" customHeight="1" x14ac:dyDescent="0.35">
      <c r="A28" s="12" t="str">
        <f>RIGHT(data!$C$97,3)</f>
        <v>925</v>
      </c>
      <c r="B28" s="200" t="str">
        <f>RIGHT(data!$C$96,4)</f>
        <v>2023</v>
      </c>
      <c r="C28" s="12" t="str">
        <f>data!AC$55</f>
        <v>7180</v>
      </c>
      <c r="D28" s="12" t="s">
        <v>1153</v>
      </c>
      <c r="E28" s="198">
        <f>ROUND(N(data!AC59), 0)</f>
        <v>0</v>
      </c>
      <c r="F28" s="314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314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5" customHeight="1" x14ac:dyDescent="0.35">
      <c r="A29" s="12" t="str">
        <f>RIGHT(data!$C$97,3)</f>
        <v>925</v>
      </c>
      <c r="B29" s="200" t="str">
        <f>RIGHT(data!$C$96,4)</f>
        <v>2023</v>
      </c>
      <c r="C29" s="12" t="str">
        <f>data!AD$55</f>
        <v>7190</v>
      </c>
      <c r="D29" s="12" t="s">
        <v>1153</v>
      </c>
      <c r="E29" s="198">
        <f>ROUND(N(data!AD59), 0)</f>
        <v>0</v>
      </c>
      <c r="F29" s="314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5" customHeight="1" x14ac:dyDescent="0.35">
      <c r="A30" s="12" t="str">
        <f>RIGHT(data!$C$97,3)</f>
        <v>925</v>
      </c>
      <c r="B30" s="200" t="str">
        <f>RIGHT(data!$C$96,4)</f>
        <v>2023</v>
      </c>
      <c r="C30" s="12" t="str">
        <f>data!AE$55</f>
        <v>7200</v>
      </c>
      <c r="D30" s="12" t="s">
        <v>1153</v>
      </c>
      <c r="E30" s="198">
        <f>ROUND(N(data!AE59), 0)</f>
        <v>0</v>
      </c>
      <c r="F30" s="314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314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5" customHeight="1" x14ac:dyDescent="0.35">
      <c r="A31" s="12" t="str">
        <f>RIGHT(data!$C$97,3)</f>
        <v>925</v>
      </c>
      <c r="B31" s="200" t="str">
        <f>RIGHT(data!$C$96,4)</f>
        <v>2023</v>
      </c>
      <c r="C31" s="12" t="str">
        <f>data!AF$55</f>
        <v>7220</v>
      </c>
      <c r="D31" s="12" t="s">
        <v>1153</v>
      </c>
      <c r="E31" s="198">
        <f>ROUND(N(data!AF59), 0)</f>
        <v>0</v>
      </c>
      <c r="F31" s="314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5" customHeight="1" x14ac:dyDescent="0.35">
      <c r="A32" s="12" t="str">
        <f>RIGHT(data!$C$97,3)</f>
        <v>925</v>
      </c>
      <c r="B32" s="200" t="str">
        <f>RIGHT(data!$C$96,4)</f>
        <v>2023</v>
      </c>
      <c r="C32" s="12" t="str">
        <f>data!AG$55</f>
        <v>7230</v>
      </c>
      <c r="D32" s="12" t="s">
        <v>1153</v>
      </c>
      <c r="E32" s="198">
        <f>ROUND(N(data!AG59), 0)</f>
        <v>0</v>
      </c>
      <c r="F32" s="314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314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5" customHeight="1" x14ac:dyDescent="0.35">
      <c r="A33" s="12" t="str">
        <f>RIGHT(data!$C$97,3)</f>
        <v>925</v>
      </c>
      <c r="B33" s="200" t="str">
        <f>RIGHT(data!$C$96,4)</f>
        <v>2023</v>
      </c>
      <c r="C33" s="12" t="str">
        <f>data!AH$55</f>
        <v>7240</v>
      </c>
      <c r="D33" s="12" t="s">
        <v>1153</v>
      </c>
      <c r="E33" s="198">
        <f>ROUND(N(data!AH59), 0)</f>
        <v>0</v>
      </c>
      <c r="F33" s="314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5" customHeight="1" x14ac:dyDescent="0.35">
      <c r="A34" s="12" t="str">
        <f>RIGHT(data!$C$97,3)</f>
        <v>925</v>
      </c>
      <c r="B34" s="200" t="str">
        <f>RIGHT(data!$C$96,4)</f>
        <v>2023</v>
      </c>
      <c r="C34" s="12" t="str">
        <f>data!AI$55</f>
        <v>7250</v>
      </c>
      <c r="D34" s="12" t="s">
        <v>1153</v>
      </c>
      <c r="E34" s="198">
        <f>ROUND(N(data!AI59), 0)</f>
        <v>0</v>
      </c>
      <c r="F34" s="314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5" customHeight="1" x14ac:dyDescent="0.35">
      <c r="A35" s="12" t="str">
        <f>RIGHT(data!$C$97,3)</f>
        <v>925</v>
      </c>
      <c r="B35" s="200" t="str">
        <f>RIGHT(data!$C$96,4)</f>
        <v>2023</v>
      </c>
      <c r="C35" s="12" t="str">
        <f>data!AJ$55</f>
        <v>7260</v>
      </c>
      <c r="D35" s="12" t="s">
        <v>1153</v>
      </c>
      <c r="E35" s="198">
        <f>ROUND(N(data!AJ59), 0)</f>
        <v>0</v>
      </c>
      <c r="F35" s="314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314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5" customHeight="1" x14ac:dyDescent="0.35">
      <c r="A36" s="12" t="str">
        <f>RIGHT(data!$C$97,3)</f>
        <v>925</v>
      </c>
      <c r="B36" s="200" t="str">
        <f>RIGHT(data!$C$96,4)</f>
        <v>2023</v>
      </c>
      <c r="C36" s="12" t="str">
        <f>data!AK$55</f>
        <v>7310</v>
      </c>
      <c r="D36" s="12" t="s">
        <v>1153</v>
      </c>
      <c r="E36" s="198">
        <f>ROUND(N(data!AK59), 0)</f>
        <v>0</v>
      </c>
      <c r="F36" s="314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5" customHeight="1" x14ac:dyDescent="0.35">
      <c r="A37" s="12" t="str">
        <f>RIGHT(data!$C$97,3)</f>
        <v>925</v>
      </c>
      <c r="B37" s="200" t="str">
        <f>RIGHT(data!$C$96,4)</f>
        <v>2023</v>
      </c>
      <c r="C37" s="12" t="str">
        <f>data!AL$55</f>
        <v>7320</v>
      </c>
      <c r="D37" s="12" t="s">
        <v>1153</v>
      </c>
      <c r="E37" s="198">
        <f>ROUND(N(data!AL59), 0)</f>
        <v>0</v>
      </c>
      <c r="F37" s="314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5" customHeight="1" x14ac:dyDescent="0.35">
      <c r="A38" s="12" t="str">
        <f>RIGHT(data!$C$97,3)</f>
        <v>925</v>
      </c>
      <c r="B38" s="200" t="str">
        <f>RIGHT(data!$C$96,4)</f>
        <v>2023</v>
      </c>
      <c r="C38" s="12" t="str">
        <f>data!AM$55</f>
        <v>7330</v>
      </c>
      <c r="D38" s="12" t="s">
        <v>1153</v>
      </c>
      <c r="E38" s="198">
        <f>ROUND(N(data!AM59), 0)</f>
        <v>0</v>
      </c>
      <c r="F38" s="314">
        <f>ROUND(N(data!AM60), 2)</f>
        <v>2.19</v>
      </c>
      <c r="G38" s="198">
        <f>ROUND(N(data!AM61), 0)</f>
        <v>156632</v>
      </c>
      <c r="H38" s="198">
        <f>ROUND(N(data!AM62), 0)</f>
        <v>24720</v>
      </c>
      <c r="I38" s="198">
        <f>ROUND(N(data!AM63), 0)</f>
        <v>0</v>
      </c>
      <c r="J38" s="198">
        <f>ROUND(N(data!AM64), 0)</f>
        <v>1639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18327</v>
      </c>
      <c r="P38" s="198">
        <f>ROUND(N(data!AM70), 0)</f>
        <v>0</v>
      </c>
      <c r="Q38" s="198">
        <f>ROUND(N(data!AM71), 0)</f>
        <v>4620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13532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175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5" customHeight="1" x14ac:dyDescent="0.35">
      <c r="A39" s="12" t="str">
        <f>RIGHT(data!$C$97,3)</f>
        <v>925</v>
      </c>
      <c r="B39" s="200" t="str">
        <f>RIGHT(data!$C$96,4)</f>
        <v>2023</v>
      </c>
      <c r="C39" s="12" t="str">
        <f>data!AN$55</f>
        <v>7340</v>
      </c>
      <c r="D39" s="12" t="s">
        <v>1153</v>
      </c>
      <c r="E39" s="198">
        <f>ROUND(N(data!AN59), 0)</f>
        <v>0</v>
      </c>
      <c r="F39" s="314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5" customHeight="1" x14ac:dyDescent="0.35">
      <c r="A40" s="12" t="str">
        <f>RIGHT(data!$C$97,3)</f>
        <v>925</v>
      </c>
      <c r="B40" s="200" t="str">
        <f>RIGHT(data!$C$96,4)</f>
        <v>2023</v>
      </c>
      <c r="C40" s="12" t="str">
        <f>data!AO$55</f>
        <v>7350</v>
      </c>
      <c r="D40" s="12" t="s">
        <v>1153</v>
      </c>
      <c r="E40" s="198">
        <f>ROUND(N(data!AO59), 0)</f>
        <v>0</v>
      </c>
      <c r="F40" s="314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5" customHeight="1" x14ac:dyDescent="0.35">
      <c r="A41" s="12" t="str">
        <f>RIGHT(data!$C$97,3)</f>
        <v>925</v>
      </c>
      <c r="B41" s="200" t="str">
        <f>RIGHT(data!$C$96,4)</f>
        <v>2023</v>
      </c>
      <c r="C41" s="12" t="str">
        <f>data!AP$55</f>
        <v>7380</v>
      </c>
      <c r="D41" s="12" t="s">
        <v>1153</v>
      </c>
      <c r="E41" s="198">
        <f>ROUND(N(data!AP59), 0)</f>
        <v>0</v>
      </c>
      <c r="F41" s="314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4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5" customHeight="1" x14ac:dyDescent="0.35">
      <c r="A42" s="12" t="str">
        <f>RIGHT(data!$C$97,3)</f>
        <v>925</v>
      </c>
      <c r="B42" s="200" t="str">
        <f>RIGHT(data!$C$96,4)</f>
        <v>2023</v>
      </c>
      <c r="C42" s="12" t="str">
        <f>data!AQ$55</f>
        <v>7390</v>
      </c>
      <c r="D42" s="12" t="s">
        <v>1153</v>
      </c>
      <c r="E42" s="198">
        <f>ROUND(N(data!AQ59), 0)</f>
        <v>0</v>
      </c>
      <c r="F42" s="314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5" customHeight="1" x14ac:dyDescent="0.35">
      <c r="A43" s="12" t="str">
        <f>RIGHT(data!$C$97,3)</f>
        <v>925</v>
      </c>
      <c r="B43" s="200" t="str">
        <f>RIGHT(data!$C$96,4)</f>
        <v>2023</v>
      </c>
      <c r="C43" s="12" t="str">
        <f>data!AR$55</f>
        <v>7400</v>
      </c>
      <c r="D43" s="12" t="s">
        <v>1153</v>
      </c>
      <c r="E43" s="198">
        <f>ROUND(N(data!AR59), 0)</f>
        <v>0</v>
      </c>
      <c r="F43" s="314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5" customHeight="1" x14ac:dyDescent="0.35">
      <c r="A44" s="12" t="str">
        <f>RIGHT(data!$C$97,3)</f>
        <v>925</v>
      </c>
      <c r="B44" s="200" t="str">
        <f>RIGHT(data!$C$96,4)</f>
        <v>2023</v>
      </c>
      <c r="C44" s="12" t="str">
        <f>data!AS$55</f>
        <v>7410</v>
      </c>
      <c r="D44" s="12" t="s">
        <v>1153</v>
      </c>
      <c r="E44" s="198">
        <f>ROUND(N(data!AS59), 0)</f>
        <v>0</v>
      </c>
      <c r="F44" s="314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5" customHeight="1" x14ac:dyDescent="0.35">
      <c r="A45" s="12" t="str">
        <f>RIGHT(data!$C$97,3)</f>
        <v>925</v>
      </c>
      <c r="B45" s="200" t="str">
        <f>RIGHT(data!$C$96,4)</f>
        <v>2023</v>
      </c>
      <c r="C45" s="12" t="str">
        <f>data!AT$55</f>
        <v>7420</v>
      </c>
      <c r="D45" s="12" t="s">
        <v>1153</v>
      </c>
      <c r="E45" s="198">
        <f>ROUND(N(data!AT59), 0)</f>
        <v>0</v>
      </c>
      <c r="F45" s="314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4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5" customHeight="1" x14ac:dyDescent="0.35">
      <c r="A46" s="12" t="str">
        <f>RIGHT(data!$C$97,3)</f>
        <v>925</v>
      </c>
      <c r="B46" s="200" t="str">
        <f>RIGHT(data!$C$96,4)</f>
        <v>2023</v>
      </c>
      <c r="C46" s="12" t="str">
        <f>data!AU$55</f>
        <v>7430</v>
      </c>
      <c r="D46" s="12" t="s">
        <v>1153</v>
      </c>
      <c r="E46" s="198">
        <f>ROUND(N(data!AU59), 0)</f>
        <v>5737</v>
      </c>
      <c r="F46" s="314">
        <f>ROUND(N(data!AU60), 2)</f>
        <v>7.9</v>
      </c>
      <c r="G46" s="198">
        <f>ROUND(N(data!AU61), 0)</f>
        <v>643117</v>
      </c>
      <c r="H46" s="198">
        <f>ROUND(N(data!AU62), 0)</f>
        <v>101497</v>
      </c>
      <c r="I46" s="198">
        <f>ROUND(N(data!AU63), 0)</f>
        <v>0</v>
      </c>
      <c r="J46" s="198">
        <f>ROUND(N(data!AU64), 0)</f>
        <v>1654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316349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20245</v>
      </c>
      <c r="W46" s="198">
        <f>ROUND(N(data!AU77), 0)</f>
        <v>0</v>
      </c>
      <c r="X46" s="198">
        <f>ROUND(N(data!AU78), 0)</f>
        <v>271174</v>
      </c>
      <c r="Y46" s="198">
        <f>ROUND(N(data!AU79), 0)</f>
        <v>0</v>
      </c>
      <c r="Z46" s="198">
        <f>ROUND(N(data!AU80), 0)</f>
        <v>1254</v>
      </c>
      <c r="AA46" s="198">
        <f>ROUND(N(data!AU81), 0)</f>
        <v>0</v>
      </c>
      <c r="AB46" s="198">
        <f>ROUND(N(data!AU82), 0)</f>
        <v>1575</v>
      </c>
      <c r="AC46" s="198">
        <f>ROUND(N(data!AU83), 0)</f>
        <v>22101</v>
      </c>
      <c r="AD46" s="198">
        <f>ROUND(N(data!AU84), 0)</f>
        <v>0</v>
      </c>
      <c r="AE46" s="198">
        <f>ROUND(N(data!AU89), 0)</f>
        <v>5790088</v>
      </c>
      <c r="AF46" s="198">
        <f>ROUND(N(data!AU87), 0)</f>
        <v>0</v>
      </c>
      <c r="AG46" s="198">
        <f>ROUND(N(data!AU90), 0)</f>
        <v>0</v>
      </c>
      <c r="AH46" s="198">
        <f>ROUND(N(data!AU91), 0)</f>
        <v>2422</v>
      </c>
      <c r="AI46" s="198">
        <f>ROUND(N(data!AU92), 0)</f>
        <v>0</v>
      </c>
      <c r="AJ46" s="198">
        <f>ROUND(N(data!AU93), 0)</f>
        <v>0</v>
      </c>
      <c r="AK46" s="314">
        <f>ROUND(N(data!AU94), 2)</f>
        <v>415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5" customHeight="1" x14ac:dyDescent="0.35">
      <c r="A47" s="12" t="str">
        <f>RIGHT(data!$C$97,3)</f>
        <v>925</v>
      </c>
      <c r="B47" s="200" t="str">
        <f>RIGHT(data!$C$96,4)</f>
        <v>2023</v>
      </c>
      <c r="C47" s="12" t="str">
        <f>data!AV$55</f>
        <v>7490</v>
      </c>
      <c r="D47" s="12" t="s">
        <v>1153</v>
      </c>
      <c r="E47" s="198">
        <f>ROUND(N(data!AV59), 0)</f>
        <v>0</v>
      </c>
      <c r="F47" s="314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314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5" customHeight="1" x14ac:dyDescent="0.35">
      <c r="A48" s="12" t="str">
        <f>RIGHT(data!$C$97,3)</f>
        <v>925</v>
      </c>
      <c r="B48" s="200" t="str">
        <f>RIGHT(data!$C$96,4)</f>
        <v>2023</v>
      </c>
      <c r="C48" s="12" t="str">
        <f>data!AW$55</f>
        <v>8200</v>
      </c>
      <c r="D48" s="12" t="s">
        <v>1153</v>
      </c>
      <c r="E48" s="198">
        <f>ROUND(N(data!AW59), 0)</f>
        <v>0</v>
      </c>
      <c r="F48" s="314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5" customHeight="1" x14ac:dyDescent="0.35">
      <c r="A49" s="12" t="str">
        <f>RIGHT(data!$C$97,3)</f>
        <v>925</v>
      </c>
      <c r="B49" s="200" t="str">
        <f>RIGHT(data!$C$96,4)</f>
        <v>2023</v>
      </c>
      <c r="C49" s="12" t="str">
        <f>data!AX$55</f>
        <v>8310</v>
      </c>
      <c r="D49" s="12" t="s">
        <v>1153</v>
      </c>
      <c r="E49" s="198">
        <f>ROUND(N(data!AX59), 0)</f>
        <v>0</v>
      </c>
      <c r="F49" s="314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5" customHeight="1" x14ac:dyDescent="0.35">
      <c r="A50" s="12" t="str">
        <f>RIGHT(data!$C$97,3)</f>
        <v>925</v>
      </c>
      <c r="B50" s="200" t="str">
        <f>RIGHT(data!$C$96,4)</f>
        <v>2023</v>
      </c>
      <c r="C50" s="12" t="str">
        <f>data!AY$55</f>
        <v>8320</v>
      </c>
      <c r="D50" s="12" t="s">
        <v>1153</v>
      </c>
      <c r="E50" s="198">
        <f>ROUND(N(data!AY59), 0)</f>
        <v>68889</v>
      </c>
      <c r="F50" s="314">
        <f>ROUND(N(data!AY60), 2)</f>
        <v>5.95</v>
      </c>
      <c r="G50" s="198">
        <f>ROUND(N(data!AY61), 0)</f>
        <v>290692</v>
      </c>
      <c r="H50" s="198">
        <f>ROUND(N(data!AY62), 0)</f>
        <v>45877</v>
      </c>
      <c r="I50" s="198">
        <f>ROUND(N(data!AY63), 0)</f>
        <v>0</v>
      </c>
      <c r="J50" s="198">
        <f>ROUND(N(data!AY64), 0)</f>
        <v>27254</v>
      </c>
      <c r="K50" s="198">
        <f>ROUND(N(data!AY65), 0)</f>
        <v>0</v>
      </c>
      <c r="L50" s="198">
        <f>ROUND(N(data!AY66), 0)</f>
        <v>0</v>
      </c>
      <c r="M50" s="198">
        <f>ROUND(N(data!AY67), 0)</f>
        <v>0</v>
      </c>
      <c r="N50" s="198">
        <f>ROUND(N(data!AY68), 0)</f>
        <v>0</v>
      </c>
      <c r="O50" s="198">
        <f>ROUND(N(data!AY69), 0)</f>
        <v>348007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3087</v>
      </c>
      <c r="W50" s="198">
        <f>ROUND(N(data!AY77), 0)</f>
        <v>2552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342368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5" customHeight="1" x14ac:dyDescent="0.35">
      <c r="A51" s="12" t="str">
        <f>RIGHT(data!$C$97,3)</f>
        <v>925</v>
      </c>
      <c r="B51" s="200" t="str">
        <f>RIGHT(data!$C$96,4)</f>
        <v>2023</v>
      </c>
      <c r="C51" s="12" t="str">
        <f>data!AZ$55</f>
        <v>8330</v>
      </c>
      <c r="D51" s="12" t="s">
        <v>1153</v>
      </c>
      <c r="E51" s="198">
        <f>ROUND(N(data!AZ59), 0)</f>
        <v>0</v>
      </c>
      <c r="F51" s="314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5" customHeight="1" x14ac:dyDescent="0.35">
      <c r="A52" s="12" t="str">
        <f>RIGHT(data!$C$97,3)</f>
        <v>925</v>
      </c>
      <c r="B52" s="200" t="str">
        <f>RIGHT(data!$C$96,4)</f>
        <v>2023</v>
      </c>
      <c r="C52" s="12" t="str">
        <f>data!BA$55</f>
        <v>8350</v>
      </c>
      <c r="D52" s="12" t="s">
        <v>1153</v>
      </c>
      <c r="E52" s="198">
        <f>ROUND(N(data!BA59), 0)</f>
        <v>0</v>
      </c>
      <c r="F52" s="314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5" customHeight="1" x14ac:dyDescent="0.35">
      <c r="A53" s="12" t="str">
        <f>RIGHT(data!$C$97,3)</f>
        <v>925</v>
      </c>
      <c r="B53" s="200" t="str">
        <f>RIGHT(data!$C$96,4)</f>
        <v>2023</v>
      </c>
      <c r="C53" s="12" t="str">
        <f>data!BB$55</f>
        <v>8360</v>
      </c>
      <c r="D53" s="12" t="s">
        <v>1153</v>
      </c>
      <c r="E53" s="198">
        <f>ROUND(N(data!BB59), 0)</f>
        <v>0</v>
      </c>
      <c r="F53" s="314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5" customHeight="1" x14ac:dyDescent="0.35">
      <c r="A54" s="12" t="str">
        <f>RIGHT(data!$C$97,3)</f>
        <v>925</v>
      </c>
      <c r="B54" s="200" t="str">
        <f>RIGHT(data!$C$96,4)</f>
        <v>2023</v>
      </c>
      <c r="C54" s="12" t="str">
        <f>data!BC$55</f>
        <v>8370</v>
      </c>
      <c r="D54" s="12" t="s">
        <v>1153</v>
      </c>
      <c r="E54" s="198">
        <f>ROUND(N(data!BC59), 0)</f>
        <v>0</v>
      </c>
      <c r="F54" s="314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5" customHeight="1" x14ac:dyDescent="0.35">
      <c r="A55" s="12" t="str">
        <f>RIGHT(data!$C$97,3)</f>
        <v>925</v>
      </c>
      <c r="B55" s="200" t="str">
        <f>RIGHT(data!$C$96,4)</f>
        <v>2023</v>
      </c>
      <c r="C55" s="12" t="str">
        <f>data!BD$55</f>
        <v>8420</v>
      </c>
      <c r="D55" s="12" t="s">
        <v>1153</v>
      </c>
      <c r="E55" s="198">
        <f>ROUND(N(data!BD59), 0)</f>
        <v>0</v>
      </c>
      <c r="F55" s="314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5" customHeight="1" x14ac:dyDescent="0.35">
      <c r="A56" s="12" t="str">
        <f>RIGHT(data!$C$97,3)</f>
        <v>925</v>
      </c>
      <c r="B56" s="200" t="str">
        <f>RIGHT(data!$C$96,4)</f>
        <v>2023</v>
      </c>
      <c r="C56" s="12" t="str">
        <f>data!BE$55</f>
        <v>8430</v>
      </c>
      <c r="D56" s="12" t="s">
        <v>1153</v>
      </c>
      <c r="E56" s="198">
        <f>ROUND(N(data!BE59), 0)</f>
        <v>49533</v>
      </c>
      <c r="F56" s="314">
        <f>ROUND(N(data!BE60), 2)</f>
        <v>4.7300000000000004</v>
      </c>
      <c r="G56" s="198">
        <f>ROUND(N(data!BE61), 0)</f>
        <v>289117</v>
      </c>
      <c r="H56" s="198">
        <f>ROUND(N(data!BE62), 0)</f>
        <v>45629</v>
      </c>
      <c r="I56" s="198">
        <f>ROUND(N(data!BE63), 0)</f>
        <v>0</v>
      </c>
      <c r="J56" s="198">
        <f>ROUND(N(data!BE64), 0)</f>
        <v>74772</v>
      </c>
      <c r="K56" s="198">
        <f>ROUND(N(data!BE65), 0)</f>
        <v>0</v>
      </c>
      <c r="L56" s="198">
        <f>ROUND(N(data!BE66), 0)</f>
        <v>0</v>
      </c>
      <c r="M56" s="198">
        <f>ROUND(N(data!BE67), 0)</f>
        <v>1095982</v>
      </c>
      <c r="N56" s="198">
        <f>ROUND(N(data!BE68), 0)</f>
        <v>0</v>
      </c>
      <c r="O56" s="198">
        <f>ROUND(N(data!BE69), 0)</f>
        <v>587800</v>
      </c>
      <c r="P56" s="198">
        <f>ROUND(N(data!BE70), 0)</f>
        <v>0</v>
      </c>
      <c r="Q56" s="198">
        <f>ROUND(N(data!BE71), 0)</f>
        <v>0</v>
      </c>
      <c r="R56" s="198">
        <f>ROUND(N(data!BE72), 0)</f>
        <v>2512</v>
      </c>
      <c r="S56" s="198">
        <f>ROUND(N(data!BE73), 0)</f>
        <v>0</v>
      </c>
      <c r="T56" s="198">
        <f>ROUND(N(data!BE74), 0)</f>
        <v>87442</v>
      </c>
      <c r="U56" s="198">
        <f>ROUND(N(data!BE75), 0)</f>
        <v>0</v>
      </c>
      <c r="V56" s="198">
        <f>ROUND(N(data!BE76), 0)</f>
        <v>58123</v>
      </c>
      <c r="W56" s="198">
        <f>ROUND(N(data!BE77), 0)</f>
        <v>190306</v>
      </c>
      <c r="X56" s="198">
        <f>ROUND(N(data!BE78), 0)</f>
        <v>0</v>
      </c>
      <c r="Y56" s="198">
        <f>ROUND(N(data!BE79), 0)</f>
        <v>0</v>
      </c>
      <c r="Z56" s="198">
        <f>ROUND(N(data!BE80), 0)</f>
        <v>200</v>
      </c>
      <c r="AA56" s="198">
        <f>ROUND(N(data!BE81), 0)</f>
        <v>0</v>
      </c>
      <c r="AB56" s="198">
        <f>ROUND(N(data!BE82), 0)</f>
        <v>248738</v>
      </c>
      <c r="AC56" s="198">
        <f>ROUND(N(data!BE83), 0)</f>
        <v>479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49533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5" customHeight="1" x14ac:dyDescent="0.35">
      <c r="A57" s="12" t="str">
        <f>RIGHT(data!$C$97,3)</f>
        <v>925</v>
      </c>
      <c r="B57" s="200" t="str">
        <f>RIGHT(data!$C$96,4)</f>
        <v>2023</v>
      </c>
      <c r="C57" s="12" t="str">
        <f>data!BF$55</f>
        <v>8460</v>
      </c>
      <c r="D57" s="12" t="s">
        <v>1153</v>
      </c>
      <c r="E57" s="198">
        <f>ROUND(N(data!BF59), 0)</f>
        <v>0</v>
      </c>
      <c r="F57" s="314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5" customHeight="1" x14ac:dyDescent="0.35">
      <c r="A58" s="12" t="str">
        <f>RIGHT(data!$C$97,3)</f>
        <v>925</v>
      </c>
      <c r="B58" s="200" t="str">
        <f>RIGHT(data!$C$96,4)</f>
        <v>2023</v>
      </c>
      <c r="C58" s="12" t="str">
        <f>data!BG$55</f>
        <v>8470</v>
      </c>
      <c r="D58" s="12" t="s">
        <v>1153</v>
      </c>
      <c r="E58" s="198">
        <f>ROUND(N(data!BG59), 0)</f>
        <v>0</v>
      </c>
      <c r="F58" s="314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5" customHeight="1" x14ac:dyDescent="0.35">
      <c r="A59" s="12" t="str">
        <f>RIGHT(data!$C$97,3)</f>
        <v>925</v>
      </c>
      <c r="B59" s="200" t="str">
        <f>RIGHT(data!$C$96,4)</f>
        <v>2023</v>
      </c>
      <c r="C59" s="12" t="str">
        <f>data!BH$55</f>
        <v>8480</v>
      </c>
      <c r="D59" s="12" t="s">
        <v>1153</v>
      </c>
      <c r="E59" s="198">
        <f>ROUND(N(data!BH59), 0)</f>
        <v>0</v>
      </c>
      <c r="F59" s="314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5" customHeight="1" x14ac:dyDescent="0.35">
      <c r="A60" s="12" t="str">
        <f>RIGHT(data!$C$97,3)</f>
        <v>925</v>
      </c>
      <c r="B60" s="200" t="str">
        <f>RIGHT(data!$C$96,4)</f>
        <v>2023</v>
      </c>
      <c r="C60" s="12" t="str">
        <f>data!BI$55</f>
        <v>8490</v>
      </c>
      <c r="D60" s="12" t="s">
        <v>1153</v>
      </c>
      <c r="E60" s="198">
        <f>ROUND(N(data!BI59), 0)</f>
        <v>0</v>
      </c>
      <c r="F60" s="314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5" customHeight="1" x14ac:dyDescent="0.35">
      <c r="A61" s="12" t="str">
        <f>RIGHT(data!$C$97,3)</f>
        <v>925</v>
      </c>
      <c r="B61" s="200" t="str">
        <f>RIGHT(data!$C$96,4)</f>
        <v>2023</v>
      </c>
      <c r="C61" s="12" t="str">
        <f>data!BJ$55</f>
        <v>8510</v>
      </c>
      <c r="D61" s="12" t="s">
        <v>1153</v>
      </c>
      <c r="E61" s="198">
        <f>ROUND(N(data!BJ59), 0)</f>
        <v>0</v>
      </c>
      <c r="F61" s="314">
        <f>ROUND(N(data!BJ60), 2)</f>
        <v>4.43</v>
      </c>
      <c r="G61" s="198">
        <f>ROUND(N(data!BJ61), 0)</f>
        <v>408587</v>
      </c>
      <c r="H61" s="198">
        <f>ROUND(N(data!BJ62), 0)</f>
        <v>64483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21741</v>
      </c>
      <c r="P61" s="198">
        <f>ROUND(N(data!BJ70), 0)</f>
        <v>0</v>
      </c>
      <c r="Q61" s="198">
        <f>ROUND(N(data!BJ71), 0)</f>
        <v>17526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643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1350</v>
      </c>
      <c r="AC61" s="198">
        <f>ROUND(N(data!BJ83), 0)</f>
        <v>2222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5" customHeight="1" x14ac:dyDescent="0.35">
      <c r="A62" s="12" t="str">
        <f>RIGHT(data!$C$97,3)</f>
        <v>925</v>
      </c>
      <c r="B62" s="200" t="str">
        <f>RIGHT(data!$C$96,4)</f>
        <v>2023</v>
      </c>
      <c r="C62" s="12" t="str">
        <f>data!BK$55</f>
        <v>8530</v>
      </c>
      <c r="D62" s="12" t="s">
        <v>1153</v>
      </c>
      <c r="E62" s="198">
        <f>ROUND(N(data!BK59), 0)</f>
        <v>0</v>
      </c>
      <c r="F62" s="314">
        <f>ROUND(N(data!BK60), 2)</f>
        <v>3.24</v>
      </c>
      <c r="G62" s="198">
        <f>ROUND(N(data!BK61), 0)</f>
        <v>207325</v>
      </c>
      <c r="H62" s="198">
        <f>ROUND(N(data!BK62), 0)</f>
        <v>32720</v>
      </c>
      <c r="I62" s="198">
        <f>ROUND(N(data!BK63), 0)</f>
        <v>0</v>
      </c>
      <c r="J62" s="198">
        <f>ROUND(N(data!BK64), 0)</f>
        <v>119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52049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39114</v>
      </c>
      <c r="V62" s="198">
        <f>ROUND(N(data!BK76), 0)</f>
        <v>12135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750</v>
      </c>
      <c r="AC62" s="198">
        <f>ROUND(N(data!BK83), 0)</f>
        <v>50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5" customHeight="1" x14ac:dyDescent="0.35">
      <c r="A63" s="12" t="str">
        <f>RIGHT(data!$C$97,3)</f>
        <v>925</v>
      </c>
      <c r="B63" s="200" t="str">
        <f>RIGHT(data!$C$96,4)</f>
        <v>2023</v>
      </c>
      <c r="C63" s="12" t="str">
        <f>data!BL$55</f>
        <v>8560</v>
      </c>
      <c r="D63" s="12" t="s">
        <v>1153</v>
      </c>
      <c r="E63" s="198">
        <f>ROUND(N(data!BL59), 0)</f>
        <v>0</v>
      </c>
      <c r="F63" s="314">
        <f>ROUND(N(data!BL60), 2)</f>
        <v>15.18</v>
      </c>
      <c r="G63" s="198">
        <f>ROUND(N(data!BL61), 0)</f>
        <v>1596685</v>
      </c>
      <c r="H63" s="198">
        <f>ROUND(N(data!BL62), 0)</f>
        <v>251989</v>
      </c>
      <c r="I63" s="198">
        <f>ROUND(N(data!BL63), 0)</f>
        <v>0</v>
      </c>
      <c r="J63" s="198">
        <f>ROUND(N(data!BL64), 0)</f>
        <v>10006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10709</v>
      </c>
      <c r="P63" s="198">
        <f>ROUND(N(data!BL70), 0)</f>
        <v>0</v>
      </c>
      <c r="Q63" s="198">
        <f>ROUND(N(data!BL71), 0)</f>
        <v>0</v>
      </c>
      <c r="R63" s="198">
        <f>ROUND(N(data!BL72), 0)</f>
        <v>3184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6353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270</v>
      </c>
      <c r="AA63" s="198">
        <f>ROUND(N(data!BL81), 0)</f>
        <v>0</v>
      </c>
      <c r="AB63" s="198">
        <f>ROUND(N(data!BL82), 0)</f>
        <v>825</v>
      </c>
      <c r="AC63" s="198">
        <f>ROUND(N(data!BL83), 0)</f>
        <v>77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1688</v>
      </c>
      <c r="AI63" s="198">
        <f>ROUND(N(data!BL92), 0)</f>
        <v>0</v>
      </c>
      <c r="AJ63" s="198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5" customHeight="1" x14ac:dyDescent="0.35">
      <c r="A64" s="12" t="str">
        <f>RIGHT(data!$C$97,3)</f>
        <v>925</v>
      </c>
      <c r="B64" s="200" t="str">
        <f>RIGHT(data!$C$96,4)</f>
        <v>2023</v>
      </c>
      <c r="C64" s="12" t="str">
        <f>data!BM$55</f>
        <v>8590</v>
      </c>
      <c r="D64" s="12" t="s">
        <v>1153</v>
      </c>
      <c r="E64" s="198">
        <f>ROUND(N(data!BM59), 0)</f>
        <v>0</v>
      </c>
      <c r="F64" s="314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5" customHeight="1" x14ac:dyDescent="0.35">
      <c r="A65" s="12" t="str">
        <f>RIGHT(data!$C$97,3)</f>
        <v>925</v>
      </c>
      <c r="B65" s="200" t="str">
        <f>RIGHT(data!$C$96,4)</f>
        <v>2023</v>
      </c>
      <c r="C65" s="12" t="str">
        <f>data!BN$55</f>
        <v>8610</v>
      </c>
      <c r="D65" s="12" t="s">
        <v>1153</v>
      </c>
      <c r="E65" s="198">
        <f>ROUND(N(data!BN59), 0)</f>
        <v>0</v>
      </c>
      <c r="F65" s="314">
        <f>ROUND(N(data!BN60), 2)</f>
        <v>2.21</v>
      </c>
      <c r="G65" s="198">
        <f>ROUND(N(data!BN61), 0)</f>
        <v>348522</v>
      </c>
      <c r="H65" s="198">
        <f>ROUND(N(data!BN62), 0)</f>
        <v>55004</v>
      </c>
      <c r="I65" s="198">
        <f>ROUND(N(data!BN63), 0)</f>
        <v>49559</v>
      </c>
      <c r="J65" s="198">
        <f>ROUND(N(data!BN64), 0)</f>
        <v>49513</v>
      </c>
      <c r="K65" s="198">
        <f>ROUND(N(data!BN65), 0)</f>
        <v>0</v>
      </c>
      <c r="L65" s="198">
        <f>ROUND(N(data!BN66), 0)</f>
        <v>136270</v>
      </c>
      <c r="M65" s="198">
        <f>ROUND(N(data!BN67), 0)</f>
        <v>0</v>
      </c>
      <c r="N65" s="198">
        <f>ROUND(N(data!BN68), 0)</f>
        <v>0</v>
      </c>
      <c r="O65" s="198">
        <f>ROUND(N(data!BN69), 0)</f>
        <v>2750817</v>
      </c>
      <c r="P65" s="198">
        <f>ROUND(N(data!BN70), 0)</f>
        <v>0</v>
      </c>
      <c r="Q65" s="198">
        <f>ROUND(N(data!BN71), 0)</f>
        <v>0</v>
      </c>
      <c r="R65" s="198">
        <f>ROUND(N(data!BN72), 0)</f>
        <v>88541</v>
      </c>
      <c r="S65" s="198">
        <f>ROUND(N(data!BN73), 0)</f>
        <v>197561</v>
      </c>
      <c r="T65" s="198">
        <f>ROUND(N(data!BN74), 0)</f>
        <v>0</v>
      </c>
      <c r="U65" s="198">
        <f>ROUND(N(data!BN75), 0)</f>
        <v>0</v>
      </c>
      <c r="V65" s="198">
        <f>ROUND(N(data!BN76), 0)</f>
        <v>123795</v>
      </c>
      <c r="W65" s="198">
        <f>ROUND(N(data!BN77), 0)</f>
        <v>1961</v>
      </c>
      <c r="X65" s="198">
        <f>ROUND(N(data!BN78), 0)</f>
        <v>409110</v>
      </c>
      <c r="Y65" s="198">
        <f>ROUND(N(data!BN79), 0)</f>
        <v>0</v>
      </c>
      <c r="Z65" s="198">
        <f>ROUND(N(data!BN80), 0)</f>
        <v>1928</v>
      </c>
      <c r="AA65" s="198">
        <f>ROUND(N(data!BN81), 0)</f>
        <v>1715926</v>
      </c>
      <c r="AB65" s="198">
        <f>ROUND(N(data!BN82), 0)</f>
        <v>56587</v>
      </c>
      <c r="AC65" s="198">
        <f>ROUND(N(data!BN83), 0)</f>
        <v>155408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5" customHeight="1" x14ac:dyDescent="0.35">
      <c r="A66" s="12" t="str">
        <f>RIGHT(data!$C$97,3)</f>
        <v>925</v>
      </c>
      <c r="B66" s="200" t="str">
        <f>RIGHT(data!$C$96,4)</f>
        <v>2023</v>
      </c>
      <c r="C66" s="12" t="str">
        <f>data!BO$55</f>
        <v>8620</v>
      </c>
      <c r="D66" s="12" t="s">
        <v>1153</v>
      </c>
      <c r="E66" s="198">
        <f>ROUND(N(data!BO59), 0)</f>
        <v>0</v>
      </c>
      <c r="F66" s="314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5" customHeight="1" x14ac:dyDescent="0.35">
      <c r="A67" s="12" t="str">
        <f>RIGHT(data!$C$97,3)</f>
        <v>925</v>
      </c>
      <c r="B67" s="200" t="str">
        <f>RIGHT(data!$C$96,4)</f>
        <v>2023</v>
      </c>
      <c r="C67" s="12" t="str">
        <f>data!BP$55</f>
        <v>8630</v>
      </c>
      <c r="D67" s="12" t="s">
        <v>1153</v>
      </c>
      <c r="E67" s="198">
        <f>ROUND(N(data!BP59), 0)</f>
        <v>0</v>
      </c>
      <c r="F67" s="314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5" customHeight="1" x14ac:dyDescent="0.35">
      <c r="A68" s="12" t="str">
        <f>RIGHT(data!$C$97,3)</f>
        <v>925</v>
      </c>
      <c r="B68" s="200" t="str">
        <f>RIGHT(data!$C$96,4)</f>
        <v>2023</v>
      </c>
      <c r="C68" s="12" t="str">
        <f>data!BQ$55</f>
        <v>8640</v>
      </c>
      <c r="D68" s="12" t="s">
        <v>1153</v>
      </c>
      <c r="E68" s="198">
        <f>ROUND(N(data!BQ59), 0)</f>
        <v>0</v>
      </c>
      <c r="F68" s="314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5" customHeight="1" x14ac:dyDescent="0.35">
      <c r="A69" s="12" t="str">
        <f>RIGHT(data!$C$97,3)</f>
        <v>925</v>
      </c>
      <c r="B69" s="200" t="str">
        <f>RIGHT(data!$C$96,4)</f>
        <v>2023</v>
      </c>
      <c r="C69" s="12" t="str">
        <f>data!BR$55</f>
        <v>8650</v>
      </c>
      <c r="D69" s="12" t="s">
        <v>1153</v>
      </c>
      <c r="E69" s="198">
        <f>ROUND(N(data!BR59), 0)</f>
        <v>0</v>
      </c>
      <c r="F69" s="314">
        <f>ROUND(N(data!BR60), 2)</f>
        <v>1</v>
      </c>
      <c r="G69" s="198">
        <f>ROUND(N(data!BR61), 0)</f>
        <v>108783</v>
      </c>
      <c r="H69" s="198">
        <f>ROUND(N(data!BR62), 0)</f>
        <v>17168</v>
      </c>
      <c r="I69" s="198">
        <f>ROUND(N(data!BR63), 0)</f>
        <v>0</v>
      </c>
      <c r="J69" s="198">
        <f>ROUND(N(data!BR64), 0)</f>
        <v>1257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190017</v>
      </c>
      <c r="P69" s="198">
        <f>ROUND(N(data!BR70), 0)</f>
        <v>0</v>
      </c>
      <c r="Q69" s="198">
        <f>ROUND(N(data!BR71), 0)</f>
        <v>889</v>
      </c>
      <c r="R69" s="198">
        <f>ROUND(N(data!BR72), 0)</f>
        <v>1957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61708</v>
      </c>
      <c r="W69" s="198">
        <f>ROUND(N(data!BR77), 0)</f>
        <v>0</v>
      </c>
      <c r="X69" s="198">
        <f>ROUND(N(data!BR78), 0)</f>
        <v>0</v>
      </c>
      <c r="Y69" s="198">
        <f>ROUND(N(data!BR79), 0)</f>
        <v>47750</v>
      </c>
      <c r="Z69" s="198">
        <f>ROUND(N(data!BR80), 0)</f>
        <v>32212</v>
      </c>
      <c r="AA69" s="198">
        <f>ROUND(N(data!BR81), 0)</f>
        <v>0</v>
      </c>
      <c r="AB69" s="198">
        <f>ROUND(N(data!BR82), 0)</f>
        <v>1050</v>
      </c>
      <c r="AC69" s="198">
        <f>ROUND(N(data!BR83), 0)</f>
        <v>44451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5" customHeight="1" x14ac:dyDescent="0.35">
      <c r="A70" s="12" t="str">
        <f>RIGHT(data!$C$97,3)</f>
        <v>925</v>
      </c>
      <c r="B70" s="200" t="str">
        <f>RIGHT(data!$C$96,4)</f>
        <v>2023</v>
      </c>
      <c r="C70" s="12" t="str">
        <f>data!BS$55</f>
        <v>8660</v>
      </c>
      <c r="D70" s="12" t="s">
        <v>1153</v>
      </c>
      <c r="E70" s="198">
        <f>ROUND(N(data!BS59), 0)</f>
        <v>0</v>
      </c>
      <c r="F70" s="314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5" customHeight="1" x14ac:dyDescent="0.35">
      <c r="A71" s="12" t="str">
        <f>RIGHT(data!$C$97,3)</f>
        <v>925</v>
      </c>
      <c r="B71" s="200" t="str">
        <f>RIGHT(data!$C$96,4)</f>
        <v>2023</v>
      </c>
      <c r="C71" s="12" t="str">
        <f>data!BT$55</f>
        <v>8670</v>
      </c>
      <c r="D71" s="12" t="s">
        <v>1153</v>
      </c>
      <c r="E71" s="198">
        <f>ROUND(N(data!BT59), 0)</f>
        <v>0</v>
      </c>
      <c r="F71" s="314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5" customHeight="1" x14ac:dyDescent="0.35">
      <c r="A72" s="12" t="str">
        <f>RIGHT(data!$C$97,3)</f>
        <v>925</v>
      </c>
      <c r="B72" s="200" t="str">
        <f>RIGHT(data!$C$96,4)</f>
        <v>2023</v>
      </c>
      <c r="C72" s="12" t="str">
        <f>data!BU$55</f>
        <v>8680</v>
      </c>
      <c r="D72" s="12" t="s">
        <v>1153</v>
      </c>
      <c r="E72" s="198">
        <f>ROUND(N(data!BU59), 0)</f>
        <v>0</v>
      </c>
      <c r="F72" s="314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5" customHeight="1" x14ac:dyDescent="0.35">
      <c r="A73" s="12" t="str">
        <f>RIGHT(data!$C$97,3)</f>
        <v>925</v>
      </c>
      <c r="B73" s="200" t="str">
        <f>RIGHT(data!$C$96,4)</f>
        <v>2023</v>
      </c>
      <c r="C73" s="12" t="str">
        <f>data!BV$55</f>
        <v>8690</v>
      </c>
      <c r="D73" s="12" t="s">
        <v>1153</v>
      </c>
      <c r="E73" s="198">
        <f>ROUND(N(data!BV59), 0)</f>
        <v>0</v>
      </c>
      <c r="F73" s="314">
        <f>ROUND(N(data!BV60), 2)</f>
        <v>2.4700000000000002</v>
      </c>
      <c r="G73" s="198">
        <f>ROUND(N(data!BV61), 0)</f>
        <v>154936</v>
      </c>
      <c r="H73" s="198">
        <f>ROUND(N(data!BV62), 0)</f>
        <v>24452</v>
      </c>
      <c r="I73" s="198">
        <f>ROUND(N(data!BV63), 0)</f>
        <v>0</v>
      </c>
      <c r="J73" s="198">
        <f>ROUND(N(data!BV64), 0)</f>
        <v>382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9318</v>
      </c>
      <c r="P73" s="198">
        <f>ROUND(N(data!BV70), 0)</f>
        <v>0</v>
      </c>
      <c r="Q73" s="198">
        <f>ROUND(N(data!BV71), 0)</f>
        <v>2817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6351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100</v>
      </c>
      <c r="AA73" s="198">
        <f>ROUND(N(data!BV81), 0)</f>
        <v>0</v>
      </c>
      <c r="AB73" s="198">
        <f>ROUND(N(data!BV82), 0)</f>
        <v>0</v>
      </c>
      <c r="AC73" s="198">
        <f>ROUND(N(data!BV83), 0)</f>
        <v>50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5" customHeight="1" x14ac:dyDescent="0.35">
      <c r="A74" s="12" t="str">
        <f>RIGHT(data!$C$97,3)</f>
        <v>925</v>
      </c>
      <c r="B74" s="200" t="str">
        <f>RIGHT(data!$C$96,4)</f>
        <v>2023</v>
      </c>
      <c r="C74" s="12" t="str">
        <f>data!BW$55</f>
        <v>8700</v>
      </c>
      <c r="D74" s="12" t="s">
        <v>1153</v>
      </c>
      <c r="E74" s="198">
        <f>ROUND(N(data!BW59), 0)</f>
        <v>0</v>
      </c>
      <c r="F74" s="314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2934694</v>
      </c>
      <c r="P74" s="198">
        <f>ROUND(N(data!BW70), 0)</f>
        <v>0</v>
      </c>
      <c r="Q74" s="198">
        <f>ROUND(N(data!BW71), 0)</f>
        <v>2714302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106034</v>
      </c>
      <c r="V74" s="198">
        <f>ROUND(N(data!BW76), 0)</f>
        <v>57179</v>
      </c>
      <c r="W74" s="198">
        <f>ROUND(N(data!BW77), 0)</f>
        <v>57179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5" customHeight="1" x14ac:dyDescent="0.35">
      <c r="A75" s="12" t="str">
        <f>RIGHT(data!$C$97,3)</f>
        <v>925</v>
      </c>
      <c r="B75" s="200" t="str">
        <f>RIGHT(data!$C$96,4)</f>
        <v>2023</v>
      </c>
      <c r="C75" s="12" t="str">
        <f>data!BX$55</f>
        <v>8710</v>
      </c>
      <c r="D75" s="12" t="s">
        <v>1153</v>
      </c>
      <c r="E75" s="198">
        <f>ROUND(N(data!BX59), 0)</f>
        <v>0</v>
      </c>
      <c r="F75" s="314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5" customHeight="1" x14ac:dyDescent="0.35">
      <c r="A76" s="12" t="str">
        <f>RIGHT(data!$C$97,3)</f>
        <v>925</v>
      </c>
      <c r="B76" s="200" t="str">
        <f>RIGHT(data!$C$96,4)</f>
        <v>2023</v>
      </c>
      <c r="C76" s="12" t="str">
        <f>data!BY$55</f>
        <v>8720</v>
      </c>
      <c r="D76" s="12" t="s">
        <v>1153</v>
      </c>
      <c r="E76" s="198">
        <f>ROUND(N(data!BY59), 0)</f>
        <v>0</v>
      </c>
      <c r="F76" s="314">
        <f>ROUND(N(data!BY60), 2)</f>
        <v>9.5500000000000007</v>
      </c>
      <c r="G76" s="198">
        <f>ROUND(N(data!BY61), 0)</f>
        <v>1010548</v>
      </c>
      <c r="H76" s="198">
        <f>ROUND(N(data!BY62), 0)</f>
        <v>159485</v>
      </c>
      <c r="I76" s="198">
        <f>ROUND(N(data!BY63), 0)</f>
        <v>0</v>
      </c>
      <c r="J76" s="198">
        <f>ROUND(N(data!BY64), 0)</f>
        <v>3280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31283</v>
      </c>
      <c r="P76" s="198">
        <f>ROUND(N(data!BY70), 0)</f>
        <v>0</v>
      </c>
      <c r="Q76" s="198">
        <f>ROUND(N(data!BY71), 0)</f>
        <v>28640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405</v>
      </c>
      <c r="AA76" s="198">
        <f>ROUND(N(data!BY81), 0)</f>
        <v>0</v>
      </c>
      <c r="AB76" s="198">
        <f>ROUND(N(data!BY82), 0)</f>
        <v>550</v>
      </c>
      <c r="AC76" s="198">
        <f>ROUND(N(data!BY83), 0)</f>
        <v>1688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5" customHeight="1" x14ac:dyDescent="0.35">
      <c r="A77" s="12" t="str">
        <f>RIGHT(data!$C$97,3)</f>
        <v>925</v>
      </c>
      <c r="B77" s="200" t="str">
        <f>RIGHT(data!$C$96,4)</f>
        <v>2023</v>
      </c>
      <c r="C77" s="12" t="str">
        <f>data!BZ$55</f>
        <v>8730</v>
      </c>
      <c r="D77" s="12" t="s">
        <v>1153</v>
      </c>
      <c r="E77" s="198">
        <f>ROUND(N(data!BZ59), 0)</f>
        <v>0</v>
      </c>
      <c r="F77" s="314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5" customHeight="1" x14ac:dyDescent="0.35">
      <c r="A78" s="12" t="str">
        <f>RIGHT(data!$C$97,3)</f>
        <v>925</v>
      </c>
      <c r="B78" s="200" t="str">
        <f>RIGHT(data!$C$96,4)</f>
        <v>2023</v>
      </c>
      <c r="C78" s="12" t="str">
        <f>data!CA$55</f>
        <v>8740</v>
      </c>
      <c r="D78" s="12" t="s">
        <v>1153</v>
      </c>
      <c r="E78" s="198">
        <f>ROUND(N(data!CA59), 0)</f>
        <v>0</v>
      </c>
      <c r="F78" s="314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5" customHeight="1" x14ac:dyDescent="0.35">
      <c r="A79" s="12" t="str">
        <f>RIGHT(data!$C$97,3)</f>
        <v>925</v>
      </c>
      <c r="B79" s="200" t="str">
        <f>RIGHT(data!$C$96,4)</f>
        <v>2023</v>
      </c>
      <c r="C79" s="12" t="str">
        <f>data!CB$55</f>
        <v>8770</v>
      </c>
      <c r="D79" s="12" t="s">
        <v>1153</v>
      </c>
      <c r="E79" s="198">
        <f>ROUND(N(data!CB59), 0)</f>
        <v>0</v>
      </c>
      <c r="F79" s="314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5" customHeight="1" x14ac:dyDescent="0.35">
      <c r="A80" s="12" t="str">
        <f>RIGHT(data!$C$97,3)</f>
        <v>925</v>
      </c>
      <c r="B80" s="200" t="str">
        <f>RIGHT(data!$C$96,4)</f>
        <v>2023</v>
      </c>
      <c r="C80" s="12" t="str">
        <f>data!CC$55</f>
        <v>8790</v>
      </c>
      <c r="D80" s="12" t="s">
        <v>1153</v>
      </c>
      <c r="E80" s="198">
        <f>ROUND(N(data!CC59), 0)</f>
        <v>0</v>
      </c>
      <c r="F80" s="314">
        <f>ROUND(N(data!CC60), 2)</f>
        <v>2.4500000000000002</v>
      </c>
      <c r="G80" s="198">
        <f>ROUND(N(data!CC61), 0)</f>
        <v>206431</v>
      </c>
      <c r="H80" s="198">
        <f>ROUND(N(data!CC62), 0)</f>
        <v>32579</v>
      </c>
      <c r="I80" s="198">
        <f>ROUND(N(data!CC63), 0)</f>
        <v>0</v>
      </c>
      <c r="J80" s="198">
        <f>ROUND(N(data!CC64), 0)</f>
        <v>12195</v>
      </c>
      <c r="K80" s="198">
        <f>ROUND(N(data!CC65), 0)</f>
        <v>0</v>
      </c>
      <c r="L80" s="198">
        <f>ROUND(N(data!CC66), 0)</f>
        <v>9485</v>
      </c>
      <c r="M80" s="198">
        <f>ROUND(N(data!CC67), 0)</f>
        <v>0</v>
      </c>
      <c r="N80" s="198">
        <f>ROUND(N(data!CC68), 0)</f>
        <v>0</v>
      </c>
      <c r="O80" s="198">
        <f>ROUND(N(data!CC69), 0)</f>
        <v>29241</v>
      </c>
      <c r="P80" s="198">
        <f>ROUND(N(data!CC70), 0)</f>
        <v>0</v>
      </c>
      <c r="Q80" s="198">
        <f>ROUND(N(data!CC71), 0)</f>
        <v>14400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249</v>
      </c>
      <c r="W80" s="198">
        <f>ROUND(N(data!CC77), 0)</f>
        <v>59</v>
      </c>
      <c r="X80" s="198">
        <f>ROUND(N(data!CC78), 0)</f>
        <v>0</v>
      </c>
      <c r="Y80" s="198">
        <f>ROUND(N(data!CC79), 0)</f>
        <v>0</v>
      </c>
      <c r="Z80" s="198">
        <f>ROUND(N(data!CC80), 0)</f>
        <v>2135</v>
      </c>
      <c r="AA80" s="198">
        <f>ROUND(N(data!CC81), 0)</f>
        <v>0</v>
      </c>
      <c r="AB80" s="198">
        <f>ROUND(N(data!CC82), 0)</f>
        <v>1875</v>
      </c>
      <c r="AC80" s="198">
        <f>ROUND(N(data!CC83), 0)</f>
        <v>10524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2024-06-17T15:48:47Z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